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banuatav/_test_env/nafiz/"/>
    </mc:Choice>
  </mc:AlternateContent>
  <xr:revisionPtr revIDLastSave="0" documentId="13_ncr:1_{F321F9C5-A04E-C247-A2EF-110FDE783F08}" xr6:coauthVersionLast="45" xr6:coauthVersionMax="45" xr10:uidLastSave="{00000000-0000-0000-0000-000000000000}"/>
  <bookViews>
    <workbookView xWindow="1500" yWindow="460" windowWidth="27300" windowHeight="17540" activeTab="2" xr2:uid="{00000000-000D-0000-FFFF-FFFF00000000}"/>
  </bookViews>
  <sheets>
    <sheet name="Info" sheetId="1" r:id="rId1"/>
    <sheet name="Mining" sheetId="2" r:id="rId2"/>
    <sheet name="LDN01-CG" sheetId="3" r:id="rId3"/>
    <sheet name="LDN02-London City" sheetId="4" r:id="rId4"/>
    <sheet name="Sheet12" sheetId="5" r:id="rId5"/>
    <sheet name="LDN03-KCRS" sheetId="6" r:id="rId6"/>
    <sheet name="LDN04-WaterLoo" sheetId="7" r:id="rId7"/>
    <sheet name="SE-GWA" sheetId="8" r:id="rId8"/>
  </sheets>
  <definedNames>
    <definedName name="_xlnm._FilterDatabase" localSheetId="1" hidden="1">Mining!$A$1:$AE$889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29" i="7" l="1"/>
  <c r="O229" i="7"/>
  <c r="M229" i="7"/>
  <c r="L229" i="7"/>
  <c r="J229" i="7"/>
  <c r="I229" i="7"/>
  <c r="G229" i="7"/>
  <c r="F229" i="7"/>
  <c r="D229" i="7"/>
  <c r="C229" i="7"/>
  <c r="A229" i="7"/>
  <c r="A230" i="7" s="1"/>
  <c r="O373" i="6"/>
  <c r="L373" i="6"/>
  <c r="I373" i="6"/>
  <c r="F373" i="6"/>
  <c r="C373" i="6"/>
  <c r="A373" i="6"/>
  <c r="A375" i="6" s="1"/>
  <c r="A241" i="5"/>
  <c r="A240" i="5"/>
  <c r="A240" i="4"/>
  <c r="A241" i="4" s="1"/>
  <c r="K431" i="3"/>
  <c r="I431" i="3"/>
  <c r="G431" i="3"/>
  <c r="E431" i="3"/>
  <c r="C431" i="3"/>
  <c r="C317" i="2"/>
  <c r="C319" i="2" s="1"/>
  <c r="U229" i="2"/>
  <c r="U228" i="2"/>
  <c r="P228" i="2"/>
  <c r="N228" i="2"/>
  <c r="M228" i="2"/>
  <c r="L228" i="2"/>
  <c r="K228" i="2"/>
  <c r="J228" i="2"/>
  <c r="H228" i="2"/>
  <c r="G228" i="2"/>
  <c r="D228" i="2"/>
  <c r="C228" i="2"/>
  <c r="U227" i="2"/>
  <c r="Q227" i="2"/>
  <c r="P227" i="2"/>
  <c r="N227" i="2"/>
  <c r="M227" i="2"/>
  <c r="K227" i="2"/>
  <c r="J227" i="2"/>
  <c r="H227" i="2"/>
  <c r="G227" i="2"/>
  <c r="E227" i="2"/>
  <c r="D227" i="2"/>
  <c r="C227" i="2"/>
  <c r="U226" i="2"/>
  <c r="P226" i="2"/>
  <c r="N226" i="2"/>
  <c r="M226" i="2"/>
  <c r="K226" i="2"/>
  <c r="J226" i="2"/>
  <c r="H226" i="2"/>
  <c r="G226" i="2"/>
  <c r="E226" i="2"/>
  <c r="D226" i="2"/>
  <c r="C226" i="2"/>
  <c r="U225" i="2"/>
  <c r="Q225" i="2"/>
  <c r="P225" i="2"/>
  <c r="N225" i="2"/>
  <c r="M225" i="2"/>
  <c r="K225" i="2"/>
  <c r="J225" i="2"/>
  <c r="H225" i="2"/>
  <c r="G225" i="2"/>
  <c r="E225" i="2"/>
  <c r="D225" i="2"/>
  <c r="C225" i="2"/>
  <c r="U224" i="2"/>
  <c r="Q224" i="2"/>
  <c r="P224" i="2"/>
  <c r="N224" i="2"/>
  <c r="M224" i="2"/>
  <c r="K224" i="2"/>
  <c r="J224" i="2"/>
  <c r="G224" i="2"/>
  <c r="E224" i="2"/>
  <c r="D224" i="2"/>
  <c r="C224" i="2"/>
  <c r="U223" i="2"/>
  <c r="Q223" i="2"/>
  <c r="P223" i="2"/>
  <c r="N223" i="2"/>
  <c r="M223" i="2"/>
  <c r="K223" i="2"/>
  <c r="J223" i="2"/>
  <c r="G223" i="2"/>
  <c r="E223" i="2"/>
  <c r="D223" i="2"/>
  <c r="C223" i="2"/>
  <c r="U222" i="2"/>
  <c r="Q222" i="2"/>
  <c r="P222" i="2"/>
  <c r="N222" i="2"/>
  <c r="M222" i="2"/>
  <c r="L222" i="2"/>
  <c r="K222" i="2"/>
  <c r="J222" i="2"/>
  <c r="G222" i="2"/>
  <c r="E222" i="2"/>
  <c r="D222" i="2"/>
  <c r="C222" i="2"/>
  <c r="U221" i="2"/>
  <c r="Q221" i="2"/>
  <c r="P221" i="2"/>
  <c r="M221" i="2"/>
  <c r="K221" i="2"/>
  <c r="J221" i="2"/>
  <c r="H221" i="2"/>
  <c r="G221" i="2"/>
  <c r="D221" i="2"/>
  <c r="C221" i="2"/>
  <c r="U220" i="2"/>
  <c r="Q220" i="2"/>
  <c r="P220" i="2"/>
  <c r="N220" i="2"/>
  <c r="M220" i="2"/>
  <c r="K220" i="2"/>
  <c r="J220" i="2"/>
  <c r="G220" i="2"/>
  <c r="E220" i="2"/>
  <c r="D220" i="2"/>
  <c r="C220" i="2"/>
  <c r="U219" i="2"/>
  <c r="Q219" i="2"/>
  <c r="P219" i="2"/>
  <c r="N219" i="2"/>
  <c r="M219" i="2"/>
  <c r="K219" i="2"/>
  <c r="J219" i="2"/>
  <c r="G219" i="2"/>
  <c r="E219" i="2"/>
  <c r="D219" i="2"/>
  <c r="C219" i="2"/>
  <c r="U218" i="2"/>
  <c r="Q218" i="2"/>
  <c r="P218" i="2"/>
  <c r="N218" i="2"/>
  <c r="M218" i="2"/>
  <c r="K218" i="2"/>
  <c r="J218" i="2"/>
  <c r="H218" i="2"/>
  <c r="G218" i="2"/>
  <c r="E218" i="2"/>
  <c r="D218" i="2"/>
  <c r="C218" i="2"/>
  <c r="U217" i="2"/>
  <c r="Q217" i="2"/>
  <c r="P217" i="2"/>
  <c r="N217" i="2"/>
  <c r="M217" i="2"/>
  <c r="K217" i="2"/>
  <c r="J217" i="2"/>
  <c r="H217" i="2"/>
  <c r="G217" i="2"/>
  <c r="D217" i="2"/>
  <c r="C217" i="2"/>
  <c r="U216" i="2"/>
  <c r="Q216" i="2"/>
  <c r="P216" i="2"/>
  <c r="N216" i="2"/>
  <c r="M216" i="2"/>
  <c r="K216" i="2"/>
  <c r="J216" i="2"/>
  <c r="H216" i="2"/>
  <c r="G216" i="2"/>
  <c r="E216" i="2"/>
  <c r="D216" i="2"/>
  <c r="C216" i="2"/>
  <c r="U215" i="2"/>
  <c r="P215" i="2"/>
  <c r="N215" i="2"/>
  <c r="M215" i="2"/>
  <c r="K215" i="2"/>
  <c r="J215" i="2"/>
  <c r="G215" i="2"/>
  <c r="E215" i="2"/>
  <c r="D215" i="2"/>
  <c r="C215" i="2"/>
  <c r="U214" i="2"/>
  <c r="P214" i="2"/>
  <c r="N214" i="2"/>
  <c r="M214" i="2"/>
  <c r="J214" i="2"/>
  <c r="H214" i="2"/>
  <c r="G214" i="2"/>
  <c r="D214" i="2"/>
  <c r="C214" i="2"/>
  <c r="U213" i="2"/>
  <c r="Q213" i="2"/>
  <c r="P213" i="2"/>
  <c r="N213" i="2"/>
  <c r="M213" i="2"/>
  <c r="K213" i="2"/>
  <c r="J213" i="2"/>
  <c r="H213" i="2"/>
  <c r="G213" i="2"/>
  <c r="E213" i="2"/>
  <c r="D213" i="2"/>
  <c r="C213" i="2"/>
  <c r="U212" i="2"/>
  <c r="Q212" i="2"/>
  <c r="P212" i="2"/>
  <c r="N212" i="2"/>
  <c r="M212" i="2"/>
  <c r="K212" i="2"/>
  <c r="J212" i="2"/>
  <c r="H212" i="2"/>
  <c r="G212" i="2"/>
  <c r="E212" i="2"/>
  <c r="D212" i="2"/>
  <c r="C212" i="2"/>
  <c r="U211" i="2"/>
  <c r="Q211" i="2"/>
  <c r="P211" i="2"/>
  <c r="N211" i="2"/>
  <c r="M211" i="2"/>
  <c r="K211" i="2"/>
  <c r="J211" i="2"/>
  <c r="H211" i="2"/>
  <c r="G211" i="2"/>
  <c r="E211" i="2"/>
  <c r="D211" i="2"/>
  <c r="C211" i="2"/>
  <c r="U210" i="2"/>
  <c r="Q210" i="2"/>
  <c r="P210" i="2"/>
  <c r="N210" i="2"/>
  <c r="M210" i="2"/>
  <c r="K210" i="2"/>
  <c r="J210" i="2"/>
  <c r="H210" i="2"/>
  <c r="G210" i="2"/>
  <c r="E210" i="2"/>
  <c r="D210" i="2"/>
  <c r="C210" i="2"/>
  <c r="U209" i="2"/>
  <c r="Q209" i="2"/>
  <c r="P209" i="2"/>
  <c r="N209" i="2"/>
  <c r="M209" i="2"/>
  <c r="K209" i="2"/>
  <c r="J209" i="2"/>
  <c r="H209" i="2"/>
  <c r="G209" i="2"/>
  <c r="D209" i="2"/>
  <c r="C209" i="2"/>
  <c r="U208" i="2"/>
  <c r="Q208" i="2"/>
  <c r="P208" i="2"/>
  <c r="N208" i="2"/>
  <c r="M208" i="2"/>
  <c r="J208" i="2"/>
  <c r="H208" i="2"/>
  <c r="G208" i="2"/>
  <c r="E208" i="2"/>
  <c r="D208" i="2"/>
  <c r="C208" i="2"/>
  <c r="U207" i="2"/>
  <c r="Q207" i="2"/>
  <c r="P207" i="2"/>
  <c r="N207" i="2"/>
  <c r="M207" i="2"/>
  <c r="J207" i="2"/>
  <c r="H207" i="2"/>
  <c r="G207" i="2"/>
  <c r="D207" i="2"/>
  <c r="C207" i="2"/>
  <c r="U206" i="2"/>
  <c r="Q206" i="2"/>
  <c r="P206" i="2"/>
  <c r="N206" i="2"/>
  <c r="M206" i="2"/>
  <c r="K206" i="2"/>
  <c r="J206" i="2"/>
  <c r="H206" i="2"/>
  <c r="G206" i="2"/>
  <c r="E206" i="2"/>
  <c r="D206" i="2"/>
  <c r="C206" i="2"/>
  <c r="U205" i="2"/>
  <c r="P205" i="2"/>
  <c r="M205" i="2"/>
  <c r="K205" i="2"/>
  <c r="J205" i="2"/>
  <c r="H205" i="2"/>
  <c r="G205" i="2"/>
  <c r="E205" i="2"/>
  <c r="D205" i="2"/>
  <c r="C205" i="2"/>
  <c r="U204" i="2"/>
  <c r="Q204" i="2"/>
  <c r="P204" i="2"/>
  <c r="N204" i="2"/>
  <c r="M204" i="2"/>
  <c r="K204" i="2"/>
  <c r="J204" i="2"/>
  <c r="H204" i="2"/>
  <c r="G204" i="2"/>
  <c r="E204" i="2"/>
  <c r="D204" i="2"/>
  <c r="C204" i="2"/>
  <c r="U203" i="2"/>
  <c r="Q203" i="2"/>
  <c r="P203" i="2"/>
  <c r="N203" i="2"/>
  <c r="M203" i="2"/>
  <c r="K203" i="2"/>
  <c r="J203" i="2"/>
  <c r="H203" i="2"/>
  <c r="G203" i="2"/>
  <c r="E203" i="2"/>
  <c r="D203" i="2"/>
  <c r="C203" i="2"/>
  <c r="U202" i="2"/>
  <c r="P202" i="2"/>
  <c r="M202" i="2"/>
  <c r="K202" i="2"/>
  <c r="J202" i="2"/>
  <c r="H202" i="2"/>
  <c r="G202" i="2"/>
  <c r="E202" i="2"/>
  <c r="D202" i="2"/>
  <c r="C202" i="2"/>
  <c r="U201" i="2"/>
  <c r="Q201" i="2"/>
  <c r="P201" i="2"/>
  <c r="N201" i="2"/>
  <c r="M201" i="2"/>
  <c r="K201" i="2"/>
  <c r="J201" i="2"/>
  <c r="G201" i="2"/>
  <c r="E201" i="2"/>
  <c r="D201" i="2"/>
  <c r="C201" i="2"/>
  <c r="U200" i="2"/>
  <c r="P200" i="2"/>
  <c r="N200" i="2"/>
  <c r="M200" i="2"/>
  <c r="J200" i="2"/>
  <c r="H200" i="2"/>
  <c r="G200" i="2"/>
  <c r="E200" i="2"/>
  <c r="D200" i="2"/>
  <c r="C200" i="2"/>
  <c r="U199" i="2"/>
  <c r="Q199" i="2"/>
  <c r="P199" i="2"/>
  <c r="N199" i="2"/>
  <c r="M199" i="2"/>
  <c r="K199" i="2"/>
  <c r="J199" i="2"/>
  <c r="H199" i="2"/>
  <c r="G199" i="2"/>
  <c r="E199" i="2"/>
  <c r="D199" i="2"/>
  <c r="C199" i="2"/>
  <c r="U198" i="2"/>
  <c r="Q198" i="2"/>
  <c r="P198" i="2"/>
  <c r="N198" i="2"/>
  <c r="M198" i="2"/>
  <c r="K198" i="2"/>
  <c r="J198" i="2"/>
  <c r="H198" i="2"/>
  <c r="G198" i="2"/>
  <c r="E198" i="2"/>
  <c r="D198" i="2"/>
  <c r="C198" i="2"/>
  <c r="U197" i="2"/>
  <c r="Q197" i="2"/>
  <c r="P197" i="2"/>
  <c r="M197" i="2"/>
  <c r="J197" i="2"/>
  <c r="G197" i="2"/>
  <c r="D197" i="2"/>
  <c r="C197" i="2"/>
  <c r="U196" i="2"/>
  <c r="Q196" i="2"/>
  <c r="P196" i="2"/>
  <c r="M196" i="2"/>
  <c r="K196" i="2"/>
  <c r="J196" i="2"/>
  <c r="H196" i="2"/>
  <c r="G196" i="2"/>
  <c r="E196" i="2"/>
  <c r="D196" i="2"/>
  <c r="C196" i="2"/>
  <c r="U195" i="2"/>
  <c r="P195" i="2"/>
  <c r="N195" i="2"/>
  <c r="M195" i="2"/>
  <c r="K195" i="2"/>
  <c r="J195" i="2"/>
  <c r="H195" i="2"/>
  <c r="G195" i="2"/>
  <c r="E195" i="2"/>
  <c r="D195" i="2"/>
  <c r="C195" i="2"/>
  <c r="U194" i="2"/>
  <c r="Q194" i="2"/>
  <c r="P194" i="2"/>
  <c r="M194" i="2"/>
  <c r="K194" i="2"/>
  <c r="J194" i="2"/>
  <c r="H194" i="2"/>
  <c r="G194" i="2"/>
  <c r="E194" i="2"/>
  <c r="D194" i="2"/>
  <c r="C194" i="2"/>
  <c r="U193" i="2"/>
  <c r="P193" i="2"/>
  <c r="N193" i="2"/>
  <c r="M193" i="2"/>
  <c r="K193" i="2"/>
  <c r="J193" i="2"/>
  <c r="H193" i="2"/>
  <c r="G193" i="2"/>
  <c r="E193" i="2"/>
  <c r="D193" i="2"/>
  <c r="C193" i="2"/>
  <c r="U192" i="2"/>
  <c r="Q192" i="2"/>
  <c r="P192" i="2"/>
  <c r="N192" i="2"/>
  <c r="M192" i="2"/>
  <c r="K192" i="2"/>
  <c r="J192" i="2"/>
  <c r="H192" i="2"/>
  <c r="G192" i="2"/>
  <c r="E192" i="2"/>
  <c r="D192" i="2"/>
  <c r="C192" i="2"/>
  <c r="U191" i="2"/>
  <c r="P191" i="2"/>
  <c r="N191" i="2"/>
  <c r="M191" i="2"/>
  <c r="J191" i="2"/>
  <c r="H191" i="2"/>
  <c r="G191" i="2"/>
  <c r="D191" i="2"/>
  <c r="C191" i="2"/>
  <c r="U190" i="2"/>
  <c r="P190" i="2"/>
  <c r="N190" i="2"/>
  <c r="M190" i="2"/>
  <c r="K190" i="2"/>
  <c r="J190" i="2"/>
  <c r="H190" i="2"/>
  <c r="G190" i="2"/>
  <c r="E190" i="2"/>
  <c r="D190" i="2"/>
  <c r="C190" i="2"/>
  <c r="U189" i="2"/>
  <c r="Q189" i="2"/>
  <c r="P189" i="2"/>
  <c r="N189" i="2"/>
  <c r="M189" i="2"/>
  <c r="K189" i="2"/>
  <c r="J189" i="2"/>
  <c r="H189" i="2"/>
  <c r="G189" i="2"/>
  <c r="E189" i="2"/>
  <c r="D189" i="2"/>
  <c r="C189" i="2"/>
  <c r="U188" i="2"/>
  <c r="Q188" i="2"/>
  <c r="P188" i="2"/>
  <c r="M188" i="2"/>
  <c r="K188" i="2"/>
  <c r="J188" i="2"/>
  <c r="H188" i="2"/>
  <c r="G188" i="2"/>
  <c r="D188" i="2"/>
  <c r="C188" i="2"/>
  <c r="U187" i="2"/>
  <c r="P187" i="2"/>
  <c r="N187" i="2"/>
  <c r="M187" i="2"/>
  <c r="K187" i="2"/>
  <c r="J187" i="2"/>
  <c r="G187" i="2"/>
  <c r="E187" i="2"/>
  <c r="D187" i="2"/>
  <c r="C187" i="2"/>
  <c r="U186" i="2"/>
  <c r="Q186" i="2"/>
  <c r="P186" i="2"/>
  <c r="N186" i="2"/>
  <c r="M186" i="2"/>
  <c r="K186" i="2"/>
  <c r="J186" i="2"/>
  <c r="H186" i="2"/>
  <c r="G186" i="2"/>
  <c r="E186" i="2"/>
  <c r="D186" i="2"/>
  <c r="C186" i="2"/>
  <c r="U185" i="2"/>
  <c r="Q185" i="2"/>
  <c r="P185" i="2"/>
  <c r="N185" i="2"/>
  <c r="M185" i="2"/>
  <c r="K185" i="2"/>
  <c r="J185" i="2"/>
  <c r="H185" i="2"/>
  <c r="G185" i="2"/>
  <c r="E185" i="2"/>
  <c r="D185" i="2"/>
  <c r="C185" i="2"/>
  <c r="U184" i="2"/>
  <c r="P184" i="2"/>
  <c r="N184" i="2"/>
  <c r="M184" i="2"/>
  <c r="K184" i="2"/>
  <c r="J184" i="2"/>
  <c r="H184" i="2"/>
  <c r="G184" i="2"/>
  <c r="E184" i="2"/>
  <c r="D184" i="2"/>
  <c r="C184" i="2"/>
  <c r="U183" i="2"/>
  <c r="Q183" i="2"/>
  <c r="P183" i="2"/>
  <c r="M183" i="2"/>
  <c r="K183" i="2"/>
  <c r="J183" i="2"/>
  <c r="H183" i="2"/>
  <c r="G183" i="2"/>
  <c r="D183" i="2"/>
  <c r="C183" i="2"/>
  <c r="U182" i="2"/>
  <c r="R182" i="2"/>
  <c r="Q182" i="2"/>
  <c r="P182" i="2"/>
  <c r="N182" i="2"/>
  <c r="M182" i="2"/>
  <c r="K182" i="2"/>
  <c r="J182" i="2"/>
  <c r="H182" i="2"/>
  <c r="G182" i="2"/>
  <c r="E182" i="2"/>
  <c r="D182" i="2"/>
  <c r="C182" i="2"/>
  <c r="U181" i="2"/>
  <c r="Q181" i="2"/>
  <c r="P181" i="2"/>
  <c r="N181" i="2"/>
  <c r="M181" i="2"/>
  <c r="K181" i="2"/>
  <c r="J181" i="2"/>
  <c r="H181" i="2"/>
  <c r="G181" i="2"/>
  <c r="E181" i="2"/>
  <c r="D181" i="2"/>
  <c r="C181" i="2"/>
  <c r="U180" i="2"/>
  <c r="Q180" i="2"/>
  <c r="P180" i="2"/>
  <c r="N180" i="2"/>
  <c r="M180" i="2"/>
  <c r="K180" i="2"/>
  <c r="J180" i="2"/>
  <c r="G180" i="2"/>
  <c r="E180" i="2"/>
  <c r="D180" i="2"/>
  <c r="C180" i="2"/>
  <c r="U179" i="2"/>
  <c r="Q179" i="2"/>
  <c r="P179" i="2"/>
  <c r="N179" i="2"/>
  <c r="M179" i="2"/>
  <c r="K179" i="2"/>
  <c r="J179" i="2"/>
  <c r="H179" i="2"/>
  <c r="G179" i="2"/>
  <c r="D179" i="2"/>
  <c r="C179" i="2"/>
  <c r="U178" i="2"/>
  <c r="Q178" i="2"/>
  <c r="P178" i="2"/>
  <c r="N178" i="2"/>
  <c r="M178" i="2"/>
  <c r="K178" i="2"/>
  <c r="J178" i="2"/>
  <c r="H178" i="2"/>
  <c r="G178" i="2"/>
  <c r="E178" i="2"/>
  <c r="D178" i="2"/>
  <c r="C178" i="2"/>
  <c r="U177" i="2"/>
  <c r="Q177" i="2"/>
  <c r="P177" i="2"/>
  <c r="N177" i="2"/>
  <c r="M177" i="2"/>
  <c r="K177" i="2"/>
  <c r="J177" i="2"/>
  <c r="H177" i="2"/>
  <c r="G177" i="2"/>
  <c r="D177" i="2"/>
  <c r="C177" i="2"/>
  <c r="U176" i="2"/>
  <c r="P176" i="2"/>
  <c r="M176" i="2"/>
  <c r="K176" i="2"/>
  <c r="J176" i="2"/>
  <c r="G176" i="2"/>
  <c r="E176" i="2"/>
  <c r="D176" i="2"/>
  <c r="C176" i="2"/>
  <c r="U175" i="2"/>
  <c r="Q175" i="2"/>
  <c r="P175" i="2"/>
  <c r="N175" i="2"/>
  <c r="M175" i="2"/>
  <c r="K175" i="2"/>
  <c r="J175" i="2"/>
  <c r="H175" i="2"/>
  <c r="G175" i="2"/>
  <c r="E175" i="2"/>
  <c r="D175" i="2"/>
  <c r="C175" i="2"/>
  <c r="U174" i="2"/>
  <c r="Q174" i="2"/>
  <c r="P174" i="2"/>
  <c r="M174" i="2"/>
  <c r="K174" i="2"/>
  <c r="J174" i="2"/>
  <c r="G174" i="2"/>
  <c r="E174" i="2"/>
  <c r="D174" i="2"/>
  <c r="C174" i="2"/>
  <c r="U173" i="2"/>
  <c r="Q173" i="2"/>
  <c r="P173" i="2"/>
  <c r="N173" i="2"/>
  <c r="M173" i="2"/>
  <c r="K173" i="2"/>
  <c r="J173" i="2"/>
  <c r="H173" i="2"/>
  <c r="G173" i="2"/>
  <c r="E173" i="2"/>
  <c r="D173" i="2"/>
  <c r="C173" i="2"/>
  <c r="U172" i="2"/>
  <c r="Q172" i="2"/>
  <c r="P172" i="2"/>
  <c r="N172" i="2"/>
  <c r="M172" i="2"/>
  <c r="K172" i="2"/>
  <c r="J172" i="2"/>
  <c r="H172" i="2"/>
  <c r="G172" i="2"/>
  <c r="E172" i="2"/>
  <c r="D172" i="2"/>
  <c r="C172" i="2"/>
  <c r="U171" i="2"/>
  <c r="Q171" i="2"/>
  <c r="P171" i="2"/>
  <c r="M171" i="2"/>
  <c r="K171" i="2"/>
  <c r="J171" i="2"/>
  <c r="H171" i="2"/>
  <c r="G171" i="2"/>
  <c r="E171" i="2"/>
  <c r="D171" i="2"/>
  <c r="C171" i="2"/>
  <c r="U170" i="2"/>
  <c r="Q170" i="2"/>
  <c r="P170" i="2"/>
  <c r="M170" i="2"/>
  <c r="J170" i="2"/>
  <c r="H170" i="2"/>
  <c r="G170" i="2"/>
  <c r="D170" i="2"/>
  <c r="C170" i="2"/>
  <c r="U169" i="2"/>
  <c r="Q169" i="2"/>
  <c r="P169" i="2"/>
  <c r="N169" i="2"/>
  <c r="M169" i="2"/>
  <c r="K169" i="2"/>
  <c r="J169" i="2"/>
  <c r="H169" i="2"/>
  <c r="G169" i="2"/>
  <c r="D169" i="2"/>
  <c r="C169" i="2"/>
  <c r="U168" i="2"/>
  <c r="Q168" i="2"/>
  <c r="P168" i="2"/>
  <c r="M168" i="2"/>
  <c r="K168" i="2"/>
  <c r="J168" i="2"/>
  <c r="G168" i="2"/>
  <c r="D168" i="2"/>
  <c r="C168" i="2"/>
  <c r="U167" i="2"/>
  <c r="Q167" i="2"/>
  <c r="P167" i="2"/>
  <c r="N167" i="2"/>
  <c r="M167" i="2"/>
  <c r="K167" i="2"/>
  <c r="J167" i="2"/>
  <c r="H167" i="2"/>
  <c r="G167" i="2"/>
  <c r="E167" i="2"/>
  <c r="D167" i="2"/>
  <c r="C167" i="2"/>
  <c r="U166" i="2"/>
  <c r="Q166" i="2"/>
  <c r="P166" i="2"/>
  <c r="N166" i="2"/>
  <c r="M166" i="2"/>
  <c r="K166" i="2"/>
  <c r="J166" i="2"/>
  <c r="H166" i="2"/>
  <c r="G166" i="2"/>
  <c r="D166" i="2"/>
  <c r="C166" i="2"/>
  <c r="U165" i="2"/>
  <c r="Q165" i="2"/>
  <c r="P165" i="2"/>
  <c r="N165" i="2"/>
  <c r="M165" i="2"/>
  <c r="K165" i="2"/>
  <c r="J165" i="2"/>
  <c r="H165" i="2"/>
  <c r="G165" i="2"/>
  <c r="D165" i="2"/>
  <c r="C165" i="2"/>
  <c r="U164" i="2"/>
  <c r="P164" i="2"/>
  <c r="N164" i="2"/>
  <c r="M164" i="2"/>
  <c r="K164" i="2"/>
  <c r="J164" i="2"/>
  <c r="H164" i="2"/>
  <c r="G164" i="2"/>
  <c r="E164" i="2"/>
  <c r="D164" i="2"/>
  <c r="C164" i="2"/>
  <c r="U163" i="2"/>
  <c r="Q163" i="2"/>
  <c r="P163" i="2"/>
  <c r="M163" i="2"/>
  <c r="J163" i="2"/>
  <c r="G163" i="2"/>
  <c r="E163" i="2"/>
  <c r="D163" i="2"/>
  <c r="C163" i="2"/>
  <c r="U162" i="2"/>
  <c r="Q162" i="2"/>
  <c r="P162" i="2"/>
  <c r="N162" i="2"/>
  <c r="M162" i="2"/>
  <c r="J162" i="2"/>
  <c r="H162" i="2"/>
  <c r="G162" i="2"/>
  <c r="E162" i="2"/>
  <c r="D162" i="2"/>
  <c r="C162" i="2"/>
  <c r="U161" i="2"/>
  <c r="Q161" i="2"/>
  <c r="P161" i="2"/>
  <c r="M161" i="2"/>
  <c r="J161" i="2"/>
  <c r="H161" i="2"/>
  <c r="G161" i="2"/>
  <c r="E161" i="2"/>
  <c r="D161" i="2"/>
  <c r="C161" i="2"/>
  <c r="U160" i="2"/>
  <c r="Q160" i="2"/>
  <c r="P160" i="2"/>
  <c r="O160" i="2"/>
  <c r="N160" i="2"/>
  <c r="M160" i="2"/>
  <c r="K160" i="2"/>
  <c r="J160" i="2"/>
  <c r="G160" i="2"/>
  <c r="D160" i="2"/>
  <c r="C160" i="2"/>
  <c r="U159" i="2"/>
  <c r="Q159" i="2"/>
  <c r="P159" i="2"/>
  <c r="N159" i="2"/>
  <c r="M159" i="2"/>
  <c r="K159" i="2"/>
  <c r="J159" i="2"/>
  <c r="H159" i="2"/>
  <c r="G159" i="2"/>
  <c r="E159" i="2"/>
  <c r="D159" i="2"/>
  <c r="C159" i="2"/>
  <c r="U158" i="2"/>
  <c r="Q158" i="2"/>
  <c r="P158" i="2"/>
  <c r="M158" i="2"/>
  <c r="K158" i="2"/>
  <c r="J158" i="2"/>
  <c r="G158" i="2"/>
  <c r="E158" i="2"/>
  <c r="D158" i="2"/>
  <c r="C158" i="2"/>
  <c r="U157" i="2"/>
  <c r="Q157" i="2"/>
  <c r="P157" i="2"/>
  <c r="N157" i="2"/>
  <c r="M157" i="2"/>
  <c r="K157" i="2"/>
  <c r="J157" i="2"/>
  <c r="H157" i="2"/>
  <c r="G157" i="2"/>
  <c r="E157" i="2"/>
  <c r="D157" i="2"/>
  <c r="C157" i="2"/>
  <c r="U156" i="2"/>
  <c r="Q156" i="2"/>
  <c r="P156" i="2"/>
  <c r="N156" i="2"/>
  <c r="M156" i="2"/>
  <c r="J156" i="2"/>
  <c r="G156" i="2"/>
  <c r="E156" i="2"/>
  <c r="D156" i="2"/>
  <c r="C156" i="2"/>
  <c r="U155" i="2"/>
  <c r="Q155" i="2"/>
  <c r="P155" i="2"/>
  <c r="N155" i="2"/>
  <c r="M155" i="2"/>
  <c r="K155" i="2"/>
  <c r="J155" i="2"/>
  <c r="H155" i="2"/>
  <c r="G155" i="2"/>
  <c r="E155" i="2"/>
  <c r="D155" i="2"/>
  <c r="C155" i="2"/>
  <c r="U154" i="2"/>
  <c r="Q154" i="2"/>
  <c r="P154" i="2"/>
  <c r="N154" i="2"/>
  <c r="M154" i="2"/>
  <c r="K154" i="2"/>
  <c r="J154" i="2"/>
  <c r="H154" i="2"/>
  <c r="G154" i="2"/>
  <c r="E154" i="2"/>
  <c r="D154" i="2"/>
  <c r="C154" i="2"/>
  <c r="U153" i="2"/>
  <c r="Q153" i="2"/>
  <c r="P153" i="2"/>
  <c r="N153" i="2"/>
  <c r="M153" i="2"/>
  <c r="K153" i="2"/>
  <c r="J153" i="2"/>
  <c r="H153" i="2"/>
  <c r="G153" i="2"/>
  <c r="E153" i="2"/>
  <c r="D153" i="2"/>
  <c r="C153" i="2"/>
  <c r="U152" i="2"/>
  <c r="Q152" i="2"/>
  <c r="P152" i="2"/>
  <c r="N152" i="2"/>
  <c r="M152" i="2"/>
  <c r="K152" i="2"/>
  <c r="J152" i="2"/>
  <c r="H152" i="2"/>
  <c r="G152" i="2"/>
  <c r="D152" i="2"/>
  <c r="C152" i="2"/>
  <c r="U151" i="2"/>
  <c r="Q151" i="2"/>
  <c r="P151" i="2"/>
  <c r="N151" i="2"/>
  <c r="M151" i="2"/>
  <c r="K151" i="2"/>
  <c r="J151" i="2"/>
  <c r="H151" i="2"/>
  <c r="G151" i="2"/>
  <c r="D151" i="2"/>
  <c r="C151" i="2"/>
  <c r="U150" i="2"/>
  <c r="P150" i="2"/>
  <c r="N150" i="2"/>
  <c r="M150" i="2"/>
  <c r="K150" i="2"/>
  <c r="J150" i="2"/>
  <c r="H150" i="2"/>
  <c r="G150" i="2"/>
  <c r="E150" i="2"/>
  <c r="D150" i="2"/>
  <c r="C150" i="2"/>
  <c r="U149" i="2"/>
  <c r="Q149" i="2"/>
  <c r="P149" i="2"/>
  <c r="N149" i="2"/>
  <c r="M149" i="2"/>
  <c r="J149" i="2"/>
  <c r="H149" i="2"/>
  <c r="G149" i="2"/>
  <c r="E149" i="2"/>
  <c r="D149" i="2"/>
  <c r="C149" i="2"/>
  <c r="U148" i="2"/>
  <c r="P148" i="2"/>
  <c r="N148" i="2"/>
  <c r="M148" i="2"/>
  <c r="K148" i="2"/>
  <c r="J148" i="2"/>
  <c r="G148" i="2"/>
  <c r="E148" i="2"/>
  <c r="D148" i="2"/>
  <c r="C148" i="2"/>
  <c r="U147" i="2"/>
  <c r="Q147" i="2"/>
  <c r="P147" i="2"/>
  <c r="N147" i="2"/>
  <c r="M147" i="2"/>
  <c r="K147" i="2"/>
  <c r="J147" i="2"/>
  <c r="G147" i="2"/>
  <c r="E147" i="2"/>
  <c r="D147" i="2"/>
  <c r="C147" i="2"/>
  <c r="U146" i="2"/>
  <c r="Q146" i="2"/>
  <c r="P146" i="2"/>
  <c r="N146" i="2"/>
  <c r="M146" i="2"/>
  <c r="K146" i="2"/>
  <c r="J146" i="2"/>
  <c r="G146" i="2"/>
  <c r="E146" i="2"/>
  <c r="D146" i="2"/>
  <c r="C146" i="2"/>
  <c r="U145" i="2"/>
  <c r="R145" i="2"/>
  <c r="Q145" i="2"/>
  <c r="P145" i="2"/>
  <c r="N145" i="2"/>
  <c r="M145" i="2"/>
  <c r="K145" i="2"/>
  <c r="J145" i="2"/>
  <c r="H145" i="2"/>
  <c r="G145" i="2"/>
  <c r="E145" i="2"/>
  <c r="D145" i="2"/>
  <c r="C145" i="2"/>
  <c r="U144" i="2"/>
  <c r="P144" i="2"/>
  <c r="M144" i="2"/>
  <c r="K144" i="2"/>
  <c r="J144" i="2"/>
  <c r="H144" i="2"/>
  <c r="G144" i="2"/>
  <c r="E144" i="2"/>
  <c r="D144" i="2"/>
  <c r="C144" i="2"/>
  <c r="U143" i="2"/>
  <c r="Q143" i="2"/>
  <c r="P143" i="2"/>
  <c r="M143" i="2"/>
  <c r="K143" i="2"/>
  <c r="J143" i="2"/>
  <c r="G143" i="2"/>
  <c r="E143" i="2"/>
  <c r="D143" i="2"/>
  <c r="C143" i="2"/>
  <c r="U142" i="2"/>
  <c r="Q142" i="2"/>
  <c r="P142" i="2"/>
  <c r="N142" i="2"/>
  <c r="M142" i="2"/>
  <c r="K142" i="2"/>
  <c r="J142" i="2"/>
  <c r="H142" i="2"/>
  <c r="G142" i="2"/>
  <c r="D142" i="2"/>
  <c r="C142" i="2"/>
  <c r="U141" i="2"/>
  <c r="Q141" i="2"/>
  <c r="P141" i="2"/>
  <c r="M141" i="2"/>
  <c r="K141" i="2"/>
  <c r="J141" i="2"/>
  <c r="G141" i="2"/>
  <c r="D141" i="2"/>
  <c r="C141" i="2"/>
  <c r="U140" i="2"/>
  <c r="Q140" i="2"/>
  <c r="P140" i="2"/>
  <c r="N140" i="2"/>
  <c r="M140" i="2"/>
  <c r="K140" i="2"/>
  <c r="J140" i="2"/>
  <c r="H140" i="2"/>
  <c r="G140" i="2"/>
  <c r="E140" i="2"/>
  <c r="D140" i="2"/>
  <c r="C140" i="2"/>
  <c r="U139" i="2"/>
  <c r="Q139" i="2"/>
  <c r="P139" i="2"/>
  <c r="N139" i="2"/>
  <c r="M139" i="2"/>
  <c r="K139" i="2"/>
  <c r="J139" i="2"/>
  <c r="H139" i="2"/>
  <c r="G139" i="2"/>
  <c r="E139" i="2"/>
  <c r="D139" i="2"/>
  <c r="C139" i="2"/>
  <c r="U138" i="2"/>
  <c r="P138" i="2"/>
  <c r="N138" i="2"/>
  <c r="M138" i="2"/>
  <c r="K138" i="2"/>
  <c r="J138" i="2"/>
  <c r="H138" i="2"/>
  <c r="G138" i="2"/>
  <c r="E138" i="2"/>
  <c r="D138" i="2"/>
  <c r="C138" i="2"/>
  <c r="U137" i="2"/>
  <c r="P137" i="2"/>
  <c r="M137" i="2"/>
  <c r="K137" i="2"/>
  <c r="J137" i="2"/>
  <c r="H137" i="2"/>
  <c r="G137" i="2"/>
  <c r="E137" i="2"/>
  <c r="D137" i="2"/>
  <c r="C137" i="2"/>
  <c r="U136" i="2"/>
  <c r="Q136" i="2"/>
  <c r="P136" i="2"/>
  <c r="N136" i="2"/>
  <c r="M136" i="2"/>
  <c r="K136" i="2"/>
  <c r="J136" i="2"/>
  <c r="H136" i="2"/>
  <c r="G136" i="2"/>
  <c r="E136" i="2"/>
  <c r="D136" i="2"/>
  <c r="C136" i="2"/>
  <c r="U135" i="2"/>
  <c r="Q135" i="2"/>
  <c r="P135" i="2"/>
  <c r="N135" i="2"/>
  <c r="M135" i="2"/>
  <c r="K135" i="2"/>
  <c r="J135" i="2"/>
  <c r="H135" i="2"/>
  <c r="G135" i="2"/>
  <c r="E135" i="2"/>
  <c r="D135" i="2"/>
  <c r="C135" i="2"/>
  <c r="U134" i="2"/>
  <c r="Q134" i="2"/>
  <c r="P134" i="2"/>
  <c r="N134" i="2"/>
  <c r="M134" i="2"/>
  <c r="K134" i="2"/>
  <c r="J134" i="2"/>
  <c r="H134" i="2"/>
  <c r="G134" i="2"/>
  <c r="E134" i="2"/>
  <c r="D134" i="2"/>
  <c r="C134" i="2"/>
  <c r="U133" i="2"/>
  <c r="Q133" i="2"/>
  <c r="P133" i="2"/>
  <c r="M133" i="2"/>
  <c r="K133" i="2"/>
  <c r="J133" i="2"/>
  <c r="H133" i="2"/>
  <c r="G133" i="2"/>
  <c r="D133" i="2"/>
  <c r="C133" i="2"/>
  <c r="U132" i="2"/>
  <c r="Q132" i="2"/>
  <c r="P132" i="2"/>
  <c r="N132" i="2"/>
  <c r="M132" i="2"/>
  <c r="K132" i="2"/>
  <c r="J132" i="2"/>
  <c r="H132" i="2"/>
  <c r="G132" i="2"/>
  <c r="D132" i="2"/>
  <c r="C132" i="2"/>
  <c r="U131" i="2"/>
  <c r="Q131" i="2"/>
  <c r="P131" i="2"/>
  <c r="N131" i="2"/>
  <c r="M131" i="2"/>
  <c r="K131" i="2"/>
  <c r="J131" i="2"/>
  <c r="G131" i="2"/>
  <c r="E131" i="2"/>
  <c r="D131" i="2"/>
  <c r="C131" i="2"/>
  <c r="U130" i="2"/>
  <c r="Q130" i="2"/>
  <c r="P130" i="2"/>
  <c r="N130" i="2"/>
  <c r="M130" i="2"/>
  <c r="K130" i="2"/>
  <c r="J130" i="2"/>
  <c r="H130" i="2"/>
  <c r="G130" i="2"/>
  <c r="F130" i="2"/>
  <c r="F229" i="2" s="1"/>
  <c r="E130" i="2"/>
  <c r="D130" i="2"/>
  <c r="C130" i="2"/>
  <c r="U129" i="2"/>
  <c r="Q129" i="2"/>
  <c r="P129" i="2"/>
  <c r="N129" i="2"/>
  <c r="M129" i="2"/>
  <c r="K129" i="2"/>
  <c r="J129" i="2"/>
  <c r="G129" i="2"/>
  <c r="D129" i="2"/>
  <c r="C129" i="2"/>
  <c r="U128" i="2"/>
  <c r="Q128" i="2"/>
  <c r="P128" i="2"/>
  <c r="N128" i="2"/>
  <c r="M128" i="2"/>
  <c r="J128" i="2"/>
  <c r="H128" i="2"/>
  <c r="G128" i="2"/>
  <c r="E128" i="2"/>
  <c r="D128" i="2"/>
  <c r="C128" i="2"/>
  <c r="U127" i="2"/>
  <c r="Q127" i="2"/>
  <c r="P127" i="2"/>
  <c r="N127" i="2"/>
  <c r="M127" i="2"/>
  <c r="K127" i="2"/>
  <c r="J127" i="2"/>
  <c r="H127" i="2"/>
  <c r="G127" i="2"/>
  <c r="E127" i="2"/>
  <c r="D127" i="2"/>
  <c r="C127" i="2"/>
  <c r="U126" i="2"/>
  <c r="Q126" i="2"/>
  <c r="P126" i="2"/>
  <c r="N126" i="2"/>
  <c r="M126" i="2"/>
  <c r="K126" i="2"/>
  <c r="J126" i="2"/>
  <c r="G126" i="2"/>
  <c r="E126" i="2"/>
  <c r="D126" i="2"/>
  <c r="C126" i="2"/>
  <c r="U125" i="2"/>
  <c r="Q125" i="2"/>
  <c r="P125" i="2"/>
  <c r="M125" i="2"/>
  <c r="K125" i="2"/>
  <c r="J125" i="2"/>
  <c r="H125" i="2"/>
  <c r="G125" i="2"/>
  <c r="E125" i="2"/>
  <c r="D125" i="2"/>
  <c r="C125" i="2"/>
  <c r="U124" i="2"/>
  <c r="Q124" i="2"/>
  <c r="P124" i="2"/>
  <c r="N124" i="2"/>
  <c r="M124" i="2"/>
  <c r="K124" i="2"/>
  <c r="J124" i="2"/>
  <c r="G124" i="2"/>
  <c r="E124" i="2"/>
  <c r="D124" i="2"/>
  <c r="C124" i="2"/>
  <c r="U123" i="2"/>
  <c r="Q123" i="2"/>
  <c r="P123" i="2"/>
  <c r="N123" i="2"/>
  <c r="M123" i="2"/>
  <c r="K123" i="2"/>
  <c r="J123" i="2"/>
  <c r="H123" i="2"/>
  <c r="G123" i="2"/>
  <c r="D123" i="2"/>
  <c r="C123" i="2"/>
  <c r="U122" i="2"/>
  <c r="Q122" i="2"/>
  <c r="P122" i="2"/>
  <c r="N122" i="2"/>
  <c r="M122" i="2"/>
  <c r="K122" i="2"/>
  <c r="J122" i="2"/>
  <c r="H122" i="2"/>
  <c r="G122" i="2"/>
  <c r="E122" i="2"/>
  <c r="D122" i="2"/>
  <c r="C122" i="2"/>
  <c r="U121" i="2"/>
  <c r="Q121" i="2"/>
  <c r="P121" i="2"/>
  <c r="M121" i="2"/>
  <c r="K121" i="2"/>
  <c r="J121" i="2"/>
  <c r="H121" i="2"/>
  <c r="G121" i="2"/>
  <c r="E121" i="2"/>
  <c r="D121" i="2"/>
  <c r="C121" i="2"/>
  <c r="U120" i="2"/>
  <c r="Q120" i="2"/>
  <c r="P120" i="2"/>
  <c r="M120" i="2"/>
  <c r="K120" i="2"/>
  <c r="J120" i="2"/>
  <c r="H120" i="2"/>
  <c r="G120" i="2"/>
  <c r="D120" i="2"/>
  <c r="C120" i="2"/>
  <c r="U119" i="2"/>
  <c r="Q119" i="2"/>
  <c r="P119" i="2"/>
  <c r="N119" i="2"/>
  <c r="M119" i="2"/>
  <c r="K119" i="2"/>
  <c r="J119" i="2"/>
  <c r="G119" i="2"/>
  <c r="E119" i="2"/>
  <c r="D119" i="2"/>
  <c r="C119" i="2"/>
  <c r="U118" i="2"/>
  <c r="Q118" i="2"/>
  <c r="P118" i="2"/>
  <c r="N118" i="2"/>
  <c r="M118" i="2"/>
  <c r="K118" i="2"/>
  <c r="J118" i="2"/>
  <c r="H118" i="2"/>
  <c r="G118" i="2"/>
  <c r="E118" i="2"/>
  <c r="D118" i="2"/>
  <c r="C118" i="2"/>
  <c r="U117" i="2"/>
  <c r="Q117" i="2"/>
  <c r="P117" i="2"/>
  <c r="N117" i="2"/>
  <c r="M117" i="2"/>
  <c r="K117" i="2"/>
  <c r="J117" i="2"/>
  <c r="H117" i="2"/>
  <c r="G117" i="2"/>
  <c r="E117" i="2"/>
  <c r="D117" i="2"/>
  <c r="C117" i="2"/>
  <c r="U116" i="2"/>
  <c r="P116" i="2"/>
  <c r="N116" i="2"/>
  <c r="M116" i="2"/>
  <c r="K116" i="2"/>
  <c r="J116" i="2"/>
  <c r="H116" i="2"/>
  <c r="G116" i="2"/>
  <c r="E116" i="2"/>
  <c r="D116" i="2"/>
  <c r="C116" i="2"/>
  <c r="U115" i="2"/>
  <c r="Q115" i="2"/>
  <c r="P115" i="2"/>
  <c r="N115" i="2"/>
  <c r="M115" i="2"/>
  <c r="J115" i="2"/>
  <c r="H115" i="2"/>
  <c r="G115" i="2"/>
  <c r="E115" i="2"/>
  <c r="D115" i="2"/>
  <c r="C115" i="2"/>
  <c r="U114" i="2"/>
  <c r="Q114" i="2"/>
  <c r="P114" i="2"/>
  <c r="N114" i="2"/>
  <c r="M114" i="2"/>
  <c r="K114" i="2"/>
  <c r="J114" i="2"/>
  <c r="G114" i="2"/>
  <c r="E114" i="2"/>
  <c r="D114" i="2"/>
  <c r="C114" i="2"/>
  <c r="U113" i="2"/>
  <c r="Q113" i="2"/>
  <c r="P113" i="2"/>
  <c r="N113" i="2"/>
  <c r="M113" i="2"/>
  <c r="K113" i="2"/>
  <c r="J113" i="2"/>
  <c r="G113" i="2"/>
  <c r="D113" i="2"/>
  <c r="C113" i="2"/>
  <c r="U112" i="2"/>
  <c r="Q112" i="2"/>
  <c r="P112" i="2"/>
  <c r="N112" i="2"/>
  <c r="M112" i="2"/>
  <c r="K112" i="2"/>
  <c r="J112" i="2"/>
  <c r="H112" i="2"/>
  <c r="G112" i="2"/>
  <c r="D112" i="2"/>
  <c r="C112" i="2"/>
  <c r="U111" i="2"/>
  <c r="R111" i="2"/>
  <c r="Q111" i="2"/>
  <c r="P111" i="2"/>
  <c r="M111" i="2"/>
  <c r="J111" i="2"/>
  <c r="H111" i="2"/>
  <c r="G111" i="2"/>
  <c r="E111" i="2"/>
  <c r="D111" i="2"/>
  <c r="C111" i="2"/>
  <c r="U110" i="2"/>
  <c r="Q110" i="2"/>
  <c r="P110" i="2"/>
  <c r="N110" i="2"/>
  <c r="M110" i="2"/>
  <c r="K110" i="2"/>
  <c r="J110" i="2"/>
  <c r="H110" i="2"/>
  <c r="G110" i="2"/>
  <c r="E110" i="2"/>
  <c r="D110" i="2"/>
  <c r="C110" i="2"/>
  <c r="U109" i="2"/>
  <c r="P109" i="2"/>
  <c r="N109" i="2"/>
  <c r="M109" i="2"/>
  <c r="K109" i="2"/>
  <c r="J109" i="2"/>
  <c r="H109" i="2"/>
  <c r="G109" i="2"/>
  <c r="D109" i="2"/>
  <c r="C109" i="2"/>
  <c r="U108" i="2"/>
  <c r="Q108" i="2"/>
  <c r="P108" i="2"/>
  <c r="N108" i="2"/>
  <c r="M108" i="2"/>
  <c r="K108" i="2"/>
  <c r="J108" i="2"/>
  <c r="H108" i="2"/>
  <c r="G108" i="2"/>
  <c r="E108" i="2"/>
  <c r="D108" i="2"/>
  <c r="C108" i="2"/>
  <c r="U107" i="2"/>
  <c r="Q107" i="2"/>
  <c r="P107" i="2"/>
  <c r="N107" i="2"/>
  <c r="M107" i="2"/>
  <c r="K107" i="2"/>
  <c r="J107" i="2"/>
  <c r="G107" i="2"/>
  <c r="E107" i="2"/>
  <c r="D107" i="2"/>
  <c r="C107" i="2"/>
  <c r="U106" i="2"/>
  <c r="Q106" i="2"/>
  <c r="P106" i="2"/>
  <c r="M106" i="2"/>
  <c r="J106" i="2"/>
  <c r="H106" i="2"/>
  <c r="G106" i="2"/>
  <c r="E106" i="2"/>
  <c r="D106" i="2"/>
  <c r="C106" i="2"/>
  <c r="U105" i="2"/>
  <c r="Q105" i="2"/>
  <c r="P105" i="2"/>
  <c r="N105" i="2"/>
  <c r="M105" i="2"/>
  <c r="K105" i="2"/>
  <c r="J105" i="2"/>
  <c r="H105" i="2"/>
  <c r="G105" i="2"/>
  <c r="D105" i="2"/>
  <c r="C105" i="2"/>
  <c r="U104" i="2"/>
  <c r="Q104" i="2"/>
  <c r="P104" i="2"/>
  <c r="N104" i="2"/>
  <c r="M104" i="2"/>
  <c r="K104" i="2"/>
  <c r="J104" i="2"/>
  <c r="H104" i="2"/>
  <c r="G104" i="2"/>
  <c r="E104" i="2"/>
  <c r="D104" i="2"/>
  <c r="C104" i="2"/>
  <c r="U103" i="2"/>
  <c r="Q103" i="2"/>
  <c r="P103" i="2"/>
  <c r="N103" i="2"/>
  <c r="M103" i="2"/>
  <c r="K103" i="2"/>
  <c r="J103" i="2"/>
  <c r="H103" i="2"/>
  <c r="G103" i="2"/>
  <c r="D103" i="2"/>
  <c r="C103" i="2"/>
  <c r="U102" i="2"/>
  <c r="Q102" i="2"/>
  <c r="P102" i="2"/>
  <c r="N102" i="2"/>
  <c r="M102" i="2"/>
  <c r="K102" i="2"/>
  <c r="J102" i="2"/>
  <c r="H102" i="2"/>
  <c r="G102" i="2"/>
  <c r="E102" i="2"/>
  <c r="D102" i="2"/>
  <c r="C102" i="2"/>
  <c r="U101" i="2"/>
  <c r="Q101" i="2"/>
  <c r="P101" i="2"/>
  <c r="N101" i="2"/>
  <c r="M101" i="2"/>
  <c r="K101" i="2"/>
  <c r="J101" i="2"/>
  <c r="G101" i="2"/>
  <c r="E101" i="2"/>
  <c r="D101" i="2"/>
  <c r="C101" i="2"/>
  <c r="U100" i="2"/>
  <c r="Q100" i="2"/>
  <c r="P100" i="2"/>
  <c r="N100" i="2"/>
  <c r="M100" i="2"/>
  <c r="K100" i="2"/>
  <c r="J100" i="2"/>
  <c r="H100" i="2"/>
  <c r="G100" i="2"/>
  <c r="E100" i="2"/>
  <c r="D100" i="2"/>
  <c r="C100" i="2"/>
  <c r="U99" i="2"/>
  <c r="P99" i="2"/>
  <c r="M99" i="2"/>
  <c r="K99" i="2"/>
  <c r="J99" i="2"/>
  <c r="G99" i="2"/>
  <c r="E99" i="2"/>
  <c r="D99" i="2"/>
  <c r="C99" i="2"/>
  <c r="U98" i="2"/>
  <c r="Q98" i="2"/>
  <c r="P98" i="2"/>
  <c r="N98" i="2"/>
  <c r="M98" i="2"/>
  <c r="K98" i="2"/>
  <c r="J98" i="2"/>
  <c r="H98" i="2"/>
  <c r="G98" i="2"/>
  <c r="E98" i="2"/>
  <c r="D98" i="2"/>
  <c r="C98" i="2"/>
  <c r="U97" i="2"/>
  <c r="Q97" i="2"/>
  <c r="P97" i="2"/>
  <c r="N97" i="2"/>
  <c r="M97" i="2"/>
  <c r="J97" i="2"/>
  <c r="G97" i="2"/>
  <c r="E97" i="2"/>
  <c r="D97" i="2"/>
  <c r="C97" i="2"/>
  <c r="U96" i="2"/>
  <c r="P96" i="2"/>
  <c r="N96" i="2"/>
  <c r="M96" i="2"/>
  <c r="K96" i="2"/>
  <c r="J96" i="2"/>
  <c r="H96" i="2"/>
  <c r="G96" i="2"/>
  <c r="E96" i="2"/>
  <c r="D96" i="2"/>
  <c r="C96" i="2"/>
  <c r="U95" i="2"/>
  <c r="R95" i="2"/>
  <c r="Q95" i="2"/>
  <c r="P95" i="2"/>
  <c r="N95" i="2"/>
  <c r="M95" i="2"/>
  <c r="J95" i="2"/>
  <c r="H95" i="2"/>
  <c r="G95" i="2"/>
  <c r="D95" i="2"/>
  <c r="C95" i="2"/>
  <c r="U94" i="2"/>
  <c r="Q94" i="2"/>
  <c r="P94" i="2"/>
  <c r="O94" i="2"/>
  <c r="N94" i="2"/>
  <c r="M94" i="2"/>
  <c r="J94" i="2"/>
  <c r="G94" i="2"/>
  <c r="E94" i="2"/>
  <c r="D94" i="2"/>
  <c r="C94" i="2"/>
  <c r="U93" i="2"/>
  <c r="Q93" i="2"/>
  <c r="P93" i="2"/>
  <c r="N93" i="2"/>
  <c r="M93" i="2"/>
  <c r="J93" i="2"/>
  <c r="H93" i="2"/>
  <c r="G93" i="2"/>
  <c r="E93" i="2"/>
  <c r="D93" i="2"/>
  <c r="C93" i="2"/>
  <c r="U92" i="2"/>
  <c r="Q92" i="2"/>
  <c r="P92" i="2"/>
  <c r="N92" i="2"/>
  <c r="M92" i="2"/>
  <c r="K92" i="2"/>
  <c r="J92" i="2"/>
  <c r="G92" i="2"/>
  <c r="E92" i="2"/>
  <c r="D92" i="2"/>
  <c r="C92" i="2"/>
  <c r="U91" i="2"/>
  <c r="Q91" i="2"/>
  <c r="P91" i="2"/>
  <c r="N91" i="2"/>
  <c r="M91" i="2"/>
  <c r="K91" i="2"/>
  <c r="J91" i="2"/>
  <c r="H91" i="2"/>
  <c r="G91" i="2"/>
  <c r="E91" i="2"/>
  <c r="D91" i="2"/>
  <c r="C91" i="2"/>
  <c r="U90" i="2"/>
  <c r="Q90" i="2"/>
  <c r="P90" i="2"/>
  <c r="N90" i="2"/>
  <c r="M90" i="2"/>
  <c r="K90" i="2"/>
  <c r="J90" i="2"/>
  <c r="H90" i="2"/>
  <c r="G90" i="2"/>
  <c r="D90" i="2"/>
  <c r="C90" i="2"/>
  <c r="U89" i="2"/>
  <c r="Q89" i="2"/>
  <c r="P89" i="2"/>
  <c r="N89" i="2"/>
  <c r="M89" i="2"/>
  <c r="K89" i="2"/>
  <c r="J89" i="2"/>
  <c r="H89" i="2"/>
  <c r="G89" i="2"/>
  <c r="D89" i="2"/>
  <c r="C89" i="2"/>
  <c r="U88" i="2"/>
  <c r="Q88" i="2"/>
  <c r="P88" i="2"/>
  <c r="N88" i="2"/>
  <c r="M88" i="2"/>
  <c r="K88" i="2"/>
  <c r="J88" i="2"/>
  <c r="H88" i="2"/>
  <c r="G88" i="2"/>
  <c r="E88" i="2"/>
  <c r="D88" i="2"/>
  <c r="C88" i="2"/>
  <c r="U87" i="2"/>
  <c r="Q87" i="2"/>
  <c r="P87" i="2"/>
  <c r="M87" i="2"/>
  <c r="K87" i="2"/>
  <c r="J87" i="2"/>
  <c r="H87" i="2"/>
  <c r="G87" i="2"/>
  <c r="E87" i="2"/>
  <c r="D87" i="2"/>
  <c r="C87" i="2"/>
  <c r="U86" i="2"/>
  <c r="Q86" i="2"/>
  <c r="P86" i="2"/>
  <c r="N86" i="2"/>
  <c r="M86" i="2"/>
  <c r="K86" i="2"/>
  <c r="J86" i="2"/>
  <c r="H86" i="2"/>
  <c r="G86" i="2"/>
  <c r="E86" i="2"/>
  <c r="D86" i="2"/>
  <c r="C86" i="2"/>
  <c r="U85" i="2"/>
  <c r="Q85" i="2"/>
  <c r="P85" i="2"/>
  <c r="N85" i="2"/>
  <c r="M85" i="2"/>
  <c r="K85" i="2"/>
  <c r="J85" i="2"/>
  <c r="H85" i="2"/>
  <c r="G85" i="2"/>
  <c r="E85" i="2"/>
  <c r="D85" i="2"/>
  <c r="C85" i="2"/>
  <c r="U84" i="2"/>
  <c r="Q84" i="2"/>
  <c r="P84" i="2"/>
  <c r="N84" i="2"/>
  <c r="M84" i="2"/>
  <c r="K84" i="2"/>
  <c r="J84" i="2"/>
  <c r="H84" i="2"/>
  <c r="G84" i="2"/>
  <c r="E84" i="2"/>
  <c r="D84" i="2"/>
  <c r="C84" i="2"/>
  <c r="U83" i="2"/>
  <c r="Q83" i="2"/>
  <c r="P83" i="2"/>
  <c r="N83" i="2"/>
  <c r="M83" i="2"/>
  <c r="K83" i="2"/>
  <c r="J83" i="2"/>
  <c r="G83" i="2"/>
  <c r="E83" i="2"/>
  <c r="D83" i="2"/>
  <c r="C83" i="2"/>
  <c r="U82" i="2"/>
  <c r="P82" i="2"/>
  <c r="N82" i="2"/>
  <c r="M82" i="2"/>
  <c r="K82" i="2"/>
  <c r="J82" i="2"/>
  <c r="H82" i="2"/>
  <c r="G82" i="2"/>
  <c r="E82" i="2"/>
  <c r="D82" i="2"/>
  <c r="C82" i="2"/>
  <c r="U81" i="2"/>
  <c r="P81" i="2"/>
  <c r="N81" i="2"/>
  <c r="M81" i="2"/>
  <c r="J81" i="2"/>
  <c r="H81" i="2"/>
  <c r="G81" i="2"/>
  <c r="E81" i="2"/>
  <c r="D81" i="2"/>
  <c r="C81" i="2"/>
  <c r="U80" i="2"/>
  <c r="P80" i="2"/>
  <c r="M80" i="2"/>
  <c r="J80" i="2"/>
  <c r="H80" i="2"/>
  <c r="G80" i="2"/>
  <c r="D80" i="2"/>
  <c r="C80" i="2"/>
  <c r="U79" i="2"/>
  <c r="P79" i="2"/>
  <c r="N79" i="2"/>
  <c r="M79" i="2"/>
  <c r="K79" i="2"/>
  <c r="J79" i="2"/>
  <c r="H79" i="2"/>
  <c r="G79" i="2"/>
  <c r="E79" i="2"/>
  <c r="D79" i="2"/>
  <c r="C79" i="2"/>
  <c r="U78" i="2"/>
  <c r="P78" i="2"/>
  <c r="N78" i="2"/>
  <c r="M78" i="2"/>
  <c r="K78" i="2"/>
  <c r="J78" i="2"/>
  <c r="G78" i="2"/>
  <c r="E78" i="2"/>
  <c r="D78" i="2"/>
  <c r="C78" i="2"/>
  <c r="U77" i="2"/>
  <c r="Q77" i="2"/>
  <c r="P77" i="2"/>
  <c r="N77" i="2"/>
  <c r="M77" i="2"/>
  <c r="K77" i="2"/>
  <c r="J77" i="2"/>
  <c r="H77" i="2"/>
  <c r="G77" i="2"/>
  <c r="E77" i="2"/>
  <c r="D77" i="2"/>
  <c r="C77" i="2"/>
  <c r="U76" i="2"/>
  <c r="Q76" i="2"/>
  <c r="P76" i="2"/>
  <c r="M76" i="2"/>
  <c r="K76" i="2"/>
  <c r="J76" i="2"/>
  <c r="H76" i="2"/>
  <c r="G76" i="2"/>
  <c r="E76" i="2"/>
  <c r="D76" i="2"/>
  <c r="C76" i="2"/>
  <c r="U75" i="2"/>
  <c r="Q75" i="2"/>
  <c r="P75" i="2"/>
  <c r="N75" i="2"/>
  <c r="M75" i="2"/>
  <c r="K75" i="2"/>
  <c r="J75" i="2"/>
  <c r="H75" i="2"/>
  <c r="G75" i="2"/>
  <c r="E75" i="2"/>
  <c r="D75" i="2"/>
  <c r="C75" i="2"/>
  <c r="U74" i="2"/>
  <c r="P74" i="2"/>
  <c r="N74" i="2"/>
  <c r="M74" i="2"/>
  <c r="K74" i="2"/>
  <c r="J74" i="2"/>
  <c r="H74" i="2"/>
  <c r="G74" i="2"/>
  <c r="E74" i="2"/>
  <c r="D74" i="2"/>
  <c r="C74" i="2"/>
  <c r="U73" i="2"/>
  <c r="Q73" i="2"/>
  <c r="P73" i="2"/>
  <c r="N73" i="2"/>
  <c r="M73" i="2"/>
  <c r="J73" i="2"/>
  <c r="G73" i="2"/>
  <c r="E73" i="2"/>
  <c r="D73" i="2"/>
  <c r="C73" i="2"/>
  <c r="U72" i="2"/>
  <c r="P72" i="2"/>
  <c r="N72" i="2"/>
  <c r="M72" i="2"/>
  <c r="K72" i="2"/>
  <c r="J72" i="2"/>
  <c r="H72" i="2"/>
  <c r="G72" i="2"/>
  <c r="E72" i="2"/>
  <c r="D72" i="2"/>
  <c r="C72" i="2"/>
  <c r="U71" i="2"/>
  <c r="P71" i="2"/>
  <c r="N71" i="2"/>
  <c r="M71" i="2"/>
  <c r="K71" i="2"/>
  <c r="J71" i="2"/>
  <c r="G71" i="2"/>
  <c r="E71" i="2"/>
  <c r="D71" i="2"/>
  <c r="C71" i="2"/>
  <c r="U70" i="2"/>
  <c r="Q70" i="2"/>
  <c r="P70" i="2"/>
  <c r="M70" i="2"/>
  <c r="K70" i="2"/>
  <c r="J70" i="2"/>
  <c r="H70" i="2"/>
  <c r="G70" i="2"/>
  <c r="E70" i="2"/>
  <c r="D70" i="2"/>
  <c r="C70" i="2"/>
  <c r="U69" i="2"/>
  <c r="Q69" i="2"/>
  <c r="P69" i="2"/>
  <c r="N69" i="2"/>
  <c r="M69" i="2"/>
  <c r="K69" i="2"/>
  <c r="J69" i="2"/>
  <c r="H69" i="2"/>
  <c r="G69" i="2"/>
  <c r="E69" i="2"/>
  <c r="D69" i="2"/>
  <c r="C69" i="2"/>
  <c r="U68" i="2"/>
  <c r="P68" i="2"/>
  <c r="N68" i="2"/>
  <c r="M68" i="2"/>
  <c r="K68" i="2"/>
  <c r="J68" i="2"/>
  <c r="H68" i="2"/>
  <c r="G68" i="2"/>
  <c r="D68" i="2"/>
  <c r="C68" i="2"/>
  <c r="U67" i="2"/>
  <c r="Q67" i="2"/>
  <c r="P67" i="2"/>
  <c r="N67" i="2"/>
  <c r="M67" i="2"/>
  <c r="K67" i="2"/>
  <c r="J67" i="2"/>
  <c r="H67" i="2"/>
  <c r="G67" i="2"/>
  <c r="E67" i="2"/>
  <c r="D67" i="2"/>
  <c r="C67" i="2"/>
  <c r="U66" i="2"/>
  <c r="Q66" i="2"/>
  <c r="P66" i="2"/>
  <c r="N66" i="2"/>
  <c r="M66" i="2"/>
  <c r="K66" i="2"/>
  <c r="J66" i="2"/>
  <c r="G66" i="2"/>
  <c r="E66" i="2"/>
  <c r="D66" i="2"/>
  <c r="C66" i="2"/>
  <c r="U65" i="2"/>
  <c r="Q65" i="2"/>
  <c r="P65" i="2"/>
  <c r="N65" i="2"/>
  <c r="M65" i="2"/>
  <c r="K65" i="2"/>
  <c r="J65" i="2"/>
  <c r="G65" i="2"/>
  <c r="D65" i="2"/>
  <c r="C65" i="2"/>
  <c r="U64" i="2"/>
  <c r="Q64" i="2"/>
  <c r="P64" i="2"/>
  <c r="N64" i="2"/>
  <c r="M64" i="2"/>
  <c r="K64" i="2"/>
  <c r="J64" i="2"/>
  <c r="H64" i="2"/>
  <c r="G64" i="2"/>
  <c r="E64" i="2"/>
  <c r="D64" i="2"/>
  <c r="C64" i="2"/>
  <c r="U63" i="2"/>
  <c r="Q63" i="2"/>
  <c r="P63" i="2"/>
  <c r="N63" i="2"/>
  <c r="M63" i="2"/>
  <c r="J63" i="2"/>
  <c r="H63" i="2"/>
  <c r="G63" i="2"/>
  <c r="E63" i="2"/>
  <c r="D63" i="2"/>
  <c r="C63" i="2"/>
  <c r="U62" i="2"/>
  <c r="Q62" i="2"/>
  <c r="P62" i="2"/>
  <c r="N62" i="2"/>
  <c r="M62" i="2"/>
  <c r="K62" i="2"/>
  <c r="J62" i="2"/>
  <c r="H62" i="2"/>
  <c r="G62" i="2"/>
  <c r="E62" i="2"/>
  <c r="D62" i="2"/>
  <c r="C62" i="2"/>
  <c r="U61" i="2"/>
  <c r="Q61" i="2"/>
  <c r="P61" i="2"/>
  <c r="N61" i="2"/>
  <c r="M61" i="2"/>
  <c r="K61" i="2"/>
  <c r="J61" i="2"/>
  <c r="H61" i="2"/>
  <c r="G61" i="2"/>
  <c r="E61" i="2"/>
  <c r="D61" i="2"/>
  <c r="C61" i="2"/>
  <c r="U60" i="2"/>
  <c r="Q60" i="2"/>
  <c r="P60" i="2"/>
  <c r="M60" i="2"/>
  <c r="L60" i="2"/>
  <c r="K60" i="2"/>
  <c r="J60" i="2"/>
  <c r="G60" i="2"/>
  <c r="E60" i="2"/>
  <c r="D60" i="2"/>
  <c r="C60" i="2"/>
  <c r="U59" i="2"/>
  <c r="P59" i="2"/>
  <c r="N59" i="2"/>
  <c r="M59" i="2"/>
  <c r="K59" i="2"/>
  <c r="J59" i="2"/>
  <c r="H59" i="2"/>
  <c r="G59" i="2"/>
  <c r="E59" i="2"/>
  <c r="D59" i="2"/>
  <c r="C59" i="2"/>
  <c r="U58" i="2"/>
  <c r="Q58" i="2"/>
  <c r="P58" i="2"/>
  <c r="N58" i="2"/>
  <c r="M58" i="2"/>
  <c r="K58" i="2"/>
  <c r="J58" i="2"/>
  <c r="H58" i="2"/>
  <c r="G58" i="2"/>
  <c r="E58" i="2"/>
  <c r="D58" i="2"/>
  <c r="C58" i="2"/>
  <c r="U57" i="2"/>
  <c r="Q57" i="2"/>
  <c r="P57" i="2"/>
  <c r="N57" i="2"/>
  <c r="M57" i="2"/>
  <c r="J57" i="2"/>
  <c r="H57" i="2"/>
  <c r="G57" i="2"/>
  <c r="E57" i="2"/>
  <c r="D57" i="2"/>
  <c r="C57" i="2"/>
  <c r="U56" i="2"/>
  <c r="Q56" i="2"/>
  <c r="P56" i="2"/>
  <c r="N56" i="2"/>
  <c r="M56" i="2"/>
  <c r="J56" i="2"/>
  <c r="I56" i="2"/>
  <c r="I229" i="2" s="1"/>
  <c r="H56" i="2"/>
  <c r="G56" i="2"/>
  <c r="E56" i="2"/>
  <c r="D56" i="2"/>
  <c r="C56" i="2"/>
  <c r="U55" i="2"/>
  <c r="Q55" i="2"/>
  <c r="P55" i="2"/>
  <c r="N55" i="2"/>
  <c r="M55" i="2"/>
  <c r="K55" i="2"/>
  <c r="J55" i="2"/>
  <c r="H55" i="2"/>
  <c r="G55" i="2"/>
  <c r="E55" i="2"/>
  <c r="D55" i="2"/>
  <c r="C55" i="2"/>
  <c r="U54" i="2"/>
  <c r="Q54" i="2"/>
  <c r="P54" i="2"/>
  <c r="N54" i="2"/>
  <c r="M54" i="2"/>
  <c r="K54" i="2"/>
  <c r="J54" i="2"/>
  <c r="H54" i="2"/>
  <c r="G54" i="2"/>
  <c r="E54" i="2"/>
  <c r="D54" i="2"/>
  <c r="C54" i="2"/>
  <c r="U53" i="2"/>
  <c r="Q53" i="2"/>
  <c r="P53" i="2"/>
  <c r="N53" i="2"/>
  <c r="M53" i="2"/>
  <c r="K53" i="2"/>
  <c r="J53" i="2"/>
  <c r="H53" i="2"/>
  <c r="G53" i="2"/>
  <c r="E53" i="2"/>
  <c r="D53" i="2"/>
  <c r="C53" i="2"/>
  <c r="U52" i="2"/>
  <c r="Q52" i="2"/>
  <c r="P52" i="2"/>
  <c r="N52" i="2"/>
  <c r="M52" i="2"/>
  <c r="K52" i="2"/>
  <c r="J52" i="2"/>
  <c r="H52" i="2"/>
  <c r="G52" i="2"/>
  <c r="E52" i="2"/>
  <c r="D52" i="2"/>
  <c r="C52" i="2"/>
  <c r="U51" i="2"/>
  <c r="Q51" i="2"/>
  <c r="P51" i="2"/>
  <c r="N51" i="2"/>
  <c r="M51" i="2"/>
  <c r="K51" i="2"/>
  <c r="J51" i="2"/>
  <c r="H51" i="2"/>
  <c r="G51" i="2"/>
  <c r="E51" i="2"/>
  <c r="D51" i="2"/>
  <c r="C51" i="2"/>
  <c r="U50" i="2"/>
  <c r="Q50" i="2"/>
  <c r="P50" i="2"/>
  <c r="N50" i="2"/>
  <c r="M50" i="2"/>
  <c r="K50" i="2"/>
  <c r="J50" i="2"/>
  <c r="H50" i="2"/>
  <c r="G50" i="2"/>
  <c r="E50" i="2"/>
  <c r="D50" i="2"/>
  <c r="C50" i="2"/>
  <c r="U49" i="2"/>
  <c r="Q49" i="2"/>
  <c r="P49" i="2"/>
  <c r="M49" i="2"/>
  <c r="L49" i="2"/>
  <c r="K49" i="2"/>
  <c r="J49" i="2"/>
  <c r="H49" i="2"/>
  <c r="G49" i="2"/>
  <c r="E49" i="2"/>
  <c r="D49" i="2"/>
  <c r="C49" i="2"/>
  <c r="U48" i="2"/>
  <c r="P48" i="2"/>
  <c r="N48" i="2"/>
  <c r="M48" i="2"/>
  <c r="K48" i="2"/>
  <c r="J48" i="2"/>
  <c r="H48" i="2"/>
  <c r="G48" i="2"/>
  <c r="E48" i="2"/>
  <c r="D48" i="2"/>
  <c r="C48" i="2"/>
  <c r="U47" i="2"/>
  <c r="Q47" i="2"/>
  <c r="P47" i="2"/>
  <c r="N47" i="2"/>
  <c r="M47" i="2"/>
  <c r="J47" i="2"/>
  <c r="H47" i="2"/>
  <c r="G47" i="2"/>
  <c r="E47" i="2"/>
  <c r="D47" i="2"/>
  <c r="C47" i="2"/>
  <c r="U46" i="2"/>
  <c r="P46" i="2"/>
  <c r="N46" i="2"/>
  <c r="M46" i="2"/>
  <c r="J46" i="2"/>
  <c r="H46" i="2"/>
  <c r="G46" i="2"/>
  <c r="E46" i="2"/>
  <c r="D46" i="2"/>
  <c r="C46" i="2"/>
  <c r="U45" i="2"/>
  <c r="Q45" i="2"/>
  <c r="P45" i="2"/>
  <c r="N45" i="2"/>
  <c r="M45" i="2"/>
  <c r="K45" i="2"/>
  <c r="J45" i="2"/>
  <c r="H45" i="2"/>
  <c r="G45" i="2"/>
  <c r="E45" i="2"/>
  <c r="D45" i="2"/>
  <c r="C45" i="2"/>
  <c r="U44" i="2"/>
  <c r="P44" i="2"/>
  <c r="N44" i="2"/>
  <c r="M44" i="2"/>
  <c r="K44" i="2"/>
  <c r="J44" i="2"/>
  <c r="H44" i="2"/>
  <c r="G44" i="2"/>
  <c r="D44" i="2"/>
  <c r="C44" i="2"/>
  <c r="U43" i="2"/>
  <c r="P43" i="2"/>
  <c r="M43" i="2"/>
  <c r="J43" i="2"/>
  <c r="G43" i="2"/>
  <c r="E43" i="2"/>
  <c r="D43" i="2"/>
  <c r="C43" i="2"/>
  <c r="U42" i="2"/>
  <c r="Q42" i="2"/>
  <c r="P42" i="2"/>
  <c r="N42" i="2"/>
  <c r="M42" i="2"/>
  <c r="J42" i="2"/>
  <c r="H42" i="2"/>
  <c r="G42" i="2"/>
  <c r="D42" i="2"/>
  <c r="C42" i="2"/>
  <c r="U41" i="2"/>
  <c r="P41" i="2"/>
  <c r="N41" i="2"/>
  <c r="M41" i="2"/>
  <c r="J41" i="2"/>
  <c r="H41" i="2"/>
  <c r="G41" i="2"/>
  <c r="E41" i="2"/>
  <c r="D41" i="2"/>
  <c r="C41" i="2"/>
  <c r="U40" i="2"/>
  <c r="Q40" i="2"/>
  <c r="P40" i="2"/>
  <c r="N40" i="2"/>
  <c r="M40" i="2"/>
  <c r="K40" i="2"/>
  <c r="J40" i="2"/>
  <c r="H40" i="2"/>
  <c r="G40" i="2"/>
  <c r="E40" i="2"/>
  <c r="D40" i="2"/>
  <c r="C40" i="2"/>
  <c r="U39" i="2"/>
  <c r="Q39" i="2"/>
  <c r="P39" i="2"/>
  <c r="N39" i="2"/>
  <c r="M39" i="2"/>
  <c r="J39" i="2"/>
  <c r="H39" i="2"/>
  <c r="G39" i="2"/>
  <c r="E39" i="2"/>
  <c r="D39" i="2"/>
  <c r="C39" i="2"/>
  <c r="U38" i="2"/>
  <c r="P38" i="2"/>
  <c r="N38" i="2"/>
  <c r="M38" i="2"/>
  <c r="J38" i="2"/>
  <c r="H38" i="2"/>
  <c r="G38" i="2"/>
  <c r="E38" i="2"/>
  <c r="D38" i="2"/>
  <c r="C38" i="2"/>
  <c r="U37" i="2"/>
  <c r="Q37" i="2"/>
  <c r="P37" i="2"/>
  <c r="N37" i="2"/>
  <c r="M37" i="2"/>
  <c r="K37" i="2"/>
  <c r="J37" i="2"/>
  <c r="H37" i="2"/>
  <c r="G37" i="2"/>
  <c r="E37" i="2"/>
  <c r="D37" i="2"/>
  <c r="C37" i="2"/>
  <c r="U36" i="2"/>
  <c r="Q36" i="2"/>
  <c r="P36" i="2"/>
  <c r="N36" i="2"/>
  <c r="M36" i="2"/>
  <c r="J36" i="2"/>
  <c r="H36" i="2"/>
  <c r="G36" i="2"/>
  <c r="E36" i="2"/>
  <c r="D36" i="2"/>
  <c r="C36" i="2"/>
  <c r="U35" i="2"/>
  <c r="Q35" i="2"/>
  <c r="P35" i="2"/>
  <c r="M35" i="2"/>
  <c r="K35" i="2"/>
  <c r="J35" i="2"/>
  <c r="H35" i="2"/>
  <c r="G35" i="2"/>
  <c r="E35" i="2"/>
  <c r="D35" i="2"/>
  <c r="C35" i="2"/>
  <c r="U34" i="2"/>
  <c r="Q34" i="2"/>
  <c r="P34" i="2"/>
  <c r="N34" i="2"/>
  <c r="M34" i="2"/>
  <c r="K34" i="2"/>
  <c r="J34" i="2"/>
  <c r="H34" i="2"/>
  <c r="G34" i="2"/>
  <c r="E34" i="2"/>
  <c r="D34" i="2"/>
  <c r="C34" i="2"/>
  <c r="U33" i="2"/>
  <c r="Q33" i="2"/>
  <c r="P33" i="2"/>
  <c r="N33" i="2"/>
  <c r="M33" i="2"/>
  <c r="K33" i="2"/>
  <c r="J33" i="2"/>
  <c r="H33" i="2"/>
  <c r="G33" i="2"/>
  <c r="E33" i="2"/>
  <c r="D33" i="2"/>
  <c r="C33" i="2"/>
  <c r="U32" i="2"/>
  <c r="P32" i="2"/>
  <c r="N32" i="2"/>
  <c r="M32" i="2"/>
  <c r="J32" i="2"/>
  <c r="H32" i="2"/>
  <c r="G32" i="2"/>
  <c r="D32" i="2"/>
  <c r="C32" i="2"/>
  <c r="U31" i="2"/>
  <c r="P31" i="2"/>
  <c r="N31" i="2"/>
  <c r="M31" i="2"/>
  <c r="J31" i="2"/>
  <c r="G31" i="2"/>
  <c r="E31" i="2"/>
  <c r="D31" i="2"/>
  <c r="C31" i="2"/>
  <c r="U30" i="2"/>
  <c r="Q30" i="2"/>
  <c r="P30" i="2"/>
  <c r="N30" i="2"/>
  <c r="M30" i="2"/>
  <c r="K30" i="2"/>
  <c r="J30" i="2"/>
  <c r="H30" i="2"/>
  <c r="G30" i="2"/>
  <c r="E30" i="2"/>
  <c r="D30" i="2"/>
  <c r="C30" i="2"/>
  <c r="U29" i="2"/>
  <c r="Q29" i="2"/>
  <c r="P29" i="2"/>
  <c r="N29" i="2"/>
  <c r="M29" i="2"/>
  <c r="J29" i="2"/>
  <c r="G29" i="2"/>
  <c r="E29" i="2"/>
  <c r="D29" i="2"/>
  <c r="C29" i="2"/>
  <c r="U28" i="2"/>
  <c r="Q28" i="2"/>
  <c r="P28" i="2"/>
  <c r="N28" i="2"/>
  <c r="M28" i="2"/>
  <c r="K28" i="2"/>
  <c r="J28" i="2"/>
  <c r="H28" i="2"/>
  <c r="G28" i="2"/>
  <c r="E28" i="2"/>
  <c r="D28" i="2"/>
  <c r="C28" i="2"/>
  <c r="U27" i="2"/>
  <c r="Q27" i="2"/>
  <c r="P27" i="2"/>
  <c r="N27" i="2"/>
  <c r="M27" i="2"/>
  <c r="L27" i="2"/>
  <c r="K27" i="2"/>
  <c r="J27" i="2"/>
  <c r="H27" i="2"/>
  <c r="G27" i="2"/>
  <c r="E27" i="2"/>
  <c r="D27" i="2"/>
  <c r="C27" i="2"/>
  <c r="U26" i="2"/>
  <c r="P26" i="2"/>
  <c r="N26" i="2"/>
  <c r="M26" i="2"/>
  <c r="K26" i="2"/>
  <c r="J26" i="2"/>
  <c r="G26" i="2"/>
  <c r="E26" i="2"/>
  <c r="D26" i="2"/>
  <c r="C26" i="2"/>
  <c r="U25" i="2"/>
  <c r="Q25" i="2"/>
  <c r="P25" i="2"/>
  <c r="N25" i="2"/>
  <c r="M25" i="2"/>
  <c r="K25" i="2"/>
  <c r="J25" i="2"/>
  <c r="H25" i="2"/>
  <c r="G25" i="2"/>
  <c r="E25" i="2"/>
  <c r="D25" i="2"/>
  <c r="C25" i="2"/>
  <c r="U24" i="2"/>
  <c r="Q24" i="2"/>
  <c r="P24" i="2"/>
  <c r="N24" i="2"/>
  <c r="M24" i="2"/>
  <c r="K24" i="2"/>
  <c r="J24" i="2"/>
  <c r="H24" i="2"/>
  <c r="G24" i="2"/>
  <c r="E24" i="2"/>
  <c r="D24" i="2"/>
  <c r="C24" i="2"/>
  <c r="U23" i="2"/>
  <c r="P23" i="2"/>
  <c r="N23" i="2"/>
  <c r="M23" i="2"/>
  <c r="J23" i="2"/>
  <c r="H23" i="2"/>
  <c r="G23" i="2"/>
  <c r="D23" i="2"/>
  <c r="C23" i="2"/>
  <c r="U22" i="2"/>
  <c r="Q22" i="2"/>
  <c r="P22" i="2"/>
  <c r="N22" i="2"/>
  <c r="M22" i="2"/>
  <c r="K22" i="2"/>
  <c r="J22" i="2"/>
  <c r="G22" i="2"/>
  <c r="E22" i="2"/>
  <c r="D22" i="2"/>
  <c r="C22" i="2"/>
  <c r="U21" i="2"/>
  <c r="Q21" i="2"/>
  <c r="P21" i="2"/>
  <c r="N21" i="2"/>
  <c r="M21" i="2"/>
  <c r="K21" i="2"/>
  <c r="J21" i="2"/>
  <c r="H21" i="2"/>
  <c r="G21" i="2"/>
  <c r="E21" i="2"/>
  <c r="D21" i="2"/>
  <c r="C21" i="2"/>
  <c r="U20" i="2"/>
  <c r="Q20" i="2"/>
  <c r="P20" i="2"/>
  <c r="N20" i="2"/>
  <c r="M20" i="2"/>
  <c r="K20" i="2"/>
  <c r="J20" i="2"/>
  <c r="H20" i="2"/>
  <c r="G20" i="2"/>
  <c r="E20" i="2"/>
  <c r="D20" i="2"/>
  <c r="C20" i="2"/>
  <c r="U19" i="2"/>
  <c r="Q19" i="2"/>
  <c r="P19" i="2"/>
  <c r="N19" i="2"/>
  <c r="M19" i="2"/>
  <c r="K19" i="2"/>
  <c r="J19" i="2"/>
  <c r="H19" i="2"/>
  <c r="G19" i="2"/>
  <c r="D19" i="2"/>
  <c r="C19" i="2"/>
  <c r="U18" i="2"/>
  <c r="Q18" i="2"/>
  <c r="P18" i="2"/>
  <c r="M18" i="2"/>
  <c r="K18" i="2"/>
  <c r="J18" i="2"/>
  <c r="H18" i="2"/>
  <c r="G18" i="2"/>
  <c r="E18" i="2"/>
  <c r="D18" i="2"/>
  <c r="C18" i="2"/>
  <c r="U17" i="2"/>
  <c r="Q17" i="2"/>
  <c r="P17" i="2"/>
  <c r="N17" i="2"/>
  <c r="M17" i="2"/>
  <c r="K17" i="2"/>
  <c r="J17" i="2"/>
  <c r="H17" i="2"/>
  <c r="G17" i="2"/>
  <c r="E17" i="2"/>
  <c r="D17" i="2"/>
  <c r="C17" i="2"/>
  <c r="U16" i="2"/>
  <c r="Q16" i="2"/>
  <c r="P16" i="2"/>
  <c r="N16" i="2"/>
  <c r="M16" i="2"/>
  <c r="J16" i="2"/>
  <c r="H16" i="2"/>
  <c r="G16" i="2"/>
  <c r="E16" i="2"/>
  <c r="D16" i="2"/>
  <c r="C16" i="2"/>
  <c r="U15" i="2"/>
  <c r="Q15" i="2"/>
  <c r="P15" i="2"/>
  <c r="N15" i="2"/>
  <c r="M15" i="2"/>
  <c r="K15" i="2"/>
  <c r="J15" i="2"/>
  <c r="H15" i="2"/>
  <c r="G15" i="2"/>
  <c r="D15" i="2"/>
  <c r="C15" i="2"/>
  <c r="U14" i="2"/>
  <c r="Q14" i="2"/>
  <c r="P14" i="2"/>
  <c r="M14" i="2"/>
  <c r="K14" i="2"/>
  <c r="J14" i="2"/>
  <c r="G14" i="2"/>
  <c r="E14" i="2"/>
  <c r="D14" i="2"/>
  <c r="C14" i="2"/>
  <c r="U13" i="2"/>
  <c r="Q13" i="2"/>
  <c r="P13" i="2"/>
  <c r="N13" i="2"/>
  <c r="M13" i="2"/>
  <c r="J13" i="2"/>
  <c r="H13" i="2"/>
  <c r="G13" i="2"/>
  <c r="D13" i="2"/>
  <c r="C13" i="2"/>
  <c r="U12" i="2"/>
  <c r="Q12" i="2"/>
  <c r="P12" i="2"/>
  <c r="M12" i="2"/>
  <c r="K12" i="2"/>
  <c r="J12" i="2"/>
  <c r="H12" i="2"/>
  <c r="G12" i="2"/>
  <c r="E12" i="2"/>
  <c r="D12" i="2"/>
  <c r="C12" i="2"/>
  <c r="U11" i="2"/>
  <c r="Q11" i="2"/>
  <c r="P11" i="2"/>
  <c r="M11" i="2"/>
  <c r="K11" i="2"/>
  <c r="J11" i="2"/>
  <c r="H11" i="2"/>
  <c r="G11" i="2"/>
  <c r="D11" i="2"/>
  <c r="C11" i="2"/>
  <c r="U10" i="2"/>
  <c r="Q10" i="2"/>
  <c r="P10" i="2"/>
  <c r="M10" i="2"/>
  <c r="K10" i="2"/>
  <c r="J10" i="2"/>
  <c r="H10" i="2"/>
  <c r="G10" i="2"/>
  <c r="E10" i="2"/>
  <c r="D10" i="2"/>
  <c r="C10" i="2"/>
  <c r="U9" i="2"/>
  <c r="Q9" i="2"/>
  <c r="P9" i="2"/>
  <c r="N9" i="2"/>
  <c r="M9" i="2"/>
  <c r="K9" i="2"/>
  <c r="J9" i="2"/>
  <c r="H9" i="2"/>
  <c r="G9" i="2"/>
  <c r="E9" i="2"/>
  <c r="D9" i="2"/>
  <c r="C9" i="2"/>
  <c r="U8" i="2"/>
  <c r="Q8" i="2"/>
  <c r="P8" i="2"/>
  <c r="N8" i="2"/>
  <c r="M8" i="2"/>
  <c r="K8" i="2"/>
  <c r="J8" i="2"/>
  <c r="H8" i="2"/>
  <c r="G8" i="2"/>
  <c r="D8" i="2"/>
  <c r="C8" i="2"/>
  <c r="U7" i="2"/>
  <c r="Q7" i="2"/>
  <c r="P7" i="2"/>
  <c r="N7" i="2"/>
  <c r="M7" i="2"/>
  <c r="K7" i="2"/>
  <c r="J7" i="2"/>
  <c r="G7" i="2"/>
  <c r="E7" i="2"/>
  <c r="D7" i="2"/>
  <c r="C7" i="2"/>
  <c r="U6" i="2"/>
  <c r="Q6" i="2"/>
  <c r="P6" i="2"/>
  <c r="N6" i="2"/>
  <c r="M6" i="2"/>
  <c r="K6" i="2"/>
  <c r="J6" i="2"/>
  <c r="H6" i="2"/>
  <c r="G6" i="2"/>
  <c r="D6" i="2"/>
  <c r="C6" i="2"/>
  <c r="U5" i="2"/>
  <c r="Q5" i="2"/>
  <c r="P5" i="2"/>
  <c r="N5" i="2"/>
  <c r="M5" i="2"/>
  <c r="K5" i="2"/>
  <c r="J5" i="2"/>
  <c r="H5" i="2"/>
  <c r="G5" i="2"/>
  <c r="E5" i="2"/>
  <c r="D5" i="2"/>
  <c r="C5" i="2"/>
  <c r="U4" i="2"/>
  <c r="Q4" i="2"/>
  <c r="P4" i="2"/>
  <c r="N4" i="2"/>
  <c r="M4" i="2"/>
  <c r="K4" i="2"/>
  <c r="J4" i="2"/>
  <c r="H4" i="2"/>
  <c r="G4" i="2"/>
  <c r="D4" i="2"/>
  <c r="C4" i="2"/>
  <c r="U3" i="2"/>
  <c r="Q3" i="2"/>
  <c r="P3" i="2"/>
  <c r="M3" i="2"/>
  <c r="J3" i="2"/>
  <c r="G3" i="2"/>
  <c r="D3" i="2"/>
  <c r="C3" i="2"/>
  <c r="U2" i="2"/>
  <c r="Q2" i="2"/>
  <c r="P2" i="2"/>
  <c r="N2" i="2"/>
  <c r="M2" i="2"/>
  <c r="K2" i="2"/>
  <c r="J2" i="2"/>
  <c r="H2" i="2"/>
  <c r="G2" i="2"/>
  <c r="D2" i="2"/>
  <c r="B7" i="1"/>
  <c r="C6" i="1"/>
  <c r="B6" i="1"/>
  <c r="C5" i="1"/>
  <c r="B5" i="1"/>
  <c r="C4" i="1"/>
  <c r="B4" i="1"/>
  <c r="C3" i="1"/>
  <c r="B3" i="1"/>
  <c r="O229" i="2" l="1"/>
  <c r="L229" i="2"/>
  <c r="H229" i="2"/>
  <c r="K229" i="2"/>
  <c r="R229" i="2"/>
  <c r="N229" i="2"/>
  <c r="A431" i="3"/>
  <c r="A432" i="3" s="1"/>
  <c r="Q229" i="2"/>
  <c r="E229" i="2"/>
  <c r="A229" i="2" l="1"/>
  <c r="A230" i="2" s="1"/>
</calcChain>
</file>

<file path=xl/sharedStrings.xml><?xml version="1.0" encoding="utf-8"?>
<sst xmlns="http://schemas.openxmlformats.org/spreadsheetml/2006/main" count="15970" uniqueCount="13656">
  <si>
    <t>//*[@id="taplc_resp_hr_ad_wrapper_upper_block_0"]</t>
  </si>
  <si>
    <t>https://www.tripadvisor.co.uk/Hotel_Review-g186338-d193057-Reviews-Travelodge_London_Covent_Garden-London_England.html</t>
  </si>
  <si>
    <t>//*[@id="component_14"]/div/div[3]/div[3]</t>
  </si>
  <si>
    <t>//*[@id="component_15"]/div/div[3]/div[3]/div[2]/div[1]</t>
  </si>
  <si>
    <t>//*[@id="component_15"]/div/div[3]/div[3]</t>
  </si>
  <si>
    <t>//*[@id="component_15"]/div/div[3]/div[4]</t>
  </si>
  <si>
    <t>//*[@id="component_14"]/div/div[3]/div[4]</t>
  </si>
  <si>
    <t>//*[@id="component_14"]/div/div[3]/div[5]</t>
  </si>
  <si>
    <t>//*[@id="component_14"]/div/div[3]/div[6]</t>
  </si>
  <si>
    <t>//*[@id="component_15"]/div/div[3]/div[5]</t>
  </si>
  <si>
    <t>https://www.tripadvisor.co.uk/Hotel_Review-g186338-d243667-Reviews-Travelodge_London_Kings_Cross_Royal_Scot-London_England.html</t>
  </si>
  <si>
    <t>//*[@id="component_14"]/div/div[3]/div[7]</t>
  </si>
  <si>
    <t>https://www.tripadvisor.co.uk/Hotel_Review-g186338-d193057-Reviews-Travelodge_London_Covent_Garden-London_England.html#REVIEWS</t>
  </si>
  <si>
    <t>Patricia F wrote a review Apr 2020Ottawa, Ontario28 contributions14 helpful  votes</t>
  </si>
  <si>
    <t>Wonderful hotel in a fabulous locationThe staff are wonderful, welcoming, friendly. They go out of their way to 
help. Rooms are comfortable, large, and spotless. Location is incredible, 
close walking to British museum, Trafalgar square, Tate, St Martin's, 
London Eye, theatres, St Pauls, Big Ben, Leicester square. Indeed, close to 
everything we wanted to see and do.Read moreDate of stay: March 2020Trip 
type: Travelled as a coupleHelpfulShare</t>
  </si>
  <si>
    <t>https://www.tripadvisor.co.uk/Hotel_Review-g186338-d13569031-Reviews-Travelodge_London_City_hotel-London_England.html</t>
  </si>
  <si>
    <t>//*[@id="component_15"]/div/div[3]/div[6]</t>
  </si>
  <si>
    <t>https://www.tripadvisor.co.uk/Hotel_Review-g186338-d193057-Reviews-or5-Travelodge_London_Covent_Garden-London_England.html#REVIEWS</t>
  </si>
  <si>
    <t>Norma S wrote a review Mar 2020Blackburn, United Kingdom26 contributions14 
helpful votes</t>
  </si>
  <si>
    <t>Convenient VenueStayed here with two other friends in March. Rooms were fine although not  luxurious. Staff were pleasant and helpful. Comfortable beds and  cleanliness good. Excellent power shower and bath if prefered. Good value  for money.Read moreReview collected in partnership with this hotelDate of  stay: March 2020HelpfulShare</t>
  </si>
  <si>
    <t>//*[@id="component_15"]/div/div[3]/div[7]</t>
  </si>
  <si>
    <t>Sir Don wrote a review Mar 202066 contributions9 helpful votes</t>
  </si>
  <si>
    <t>Good stayFantastic reasonably priced hotel from which you can explore the capital. 
Usual Travel lodge comfort as you would expect. The unlimited breakfast is 
great however go early as it gets very busy at 9am and you may have to walk 
from the other venue a short distance on Holborn Road. A short walk from 
Leicester Square, Covent Garden, all the shows of the west end and great 
for tube links. Best not to drive get the train and tube. Good value for 
money.Read moreDate of stay: December 2019HelpfulShare</t>
  </si>
  <si>
    <t>https://www.tripadvisor.co.uk/Hotel_Review-g186338-d193057-Reviews-or10-Travelodge_London_Covent_Garden-London_England.html#REVIEWS</t>
  </si>
  <si>
    <t>Maha A wrote a review Mar 20201 contribution</t>
  </si>
  <si>
    <t>Amazing Hotel ExperienceWe had a huge delegation stay in the hotel early March. The team there were 
more than amazing. All our request have been managed on the spot and in a 
very professional and welcoming manner. Darren Bennett and the rest of the 
team are the best representatives of the hospitality industry. I would 
definitely recommend this hotel to anyone staying in Central London.Read 
moreDate of stay: March 2020HelpfulShare</t>
  </si>
  <si>
    <t>debbiewetherell wrote a review Mar 20201 contribution</t>
  </si>
  <si>
    <t>https://www.tripadvisor.co.uk/Hotel_Review-g191265-d229508-Reviews-Travelodge_Gatwick_Airport_Central-Horley_Surrey_England.html</t>
  </si>
  <si>
    <t>londonweve stayed here before, very convienent for london attractions, tube 5 
mins away, clean and tidy, very friendly and helpful staff, lovely 
breakfast all you can eat and drink, will stay again im sure,Read 
moreReview collected in partnership with this hotelDate of stay: March 
2020HelpfulShare</t>
  </si>
  <si>
    <t>//*[@id="component_15"]/div/div[3]/div[3]/div[3]/div[1]/div/span</t>
  </si>
  <si>
    <t>Mike Holme wrote a review Mar 20205 contributions</t>
  </si>
  <si>
    <t>Good central London base for short stay,Great location close to Covent Garden, theatres and shopping. Comfortable 
room, clean and everything worked. Good value for central London. Check in 
was quick and easy. Didn't use the restaurant in the evening but breakfast 
was good. Busy but still plenty of space.Read moreReview collected in 
partnership with this hotelDate of stay: March 2020HelpfulShare</t>
  </si>
  <si>
    <t>Traveller30 wrote a review Mar 2020Gloucestershire76 contributions17 
helpful votes</t>
  </si>
  <si>
    <t>Pleasant stay with some flawsWe stayed here for two nights whilst visiting London, our super room was a 
little on the small side, sadly there was damage on one of the walls, the 
main light dimming switch didn't work so we had to resort to having the bed 
head light and desk lamp on, quite dark otherwise! The bathroom again on 
the small side with a horrible sewage smell coming from the main sink also 
sadly when you have a shower, the water ends up all over the floor so the 
bathroom ends up like a wet room. Lifts are currently being refurbished 
however we found lift 2 to be on the quiet side compared to the others. 
Breakfast was ok, scrambled egg a bit powdery, hash browns a little anemic. 
Location is excellent for surrounding amenities however price is on the 
expensive side.Read moreDate of stay: March 2020HelpfulShare</t>
  </si>
  <si>
    <t>https://www.tripadvisor.co.uk/Hotel_Review-g186338-d193057-Reviews-or15-Travelodge_London_Covent_Garden-London_England.html#REVIEWS</t>
  </si>
  <si>
    <t>Joaneeeee wrote a review Mar 2020Chester, United Kingdom4 contributions1 
helpful vote</t>
  </si>
  <si>
    <t>London breakExcellent value for money - really good breakfast, with lots of choice. 
Helpful, friendly caring staff. Within walking distance of many theatres 
etc. Room had all the basic requirements and was comfortable. Highly 
recommended.Read moreReview collected in partnership with TravelodgeDate of 
stay: March 2020HelpfulShare</t>
  </si>
  <si>
    <t>Vanessa A wrote a review Mar 20202 contributions</t>
  </si>
  <si>
    <t>Would stay again location very goodThe room lacked natural light so abit dark, bathroom mirror steamed up not 
very good ventilation shower curtain was sucked into the shower when water 
running, some other travel lodges have mirrors that don't steam up? The 
desk lamp didn't work. However we would stay again.Read moreDate of stay: 
March 2020HelpfulShare</t>
  </si>
  <si>
    <t>sarah m wrote a review Mar 2020Dundalk, Ireland64 contributions17 helpful 
votes</t>
  </si>
  <si>
    <t>not greatWe came here as a group of 4 for 3 nights andi have to say i was a bit 
dissappointed in the hotel. We had booked 2 twin rooms but were given 
double rooms meaning i had to share a bed with a lady i had only met that 
day. They did change our rooms the following day but it was still a bit 
awkward having to share a bed the first night. The rooms were spotless and 
plenty of hot water. There was no wifi unless you paid an extra fee. 
Breakfast was lovely and plenty of it but you had to pay an extra 10 pound 
for it adding 30 pounds to the allready huge amound we had paid for the 
rooms. I had lunch one day in the hotel and it was disgusting. I had to 
wait nearly 40 minutes for the paninii i ordered and to say i was 
disapppointed with it is an understatment. Not worth the money at all.…Read 
moreDate of stay: March 2020HelpfulShare</t>
  </si>
  <si>
    <t>https://www.tripadvisor.co.uk/Hotel_Review-g186338-d1812157-Reviews-Travelodge_London_Waterloo_Hotel-London_England.html</t>
  </si>
  <si>
    <t>sux66 wrote a review Mar 2020Nottingham, United Kingdom164 contributions47 
helpful votes</t>
  </si>
  <si>
    <t>DirtyFriendly staff. Dirty rooms. Shower curtain too short so the bathroom was 
like a wet room. I had to clean the light switches. And everything else in 
the room really The TV was broken. The only redeeming feature is the staff 
and location.Read moreDate of stay: March 20201 Helpful 
voteHelpfulShareResponse from TravelodgeUK, Ben from the Social Media Team 
at Travelodge London Covent GardenResponded 4 weeks agoThank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</si>
  <si>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https://www.tripadvisor.co.uk/Hotel_Review-g186338-d193057-Reviews-or20-Travelodge_London_Covent_Garden-London_England.html#REVIEWS</t>
  </si>
  <si>
    <t>ac20202020 wrote a review Mar 2020Singapore, Singapore1 contribution</t>
  </si>
  <si>
    <t>Great locationEasy check in and out. Friendly service. Great location in Covent Garden. 
Direct underground train from the airport. Nice and clean rooms. Left 
luggage service available which comes in handy when arriving early.Read 
moreReview collected in partnership with this hotelDate of stay: March 
2020HelpfulShare</t>
  </si>
  <si>
    <t>Victoria W wrote a review Mar 2020Huddersfield41 contributions22 helpful 
votes</t>
  </si>
  <si>
    <t>Good value for moneyThe room was clean, it was great value for money, but the street was a 
little loud from floor 2 and I was woken a couple of times. The bed was 
also a bit uncomfortable. Over all it was a good experience and I would 
stay again.Read moreReview collected in partnership with TravelodgeDate of 
stay: March 2020HelpfulShare</t>
  </si>
  <si>
    <t>stephenaverill wrote a review Mar 2020Cardiff, United Kingdom1 contribution</t>
  </si>
  <si>
    <t>Budget hotelStayed here to attend our son's graduation ceremony. Very early wake up - 
fire alarm going off at 5.50 am - hotel evacuation ensued with all that 
that entails. No explanation - happened again when we returned to hotel. 
Room was too chilly to be comfortable but for a budget end hotel it pretty 
much delivered apart from a few minor gripes.Read moreReview collected in 
partnership with TravelodgeDate of stay: February 2020HelpfulShare</t>
  </si>
  <si>
    <t>shaunj1710 wrote a review Mar 2020Stoke-on-Trent, United Kingdom1 
contribution</t>
  </si>
  <si>
    <t>Overnight stayExcellent customer service and rooms and hotel absolutely perfect and very 
clean food was excellent and very reasonably priced room was equipped with 
everything you could ask for even drinking facilitiesRead moreReview 
collected in partnership with TravelodgeDate of stay: February 
2020HelpfulShare</t>
  </si>
  <si>
    <t>https://www.tripadvisor.co.uk/Hotel_Review-g186338-d193057-Reviews-or25-Travelodge_London_Covent_Garden-London_England.html#REVIEWS</t>
  </si>
  <si>
    <t>Jsckiet1309 wrote a review Mar 20201 contribution</t>
  </si>
  <si>
    <t>JackieHad a great stay will definitely be coming to stay again when in London had 
the best night good breakfast the next day and the staff nice and friendly 
and helpful nothing was no trouble and very comfortable bed.Read moreReview 
collected in partnership with this hotelDate of stay: March 2020HelpfulShare</t>
  </si>
  <si>
    <t>Jeff Hughes wrote a review Mar 202057 contributions40 helpful votes</t>
  </si>
  <si>
    <t>Excellent serviceStayed at covent garden basic rooms but excellent staff we were well 
impressed by Ibrahim who went the extra mile to make our stay first class 
thank you Ibrahim because of you we will be visiting this hotel again very 
soonRead moreDate of stay: March 2020HelpfulShare</t>
  </si>
  <si>
    <t>Dizzydi_12 wrote a review Mar 2020Seaford, United Kingdom332 
contributions154 helpful votes</t>
  </si>
  <si>
    <t>Overnight stayGreat location, helpful, friendly staff. Room was clean and tidy, basic 
facilities. Kettle, iron and board but no hairdryer. Was told could get one 
from reception.Comfy bed, decent shower. Easy temperature control in room. 
Reasonable price.Read moreDate of stay: March 2020HelpfulShare</t>
  </si>
  <si>
    <t>chris g wrote a review Mar 2020Liverpool, United Kingdom5 contributions21 
helpful votes</t>
  </si>
  <si>
    <t>Excellent London LocationStayed at this hotel whilst going to a show in the Westend. Location was 
excellent!! Value for money hotel with professional, friendly and helpful 
staff. Couple of minutes walk from Covent Garden train station and probably 
about 13 minutes from Leicester Square station.Read moreReview collected in 
partnership with this hotelDate of stay: February 2020HelpfulShare</t>
  </si>
  <si>
    <t>Jayne J wrote a review Mar 2020Bainbridge, United Kingdom22 contributions8 
helpful votes</t>
  </si>
  <si>
    <t>Very basicStayed recently with my family, room was ok, bathroom very dated and not 
very clean, really don’t like shower curtains,. Breakfast was ok, staff 
unfriendly and not very helpful, only positive was it’s location.Read 
moreDate of stay: March 2020HelpfulShare</t>
  </si>
  <si>
    <t>https://www.tripadvisor.co.uk/Hotel_Review-g186338-d193057-Reviews-or30-Travelodge_London_Covent_Garden-London_England.html#REVIEWS</t>
  </si>
  <si>
    <t>PauleUk wrote a review Mar 2020Preston, United Kingdom16 contributions9 
helpful votes</t>
  </si>
  <si>
    <t>Not-so-Super Room!I stay here pretty much every time I’m in London- it’s a great location and 
always the most affordable option- you get what you pay for! Plus the 
breakfast is pretty good! This time, as work was paying, I upgraded to a 
‘super room’- I’m still puzzling over this. I couldn’t tell what the 
difference was, apart from a coffee machine I didn’t use that came with one 
decaf coffee pod. The main difference between the ‘super room’ and a normal 
one seems to be that this one was bizarrely half the size of a normal one! 
Barely room to put my bag down! Also the wi-fi was very patchy. Nothing too 
bad, I will be back, probably won’t bother paying for the ‘upgrade’ next 
time though...Read moreDate of stay: March 2020HelpfulShareResponse from 
TravelodgeUK, Zack from The Social Media Team at Travelodge London Covent 
GardenResponded 1 week agoThank you for taking the time to share your 
experience with regards to your stay at our London Covent Garden 
Travelodge. We are pleased to learn you were happy with the Hotels 
location, however we would like to apologise for your disappointment with 
our SuperRoom and the WiFi that impacted your stay. Your feedback is 
extremely valuable to us as it allow us to improve the service we offer. We 
would like to thank you for the time you have taken to write this review 
and we do hope to see you again soon.Read more</t>
  </si>
  <si>
    <t>zoehannah wrote a review Mar 2020Stockton-on-Tees, United Kingdom70 
contributions20 helpful votes</t>
  </si>
  <si>
    <t>Ideal central locationThis hotel is ideal if you are visiting theatreland or Covent garden. It is 
close to the tubes and within walking distance there are lots of shops and 
wonderful cafes and bars. Staff are really helpful and well trained. 
Definitely will stay again. Food is ok and hotel busy but not too busy that 
cannot get served.Read moreReview collected in partnership with 
TravelodgeDate of stay: February 2020HelpfulShare</t>
  </si>
  <si>
    <t>simukaidzuda wrote a review Mar 20201 contribution</t>
  </si>
  <si>
    <t>London Central Covent GardenI would recommend this Travelodge. It is good value for money. The property 
is quiet, my room was spacious, the bed was comfortable, there was a tv in 
my room which I used to set an alarm for the morning and breakfast was 
nice. The staff are also professional, especially Bruno and Fateha.Read 
moreReview collected in partnership with TravelodgeDate of stay: March 
2020HelpfulShare</t>
  </si>
  <si>
    <t>Clare B wrote a review Mar 20201 contribution</t>
  </si>
  <si>
    <t>For Central, It is HeavenVery affordable price for central London,with a great view over looking the 
lovely buildings of various character. Staff are very pleasant, friendly, 
welcoming and warming. Especially with the likes of Ibraim; a courteous, 
politely spoken and genuine member of the team who spoke with us as a 
person who went out of his way for us, Sinem; joyful, well mannered and 
great conversationalist who always ensures you want to go to the bar again 
and again, as well as Wayne, and Renate (or Kenate); a lovely and bubbly 
lady who gave us great start to our morning at breakfast. I would highly 
recommend anyone to book a stay here. The food is lovely and enjoyable. 
Fancy eating out? With a cafe, pizza shop, supermarkets and restraunts all 
less than a stones throw away, one cannot ask for more.…Read moreDate of 
stay: March 2020HelpfulShare</t>
  </si>
  <si>
    <t>https://www.tripadvisor.co.uk/Hotel_Review-g186338-d193057-Reviews-or35-Travelodge_London_Covent_Garden-London_England.html#REVIEWS</t>
  </si>
  <si>
    <t>woottonpaul wrote a review Mar 20201 contribution</t>
  </si>
  <si>
    <t>RoomVery poor room needs a good cleaning and paint part of the systern left on 
the bathroom shelf Carpet stained paint stains every wear breakfast cold 
hash browns congealed bacon cold beans good view from bedroom on 12th 
floorRead moreReview collected in partnership with TravelodgeDate of stay: 
March 2020HelpfulShareResponse from TravelodgeUK, Ben from the Social Media 
Team at Travelodge London Covent GardenResponded 9 Mar 2020Thank you for 
taking the time to write a review about our London Covent Garden hotel. 
We're pleased to hear that you liked the hotels location however we are 
sorry to learn of your disappointment with the room and the breakfast 
provided. We have an ongoing refurbishment program and, while we cannot 
refurbish every hotel simultaneously, we are working to make sure that 
hotels are refurbished regularly. We appreciate all the feedback we receive 
and our Hotel Managers regularly review their TripAdvisor reviews in order 
to fix any issues raised and pass on feedback to their team. Thank you once 
again and we do hope you will stay with us in the future.Read more</t>
  </si>
  <si>
    <t>MARK J wrote a review Mar 2020Norwich, United Kingdom46 contributions51 
helpful votes</t>
  </si>
  <si>
    <t>Excellent Value For MoneyYou would expect to pay sky high prices for a good quality hotel in the 
area of Covent Garden, but not so in this case. Travelodge do get mixed 
reviews, but on this occasion i am happy to report a lovely central hotel, 
good value for money, friendly staff, decent food, and a surprisingly quiet 
room. The disabled access is very undignified around the side of the hotel, 
and the accessible rooms seem to be the furthest away from the lifts, hence 
the loss of a star. There seems to be some ongoing construction work inside 
the hotel, but nothing that affected us. Overall however, we encountered no 
issues and would definitely stay here again. Well done to Travelodge.Read 
moreDate of stay: March 2020HelpfulShare</t>
  </si>
  <si>
    <t>Shopaholics79 wrote a review Mar 2020United Kingdom20 contributions1 
helpful vote</t>
  </si>
  <si>
    <t>Excellent LocationStayed for 2 nights, check in was prompt, we had early check in, which in a 
previous travelodge seemed to put the staff out but here they were 
welcoming and helpful. We got two door cards and went up to our rooms. Yes, 
the rooms are basic. We only had a family room but it was enough for our 
needs. The room smelt nice upon arrival. We did not eat here but it smelt 
lovely when we walked past. The beds were comfortable, though the extra bed 
did squeak. I actually had a view unlike some Travelodges, but that doesn’t 
really matter to me. My only gripe, is unless it’s a super room, there are 
no plugs by the bed. Luckily I had a power pack to charge phone. Excellent 
links to underground stations, Holborn and Covent Garden.Read moreDate of 
stay: March 2020HelpfulShare</t>
  </si>
  <si>
    <t>KLD wrote a review Mar 202010 contributions</t>
  </si>
  <si>
    <t>The White RosesThe Breakfast Team and Reception Team are very welcoming, efficient and 
accommodating. Breakfast is varied and tasty, cleanliness is great and the 
room is very comfortable. Only thing we’re missing is a view! We’re in a 
super room on the 8th floor and whilst the room is fab, we’re looking out 
to a building with a very distant view of the top of Nelson’s column. 
Saying that, for the time we’re in the room it’s not worth complaining, 
just luck of the draw. As always, a great, valuable stayRead moreDate of 
stay: March 2020HelpfulShare</t>
  </si>
  <si>
    <t>Richard Barnes wrote a review Mar 20202 contributions</t>
  </si>
  <si>
    <t>very impressed with the facilities in central LondonLovely, quiet and well equipped room. Staff were all helpful, well trained 
and very friendly, in particular. Caroline in the restaurant. The breakfast 
was particularly memorable. There was a huge variety offood which kept us 
going for the wholeday.Read moreDate of stay: March 2020HelpfulShare</t>
  </si>
  <si>
    <t>https://www.tripadvisor.co.uk/Hotel_Review-g186338-d193057-Reviews-or40-Travelodge_London_Covent_Garden-London_England.html#REVIEWS</t>
  </si>
  <si>
    <t>Martin H wrote a review Mar 20209 contributions2 helpful votes</t>
  </si>
  <si>
    <t>theatre breakgreat staff. Lovely room. Great location for theatre break and good prices. 
Booked weeks in advance and was given a good discount. Can leave luggage 
securely on day of leaving anp pick up later at no extra cost. Lovely clean 
rooms and great breakfast. Wil always use when in LondonRead moreDate of 
stay: February 2020HelpfulShare</t>
  </si>
  <si>
    <t>LoveTravel618286 wrote a review Mar 202010 contributions17 helpful votes</t>
  </si>
  <si>
    <t>Customer service lacking!Arrived and key card did not work as staff not set up right. Long walk to 
room. Went to use lift, which was full of staff and laundry at 18.00 who 
were rude, when asked if going up or down. Still in hotel in room259 if 
manager wants to apologise!Read moreDate of stay: March 20201 Helpful 
voteHelpfulShareResponse from TravelodgeUK, Niki from The Social Media Team 
at Travelodge London Covent GardenResponded 8 Mar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</si>
  <si>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Archie wrote a review Mar 2020Noida, India9 contributions4 helpful votes</t>
  </si>
  <si>
    <t>One of the worst hotels in terms of hospitality and staffOne of the worst hotels I have stayed in. Terrible hospitality. Rude and 
unapproachable staff at the reception and the manager didn’t even come out 
of his cabin to help/ empathise. My handbag was stolen and I lost all cash 
and credit cards on the first day of arrival in London. The hotel refused 
Dinner and breakfast on account since I didn’t pay in advance. Since I was 
on a company account with all my stay prepaid by my organisation i could 
have paid them next day or even before checkouts which was 4 days 
later.Read moreDate of stay: January 20201 Helpful voteHelpfulShareResponse 
from TravelodgeUK, Niki from The Social Media Team at Travelodge London 
Covent GardenResponded 8 Mar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</si>
  <si>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Mrs Carter wrote a review Mar 2020Tadley, United Kingdom4 contributions</t>
  </si>
  <si>
    <t>Nice Central locationchecked in for one night as we were going to the theatre, great location 
and good value for money (especially with 20% off) Our room was nice and 
clean and a good comfy bed. In our bathroom the basin plug hole didn't 
drain the water! No slip mat in the bath, slipped and badly bruised knee! 
Should have slip mat in bath!!!!!!!!Read moreDate of stay: February 
2020HelpfulShareResponse from TravelodgeUK, Zack from The Social Media Team 
at Travelodge London Covent GardenResponded 5 Mar 2020Thank you for taking 
the time to review our London Covent Garden Travelodge, we are thankful for 
your comments. Please accept our deepest apologies for the issues 
encountered during your booking. The experience you received concerns us 
and we would like to investigate your stay further. Please may we kindly 
ask you to contact our Customer Service team via the 'Contact Us' page on 
our website. Please include a link to your review and your booking details. 
This will enable us to look into your visit more thoroughly with our hotel 
team. Thank you again for sharing your experience and giving us the 
opportunity to adjust the service and facilities we provide our guests. We 
look forward to hearing from you shortly.Read more</t>
  </si>
  <si>
    <t>https://www.tripadvisor.co.uk/Hotel_Review-g186338-d193057-Reviews-or45-Travelodge_London_Covent_Garden-London_England.html#REVIEWS</t>
  </si>
  <si>
    <t>Roam11039923969 wrote a review Mar 20202 contributions</t>
  </si>
  <si>
    <t>Excellent locationWould stay here again as it is a brilliant position for trip to london. 
Tube station 10mins walk away and hotel in walking distance to Leicester 
square and most of west end areas for shows. The all you can eat breakfast 
was very good value for money at £9.95Read moreReview collected in 
partnership with this hotelDate of stay: February 2020HelpfulShare</t>
  </si>
  <si>
    <t>eliza_pitsilou wrote a review Mar 20201 contribution</t>
  </si>
  <si>
    <t>value for moneyspacious room, not best bathroom amenities, not fridge and hair dryer in 
the room, comfortable beds, average breakfast, very central and convenient 
location, definitely recommened as a value for money choiceRead moreReview 
collected in partnership with TravelodgeDate of stay: February 
2020HelpfulShare</t>
  </si>
  <si>
    <t>https://www.tripadvisor.co.uk/Hotel_Review-g186338-d193057-Reviews-or50-Travelodge_London_Covent_Garden-London_England.html#REVIEWS</t>
  </si>
  <si>
    <t>KazMcGaz wrote a review Mar 2020Consett, United Kingdom23 contributions15 
helpful votes</t>
  </si>
  <si>
    <t>Very BasicI’m usually happy with basic, but this room was overly basic and very 
tired. I woke up in the middle of the night cold to find the thermostat 
didn’t seem to do anything, got up in the morning to see a portable heater 
in the corner of the room (clearly coldness is an issue). Took a shower to 
find that there was no hairdryer in the room and no phone to call reception 
to ask for one. I therefore ended up having to get fully dressed to go and 
ask for one at reception - I witnessed a couple of others doing the same. 
The tv then lost its signal when the hairdryer was on. The bathroom was 
really tired looking, with absolutely nothing nice about it. At breakfast 
there was plenty of choice but the orange juice was putrid, was more like 
very weak diluted juice, undrinkableRead moreDate of stay: March 
2020HelpfulShareResponse from TravelodgeUK, Hannah from The Social Media 
Team at Travelodge London Covent GardenResponded 4 Mar 2020Thank you for 
taking the time to share your experience with us. We are sorry to learn of 
your disappointment with our hotel facilities. As a budget hotel brand we 
aim to provide a comfortable stay for value and we are currently refreshing 
our refurbishment scheme to improve our hotels. We would like to thank you 
for your feedback, which we will certainly take on board. We feel that we 
offer what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if this affected your stay. Your feedback has been noted and 
we thank you once again for reviewing our hotel. We do hope you will stay 
with us in the future. We are always looking to improve the services we 
offer and we will pass your comments on to the relevant team. Thank you 
again for your review.Read more</t>
  </si>
  <si>
    <t>Nomad67706 wrote a review Mar 20201 contribution</t>
  </si>
  <si>
    <t>Excellent stay !Lovely hotel , Aliyah was the friendliest person we met on our trip , the 
lady needs a gold medal ��. Very clean and tidy hotel , well positioned for 
travel . Lovely atmosphere and staff were nice too . Excellent trip all 
roundRead moreDate of stay: February 2020HelpfulShare</t>
  </si>
  <si>
    <t>SarahJoPitt wrote a review Mar 2020Bristol, United Kingdom74 
contributions51 helpful votes</t>
  </si>
  <si>
    <t>Excellent city centre budget hotelThis hotel is located about 5 minutes walk to Covent Garden market square. 
The hotel is clean and tidy although a little tired in places. The 
breakfast was fab and Renate on the b'fast bar was the perfect host.Read 
moreReview collected in partnership with TravelodgeDate of stay: March 
2020HelpfulShare</t>
  </si>
  <si>
    <t>Steve J wrote a review Mar 2020Horsham, United Kingdom8 contributions8 
helpful votes</t>
  </si>
  <si>
    <t>poor hotelwent to the room and was instantly disappointed it was not what i had 
booked. the toilet would not flush no minibar no hairdryer no coffee 
machine. went to reception had to pay for an upgrade. arrived at the new 
room looked the same to me only had hairdryer and coffee machine only two 
sashes or tea coffee and milk, no mini bar/fridge. dirty stained carper and 
chair not washing soap and the like. good job we had our own. expensive bar 
with staff of little knowledge of what they were serving. the mushrooms 
were cold beans were filled up in front of me so i was so surprised they 
were stone cold!!! bacon was whisked away so I waited and left without any. 
not very good value for money tied rooms smaller that advertised and conned 
into upgrading for little on no difference in the room.Read moreReview 
collected in partnership with TravelodgeDate of stay: February 
2020HelpfulShareResponse from TravelodgeUK, Hannah from The Social Media 
Team at Travelodge London Covent GardenResponded 4 Mar 2020Thank you for 
taking the time to share your experience with us. We apologise if you were 
disappointed with your super room. Our super rooms are designed to offer a 
more premium alternative to our standard, value rooms, providing more 
modern facilities and added comforts. However, we are disappointed to learn 
that you were unimpressed with this. We are always looking for ways to 
improve the service we offer so we thank you for taking the time to provide 
your feedback. We are always looking to improve the services we offer and 
we will pass your comments on to the relevant team. Thank you again for 
your review.Read more</t>
  </si>
  <si>
    <t>https://www.tripadvisor.co.uk/Hotel_Review-g186338-d193057-Reviews-or55-Travelodge_London_Covent_Garden-London_England.html#REVIEWS</t>
  </si>
  <si>
    <t>sandratmarsh wrote a review Mar 2020Lincoln, United Kingdom9 contributions1 
helpful vote</t>
  </si>
  <si>
    <t>Travel lodge covent gardenIdeal location,staff very friendly and helpful. Only complaint very busy 
for breakfast only one hot drinks machine was working, Bar staff were 
lovely and bar meals very good.Rooms very basic but adequate for a short 
stay.Read moreReview collected in partnership with TravelodgeDate of stay: 
February 2020HelpfulShare</t>
  </si>
  <si>
    <t>Sue T wrote a review Mar 20204 contributions4 helpful votes</t>
  </si>
  <si>
    <t>https://www.tripadvisor.co.uk/Hotel_Review-g186338-d1812157-Reviews-or5</t>
  </si>
  <si>
    <t>Simple, convenient comfortGreat location, decent sized rooms and windows, very accommodating if you 
want a room on lower floors, and best of all - a nice cool room 
temperature. Not the stuffy warmth that makes it impossible to sleep. I had 
3 excellent nights' sleep. It's my London home from home.Read moreReview 
collected in partnership with TravelodgeDate of stay: March 2020HelpfulShare</t>
  </si>
  <si>
    <t>Tmh63 wrote a review Mar 2020Cambridgeshire, United Kingdom36 
contributions4 helpful votes</t>
  </si>
  <si>
    <t>OvernightEasy walking distance to central London theatres, shops and restaurants. 
Very clean and comfortable, big towels Only thing I would change would be 
to have stronger blend of coffee for the machine in the roomRead moreReview 
collected in partnership with this hotelDate of stay: February 
2020HelpfulShare</t>
  </si>
  <si>
    <t>tlloyd5 wrote a review Mar 2020Solihull, United Kingdom13 contributions7 
helpful votes</t>
  </si>
  <si>
    <t>Reception front of houseReceptionist was unwelcoming. Moaning to colleague about alarm , customers 
and checking in whilst serving us. No rooms available when we booked in 
advance.Managed to secure one room as seven of us going to theatre all had 
to get dressed in there and leave bags couldn’t unpack. Finally booked in 
at 11pm. Bad start to a birthday weekendRead moreReview collected in 
partnership with TravelodgeDate of stay: February 20201 Helpful 
voteHelpfulShareResponse from TravelodgeUK, Niki from The Social Media Team 
at Travelodge London Covent GardenResponded 3 Mar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</si>
  <si>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Pete wrote a review Feb 2020St Ives, United Kingdom9 contributions5 helpful 
votes</t>
  </si>
  <si>
    <t>Excellent locationGreat location and excellent price for West End. Standard budget hotel 
accommodation with clean, decent sized rooms. We had superior rooms as we 
have done in the past as we like decent coffee in the morning. However 
disappointed that Travelodge now use a generic brand which is not very good 
so lose a star for this. Poor coffee defeats object of paying more. Very 
friendly staff. Will use again, but standard room.Read moreDate of stay: 
February 2020HelpfulShare</t>
  </si>
  <si>
    <t>https://www.tripadvisor.co.uk/Hotel_Review-g186338-d193057-Reviews-or60-Travelodge_London_Covent_Garden-London_England.html#REVIEWS</t>
  </si>
  <si>
    <t>aj3300 wrote a review Feb 2020Shropshire, United Kingdom2 contributions</t>
  </si>
  <si>
    <t>Good locationGood location. clean and comfortable rooms, we had a super room. Staff 
friendly and helpful. This was a return visit and would definitely stay 
again. Easy walking distance to a lot of Londons attractions.Read 
moreReview collected in partnership with this hotelDate of stay: February 
2020HelpfulShare</t>
  </si>
  <si>
    <t>janey taylor wrote a review Feb 20201 contribution</t>
  </si>
  <si>
    <t>bed comfortablewalking through the corridors the cleaning staff were all very friendly and 
always asked me if i needed anything. the managers and bar staff were very 
professional and the atmosphere was always upbeat even when it got busyRead 
moreDate of stay: February 2020HelpfulShare</t>
  </si>
  <si>
    <t>jerry l wrote a review Feb 20201 contribution</t>
  </si>
  <si>
    <t>very cleanThis is the cleanest hotel i have ever been to. The rooms were immaculate. 
the food was plentiful and the staff were beyond friendly and welcoming. I 
must say i enjoyed my stay and would definitely recommend this to those who 
would like to tour London as it provides easy access to transport.Read 
moreDate of stay: January 2020HelpfulShare</t>
  </si>
  <si>
    <t>-Travelodge_London_Waterloo_Hotel-London_England.html#REVIEWS</t>
  </si>
  <si>
    <t>https://www.tripadvisor.co.uk/Hotel_Review-g186338-d193057-Reviews-or65-Travelodge_London_Covent_Garden-London_England.html#REVIEWS</t>
  </si>
  <si>
    <t>katana w wrote a review Feb 20201 contribution</t>
  </si>
  <si>
    <t>great peopleReception and bar staff were friendly, accommodating for my every need. 
great central location for me to get to my meetings on time, a nice stroll 
in the morning to clear my head after a filling breakfast. Overall a good 
stay and I would recommend.Read moreDate of stay: November 2019HelpfulShare</t>
  </si>
  <si>
    <t>SJA wrote a review Feb 2020Newcastle upon Tyne, United Kingdom46 
contributions36 helpful votes</t>
  </si>
  <si>
    <t>Extremely Noisy Cleaning Staff and Arrogant Check-in staff. Avoid at all 
costsSpanish cleaning staff shout at each other from different rooms as they 
clean them. And I mean SHOUT! One of the main lifts is out of order (and 
had been for 6 months) and the remaining lift is used by cleaning staff and 
held on whoever flirt they choose so you must walk up 9 flights of stairs 
every time you wish to get to your room. Check-in area has 3 brand new 
check-in booths but they are never, ever used. You must stand in line until 
the reception staff can be bothered to greet you.Read moreReview collected 
in partnership with TravelodgeDate of stay: February 
2020HelpfulShareResponse from TravelodgeUK, Hannah from The Social Media 
Team at Travelodge London Covent GardenResponded 1 Mar 2020Thank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</si>
  <si>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CalomK wrote a review Feb 2020Milton Keynes, United Kingdom85 
contributions50 helpful votes</t>
  </si>
  <si>
    <t>Bed uncomfortable, coffee machine not workingBed had several areas which were not comfortable. My feet kept catching on 
them. Ceiling in bathroom disgusting. Very stained so did not use bath or 
shower. Coffee machines in breakfast hall not working properly - I need 
coffee to start my day. Staff are aware apparently. I was offered 1 free 
coffee at the bar area, but only one. As I had paid for unlimited breakfast 
and didn't eat much due to no drinkable coffee, I was very 
disappointed.Read moreReview collected in partnership with TravelodgeDate 
of stay: February 2020HelpfulShareResponse from TravelodgeUK, Ben from the 
Social Media Team at Travelodge London Covent GardenResponded 1 Mar 
2020Thank you for taking the time to write a review about our London Covent 
Garden hotel. We are sorry to learn that you found the bed to be 
uncomfortable, of your disappointment with the standards in the bathroom, 
and that the coffee machines were not working at breakfast. We have an 
ongoing refurbishment program and, while we cannot refurbish every hotel 
simultaneously, we are working to make sure that hotels are refurbished 
regularly. We appreciate all the feedback we receive and our Hotel Managers 
regularly review their TripAdvisor reviews in order to fix any issues 
raised and pass on feedback to their team. Thank you once again and we do 
hope you will stay with us in the future.Read more</t>
  </si>
  <si>
    <t>matthews1979 wrote a review Feb 2020Stamford, United Kingdom52 
contributions14 helpful votes</t>
  </si>
  <si>
    <t>+1</t>
  </si>
  <si>
    <t>Patricia wrote a review Feb 20201 contribution</t>
  </si>
  <si>
    <t>Amazing viewsI loved staying here it’s a great location, great staff and the dinner was 
lovely too. I booked a super rooms for me and my husband and I must say it 
was a pleasant stay. The breakfast was really good.Read moreDate of stay: 
February 2020HelpfulShare</t>
  </si>
  <si>
    <t>https://www.tripadvisor.co.uk/Hotel_Review-g186338-d193057-Reviews-or70-Travelodge_London_Covent_Garden-London_England.html#REVIEWS</t>
  </si>
  <si>
    <t>Marco B wrote a review Feb 20201 contribution</t>
  </si>
  <si>
    <t>GreatThe location is perfect for central London and close to all theatres, but 
the best of this hotel is it’s staff, they are always happy and welcoming 
and willing to go the extra mile. I have been coming for few years and it 
improved a lot on the last few monthsRead moreDate of stay: February 
2020HelpfulShare</t>
  </si>
  <si>
    <t>Oluwafemi T wrote a review Feb 20201 contribution</t>
  </si>
  <si>
    <t>Quiet roomWe stayed in a very quiet part of the hotel considering that we only had 
families staying in that building. I must say that the architecture of the 
building is splendid and very well situated. Had a wonderful experienceRead 
moreDate of stay: February 2020HelpfulShare</t>
  </si>
  <si>
    <t>https://www.tripadvisor.co.uk/Hotel_Review-g186338-d193057-Reviews-or75-Travelodge_London_Covent_Garden-London_England.html#REVIEWS</t>
  </si>
  <si>
    <t>Abbie wrote a review Feb 2020Plymouth, United Kingdom4 contributions1 
helpful vote</t>
  </si>
  <si>
    <t>Fire alarm!Oh travelodge. Stayed here on business. Your staff are so so amazing. 
Dealing with a fire alarm at 6am. With grumpy guest. They dealt with it 
brilliantly. The lovely lady at the first hotel. Brilliant. Could not fault 
her. She had to deal with an awful man, moody. We happily told him to calm 
down. And to offer us to go to the site over the road to have breakfast. 
The first gentleman was welcoming and offered us everything. Then the lady 
in the reception area fantastic. Well done staff. Brilliantly handled.Read 
moreDate of stay: February 2020HelpfulShare</t>
  </si>
  <si>
    <t>Basil Anthony wrote a review Feb 20201 contribution</t>
  </si>
  <si>
    <t>Excellent service by staffIbrahim and Wayne were exceptionally helpful and very professional , second 
to none,, there service was number 1 Most amazing place , made me feel very 
very at home , I’ve been here 4 months Basil Anthony Room 441Read moreDate 
of stay: February 2020HelpfulShare</t>
  </si>
  <si>
    <t>Jana W wrote a review Feb 20203 contributions5 helpful votes</t>
  </si>
  <si>
    <t>Ideal for show night stayThe hotel is in great location for city break (near West End theatres, 
shops and restaurants and reasonably priced. Beds are comfortable and rooms 
tidy and warm. It is a big 10 or 11 floor hotel so cleaning can sometimes 
not be carried out until late in the afternoon. No need to bring your car, 
most places of interest you can walk to or use public transport.Read 
moreReview collected in partnership with this hotelDate of stay: February 
2020HelpfulShare</t>
  </si>
  <si>
    <t>https://www.tripadvisor.co.uk/Hotel_Review-g186338-d193057-Reviews-or80-Travelodge_London_Covent_Garden-London_England.html#REVIEWS</t>
  </si>
  <si>
    <t>sue f wrote a review Feb 2020england650 contributions82 helpful votes</t>
  </si>
  <si>
    <t>convenientThe hotel is situated near Gillian Lynne Theatre and the British Museum. 
convenient for Holborn underground. We had a super room and i do not think 
it was worth the extra money . it was not that big looked out over another 
building felt plain and serviceable.All we got extra was hairdryer and 
ironing board and kit kat. It was clean and tidy but certainly no wow 
factor . had to pay for wi fi which i thought should be free especially in 
the super room.. The food was reasonably priced and food could be purchase 
until very late and some food available 24 hours. Breakfast was fine but 
needed a microwave to warm it up. Staff were friendly.Read moreReview 
collected in partnership with TravelodgeDate of stay: February 
2020HelpfulShare</t>
  </si>
  <si>
    <t>ClareLSEY wrote a review Feb 2020Bristol, United Kingdom2 contributions</t>
  </si>
  <si>
    <t>Exceptional value for moneyThe location was excellent, the staff were friendly and helpful. The room, 
facilities and breakfast was as expected. The additional pillows were 
appreciated. Overall, the London Central Covent Garden Travelodge was 
extremely good value for money.Read moreReview collected in partnership 
with TravelodgeDate of stay: February 2020HelpfulShare</t>
  </si>
  <si>
    <t>Mark wrote a review Feb 20201 contribution</t>
  </si>
  <si>
    <t>MarleneThe bartender Marlene was fantastic such a nice professional guy with a 
good sense of humour made us feel very comfortable. The hotel is very clean 
and tidy and only a 5 minute walk to the centre of London.Read moreDate of 
stay: February 2020HelpfulShare</t>
  </si>
  <si>
    <t>John M wrote a review Feb 2020Enniskillen, United Kingdom856 
contributions319 helpful votes</t>
  </si>
  <si>
    <t>https://www.tripadvisor.co.uk/Hotel_Review-g186338-d1812157-Reviews-or10</t>
  </si>
  <si>
    <t>Excellent value for money and efficiency as alwaysI attended a family wedding recently and stayed one night here. As always, 
it was superbly located but at an excellent price. The staff were super 
efficient and the room was clean and very functional. Just what you expect 
from Travelodge.Read moreDate of stay: February 2020HelpfulShare</t>
  </si>
  <si>
    <t>https://www.tripadvisor.co.uk/Hotel_Review-g186338-d193057-Reviews-or85-Travelodge_London_Covent_Garden-London_England.html#REVIEWS</t>
  </si>
  <si>
    <t>RosieWollacott wrote a review Feb 2020Bath, United Kingdom186 
contributions48 helpful votes</t>
  </si>
  <si>
    <t>Nice new Super Rooms!I stayed here for one night with my Mum, sister and niece (in two Super 
rooms). We got a bargain price, booking a Sunday night and using a discount 
code (less than £30 a room!) The rooms were spacious, clean, comfy beds. We 
noticed a few differences in our two rooms, even though they were next to 
each other - little things, like the amount of towels, coffee capsules, and 
one room having Kit Kats, the other didn't. The only thing the rooms were 
missing were glasses for water. We ate in the restaurant in the evening. 
The food was okay - nothing special, and I wish we did go out somewhere 
else but had a tired little one who wanted to get to bed. We also had 
breakfast in the morning - £9.95 per adult, free for children. The coffee 
machine was awful, as were the dry mushrooms and…Read moreDate of stay: 
February 2020HelpfulShare</t>
  </si>
  <si>
    <t>asav7 wrote a review Feb 2020Saltburn-by-the-Sea, United Kingdom63 
contributions17 helpful votes</t>
  </si>
  <si>
    <t>Good Covent garden location.Surprisingly quiet for the area. Good access to tube stations. The heating 
is good and one remains comfortable throughout the stay. Sadly, utterly 
dreadful concrete pillows, take your own! The nearby Cafe de Provence is 
incredible.Read moreReview collected in partnership with TravelodgeDate of 
stay: February 2020HelpfulShare</t>
  </si>
  <si>
    <t>https://www.tripadvisor.co.uk/Hotel_Review-g186338-d193057-Reviews-or90-Travelodge_London_Covent_Garden-London_England.html#REVIEWS</t>
  </si>
  <si>
    <t>jackie503909 wrote a review Feb 2020Hythe, United Kingdom12 contributions9 
helpful votes</t>
  </si>
  <si>
    <t>Hot RoomThe hotel was OK and conveniently located for us. The room was swelteringly 
hot and although we turned the air conditioning down, it made no 
difference. We arrived a little early and although our allocated room was 
ready we were still charged extra for an early checkin. In this day and age 
we were surprised to be charged extra for internet. The toilet tissue was 
the smallest and worst quality we had ever seen.Read moreReview collected 
in partnership with TravelodgeDate of stay: February 
2020HelpfulShareResponse from TravelodgeUK, Zack from The Social Media Team 
at Travelodge London Covent GardenResponded 25 Feb 2020Thank you for taking 
the time to share your experience with us. We are happy to learn you were 
pleased with the Hotels location, however we are sorry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</si>
  <si>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BOb T wrote a review Feb 2020Hastings, United Kingdom14 contributions</t>
  </si>
  <si>
    <t>Amazing staffThis is a great place in the middle of London. Rooms are clean and great 
value. The staff on reception were so friendly and helpful. They printed 
tickets for our show. They gave precise directions for our benefit. 
Michaela at the bar was fantastic open, and helpful. She made me an amazing 
Rhubarb Gin. What an asset to your organisation. I hope you reward your 
staff like those on reception and the bar. They are the best front of staff 
I have seen for ages.Read moreDate of stay: February 2020HelpfulShare</t>
  </si>
  <si>
    <t>https://www.tripadvisor.co.uk/Hotel_Review-g186338-d193057-Reviews-or95-Travelodge_London_Covent_Garden-London_England.html#REVIEWS</t>
  </si>
  <si>
    <t>Thesomerset4 wrote a review Feb 2020Somerset7 contributions</t>
  </si>
  <si>
    <t>Virgin ExperienceWe had a Virgin experience to visit the Shard and we took the opportunity 
to included a night at the theatre ourselves. This Travel Lodge is ideally 
placed for the theatre's, being on Drury lane. The NCP car park is right 
next door and with the Travel Lodge discount is only around £23 per 
night.Read moreReview collected in partnership with TravelodgeDate of stay: 
February 2020HelpfulShare</t>
  </si>
  <si>
    <t>Marnie S wrote a review Feb 2020London, United Kingdom2 contributions</t>
  </si>
  <si>
    <t>Great hotelMy husband and I stayed at the hotel for 1 night over the weekend. We had a 
coffee in the restaurant and was served by lovely Caroline from breakfast 
team, who, despite being busy, toon time to ask how our day was and if we 
were enjoying our stay. We checked in and after enquiring about the super 
rooms were treated to an upgrade which we were made up about. The room was 
spotless, warm and comfortable, equipped with everything needed for an 
enjoyable stay. We were very impressed with the overall experience and 
would highly recommend this hotel when staying in London. Covent Garden and 
Theatre land are on the doorstep!Read moreDate of stay: February 
2020HelpfulShare</t>
  </si>
  <si>
    <t>https://www.tripadvisor.co.uk/Hotel_Review-g186338-d193057-Reviews-or100-Travelodge_London_Covent_Garden-London_England.html#REVIEWS</t>
  </si>
  <si>
    <t>Spencer wrote a review Feb 20202 contributions</t>
  </si>
  <si>
    <t>Great location noisy guests thoughStayed here for one night so we could go to see Only fools and horses , 
very good , nice greeting and bag storage so we could go shopping and eat 
out , ideally place for theatre land and Covent Garden Dont bother paying 
for the WIFI it’s rubbish doesn’t connect , also shame about noisy guests 
returning late at night thinking it ok to run up and down corridors ... 
Think really they should have more on site security .... Breakfast was 
worth the moneyRead moreDate of stay: February 2020HelpfulShareResponse 
from TravelodgeUK, James from the Social Media Team at Travelodge London 
Covent GardenResponded 24 Feb 2020Thank you for reviewing our Travelodge 
London Covent Garden Hotel. We're happy to hear you were pleased with the 
service from the hotel's team during this stay with us as well as with the 
location of the hotel but we're sorry to hear of the noise issues 
experienced as well as with the issues experienced with WiFi. Please rest 
assured the hotel managers check Tripadvisor reviews of their hotels so 
your comments will be reviewed by the hotel's team. Thank you again for 
leaving this review and we do hope that you choose to stay with us again in 
the future.Read more</t>
  </si>
  <si>
    <t>lisa b wrote a review Feb 2020Portsmouth, United Kingdom5 contributions2 
helpful votes</t>
  </si>
  <si>
    <t>LisaThankyou Travellodge for a comfortable warm stay. Love this hotel as So 
central to everything. We always park our car at Bloomsbury square 
underground car park, as most reasonable and only 6 mins away. £25 -24 hrs 
booked online. Excellent getaway stay.Read moreDate of stay: February 
2020HelpfulShare</t>
  </si>
  <si>
    <t>Pip W wrote a review Feb 20201 contribution</t>
  </si>
  <si>
    <t>UncleanStayed here for a night, bathroom very unclean so much lime scales around 
taps and whilst in the bath noticed the toilet under the rim was thick in 
brown dirt, staff pleasant in the bar area, nice breakfast but wouldn’t 
stay here again due to cleanliness of the roomRead moreDate of stay: 
February 2020HelpfulShareResponse from TravelodgeUK, Ben from the Social 
Media Team at Travelodge London Covent GardenResponded 23 Feb 2020Thank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</si>
  <si>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https://www.tripadvisor.co.uk/Hotel_Review-g186338-d193057-Reviews-or105-Travelodge_London_Covent_Garden-London_England.html#REVIEWS</t>
  </si>
  <si>
    <t>Claire M wrote a review Feb 2020Newton Abbot, United Kingdom114 
contributions67 helpful votes</t>
  </si>
  <si>
    <t>Fantastic staff and great locationI booked and paid in advance and got a good deal. The staff were superb, 
efficient and friendly. The left luggage facility is very well organised 
(again v helpful chap) and it enables the traveller to explore without 
carrying lots of bags. Location wise is excellent for theatre trips as it 
is a short walk to most theatres. Not far from the Tube. Went to Paul in 
Covent Garden for our breakfast (lush) so cant comment on the 
breakfast.Read moreDate of stay: February 2020HelpfulShare</t>
  </si>
  <si>
    <t>Roving703923 wrote a review Feb 20202 contributions1 helpful vote</t>
  </si>
  <si>
    <t>good location shame I could hear everything through the wallsWe love the location of this hotel. However this time in room433 we 
experienced quite a lot of noise. Doors slamming, noise through the wall, 
could even hear next doors bed lights being switched on and off. Shouting 
as people went to their rooms and noise from the street, Drury Lane. It was 
fairly quiet between 1 and 5....only a funny noise from the air con/heating 
could be heard then. We were then woken by a door slamming at 6am. PLEASE 
put softeners on your doors!Read moreReview collected in partnership with 
TravelodgeDate of stay: February 2020HelpfulShareResponse from 
TravelodgeUK, Niki from The Social Media Team at Travelodge London Covent 
GardenResponded 23 Feb 2020Thank you for taking the time to write a review. 
We’re sorry to hear that your experience with us was affected by noise. If 
customers are causing noise that may disrupt other guests we do ensure that 
we politely ask them to lower the noise levels. We strive to provide a 
comfortable night’s sleep for all of our customers, and we apologise that 
on this occasion we did not meet our standard level of service. If you wish 
to contact us directly to give us more feedback, please be aware that you 
can always contact our Customer Services team via our website. Thank you 
again for your review.Read more</t>
  </si>
  <si>
    <t>David S wrote a review Feb 2020Middlesbrough, United Kingdom3 
contributions1 helpful vote</t>
  </si>
  <si>
    <t>Great central place to stayGreat location within easy reach of the West End and with very helpful and 
friendly staff - especially Wayne the barman for whom nothing was too much 
trouble. The breakfasts are excellent and very well organised.Read moreDate 
of stay: February 2020HelpfulShare</t>
  </si>
  <si>
    <t>https://www.tripadvisor.co.uk/Hotel_Review-g186338-d193057-Reviews-or110-Travelodge_London_Covent_Garden-London_England.html#REVIEWS</t>
  </si>
  <si>
    <t>AndyWoods1878 wrote a review Feb 20202 contributions</t>
  </si>
  <si>
    <t>Hospitality staffWayne, one of the bar from Friday evening 21st Feb,at the branch at Drury 
Lane, was the best thing during my week stay Curious, professional and a 
credit to this Travel lodge. Always on hand to help support all the 
visitors.Read moreDate of stay: February 2020HelpfulShareResponse from 
TravelodgeUK, Ben from the Social Media Team at Travelodge London Covent 
GardenResponded 23 Feb 2020Thank you for your feedback about our team 
member Wayne, we will make sure to pass this on to the hotel for you. We 
aim to provide an enjoyable stay for all of our guests and we are delighted 
to see this has been achieved. Thanks again for taking the time to review 
our hotel, we do hope to see you soon.Read more</t>
  </si>
  <si>
    <t>Dale H wrote a review Feb 20202 contributions</t>
  </si>
  <si>
    <t>London tripGreat central location for weekend break with friends. We had 8 rooms, 3 
super, 1 single and 4 twin. Only had a problem with one super because of 
noise and couple were reroomed without any problem. Will definitely stay 
again.Read moreReview collected in partnership with this hotelDate of stay: 
February 2020HelpfulShare</t>
  </si>
  <si>
    <t>Adrian H wrote a review Feb 202018 contributions3 helpful votes</t>
  </si>
  <si>
    <t>Theatre tripBooked the Travelodge at Covent Garden as it is convenient to Shaftesbury 
Avenue and it’s theatres. Was off to see Les Mis at the Sondhiem. The staff 
at the hotel are helpful and friendly. The hotel is being refurbed but this 
hasn’t effected the cleanliness or ease of moving around the hotel. The 
rooms are what they say on tin, no frills but the bed is comfortable, you 
get a TV, iron and ironing board and tea/coffee making facilities. The 
reception and bar are open 24hrs and the kitchen till midnight. We had the 
breakfast which is an all you can eat Buffett. Very reasonably priced and 
good quality. The restaurant is a bit basic in seating and tables but 
functional and clean.Read moreDate of stay: February 2020HelpfulShare</t>
  </si>
  <si>
    <t>Niall Duffy wrote a review Feb 20202 contributions</t>
  </si>
  <si>
    <t>Value and Service!Lovey stay, best people! Met Vanessa and Ibraim, who were serving me at the 
bar. Great hotel, best service. Niiiccceee drinks. I’ll definitely be 
coming back again! More words �� More words And again, more wordsRead 
moreDate of stay: February 2020HelpfulShare</t>
  </si>
  <si>
    <t>https://www.tripadvisor.co.uk/Hotel_Review-g186338-d193057-Reviews-or115-Travelodge_London_Covent_Garden-London_England.html#REVIEWS</t>
  </si>
  <si>
    <t>Cobblers33 wrote a review Feb 202010 contributions4 helpful votes</t>
  </si>
  <si>
    <t>Great hotelGreat hotel ideally situated in Covent Garden walking distance to Leicester 
sq Piccadilly Circus regent st oxford St. Happy hour in bar 4-7 every night 
great stay for a weekend away good size room we had a super room for a 
little extraRead moreReview collected in partnership with this hotelDate of 
stay: February 2020HelpfulShare</t>
  </si>
  <si>
    <t>Jay wrote a review Feb 20201 contribution</t>
  </si>
  <si>
    <t>End of life rooms! Travelodge not respondingMy wife and I took a romantic valentines getaway in the central London 
Covent Garden hotel recently and upon entering the hotel seems nice, clean 
and modern. This was soon changed when we were given our rooms and after 30 
minutes looking for it through the lack of signage we eventually found it, 
by going outside through the rain, into the non heated hallways and into 
the BASEMENT. We were the presented with rooms smaller than budget hub 
rooms... without heating. We originally spoke with reception who provided 
portable heaters for the room, although this would of taken one of the only 
two plug sockets in the dungeon basement room and we couldn’t leave this ok 
whilst out so would have to return from our valentines weekend to a 
freezing cold hovel in the basement (not what I call…Read moreDate of stay: 
February 2020HelpfulShareResponse from TravelodgeUK, Hannah from The Social 
Media Team at Travelodge London Covent GardenResponded 23 Feb 2020Thank you 
for taking the time to provide your feedback following your recent stay 
with us. We are sorry to learn of your experience. We are sorry to learn of 
your disappointment with our hotel facilities. As a budget hotel brand we 
aim to provide a comfortable stay for value and we are currently refreshing 
our refurbishment scheme to improve our hotels. We would like to thank you 
for your feedback, which we will certainly take on board. We would like to 
look into this further for you.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</si>
  <si>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https://www.tripadvisor.co.uk/Hotel_Review-g186338-d1812157-Reviews-or15</t>
  </si>
  <si>
    <t>Mollie wrote a review Feb 20203 contributions</t>
  </si>
  <si>
    <t>Great stayVery convenient location to get to the theatre in the evening and very 
central so easy to access. The room was clean and comfortable. The hotel 
felt very safe and had a bar/restaurant on site for convenient meals. Staff 
were friendly and approachable.Read moreReview collected in partnership 
with this hotelDate of stay: February 2020HelpfulShare</t>
  </si>
  <si>
    <t>Audhild Gregori... R wrote a review Feb 202019 contributions5 helpful votes</t>
  </si>
  <si>
    <t>No, no, no.Just, no. Dirty, old, horrible service, smelly. Two good things: location 
and smiling lady at the breakfast. There you go. We were a group of 30 
people. The rooms were not available at the arrival time, we returned 
later, still it took 1,5 hours just to get the keys. The rooms were dirty, 
empty soda cans under beds, a couple of bathrooms flooded over. Service at 
the front desk: non existing.Read moreDate of stay: February 
2020HelpfulShareResponse from TravelodgeUK, Ben from the Social Media Team 
at Travelodge London Covent GardenResponded 21 Feb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</si>
  <si>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https://www.tripadvisor.co.uk/Hotel_Review-g186338-d193057-Reviews-or120-Travelodge_London_Covent_Garden-London_England.html#REVIEWS</t>
  </si>
  <si>
    <t>juanita perez wrote a review Feb 20201 contribution</t>
  </si>
  <si>
    <t>great experiencethe rooms were very big and comfortable, the standards were impeccable. the 
location of the hotel was perfect for accessing transport links and 
visiting near by tourist attractions. lastly the staff were very friendly, 
they made sure we had everything we neededRead moreDate of stay: February 
2020HelpfulShare</t>
  </si>
  <si>
    <t>787meenakshic wrote a review Feb 2020Newcastle upon Tyne, United Kingdom5 
contributions1 helpful vote</t>
  </si>
  <si>
    <t>Central location, comfortable stayExcellent location and friendly staff. Actually the dinner was the 
highlight after a long day as we did not wish to go out in rain. Great 
portion of food, fabulous taste and yummy dessert for just £12.50 for two 
course meal. The only downside was the toilet did not flush the tissue very 
well and needed to flush it few times wasting water.Read moreReview 
collected in partnership with TravelodgeDate of stay: February 
2020HelpfulShare</t>
  </si>
  <si>
    <t>lottesahar wrote a review Feb 2020Sde Boker, Israel155 contributions44 
helpful votes</t>
  </si>
  <si>
    <t>Comfy but not luxury hotel with a luxury price tagThis Travelodge has mostly its location going for it. Sleep quality, 
evening pub and breakfast are good. Cleanliness of the room was good, 
public spaces less so. The front desk personnel was extremely helpful. 
Missing hairdryer in room and USB charge stations. Overall OK, but pricy 
for what you get.Read moreReview collected in partnership with 
TravelodgeDate of stay: February 2020HelpfulShareResponse from 
TravelodgeUK, Ben from the Social Media Team at Travelodge London Covent 
GardenResponded 21 Feb 2020Thank you for taking the time to write a review 
about our London Covent Garden hotel. We're pleased to hear that you liked 
the hotels location, the room was clean and the team were helpful however 
we are sorry to learn that you did not find your room to be of great value 
and of your disappointment with the facilities.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We appreciate all the 
feedback we receive and our Hotel Managers regularly review their 
TripAdvisor reviews in order to fix any issues raised and pass on feedback 
to their team. Thank you once again and we do hope you will stay with us in 
the future.Read more</t>
  </si>
  <si>
    <t>David H wrote a review Feb 2020Derry, United Kingdom35 contributions15 
helpful votes</t>
  </si>
  <si>
    <t>Highly recommended hotel for central LondonThe was a great hotel, good value for money. The staff were very friendly 
and helpful . The location is perfect for access to central London. Our 
room was fresh, clean and fully equipped.. I would recommend this hotel and 
will stay again. The breakfast is good but could be slightly better without 
a lot of effort. The hash browns were not great and the juices were 
warm.Read moreReview collected in partnership with TravelodgeDate of stay: 
February 2020HelpfulShare</t>
  </si>
  <si>
    <t>https://www.tripadvisor.co.uk/Hotel_Review-g186338-d193057-Reviews-or125-Travelodge_London_Covent_Garden-London_England.html#REVIEWS</t>
  </si>
  <si>
    <t>Alan mond wrote a review Feb 20201 contribution</t>
  </si>
  <si>
    <t>Good value for moneyStayed here in Jan for a work visit. Room clean and the beds were 
comfortable and they were very spacious. Fab location and easy access to 
all transport links. Staff very friendly too! Will probs be back again with 
work.Read moreDate of stay: January 2020HelpfulShare</t>
  </si>
  <si>
    <t>Flyer656084 wrote a review Feb 20201 contribution</t>
  </si>
  <si>
    <t>Great place to stay.Friendly, clean and quiet. Great location and can walk everywhere from 
here. The left luggage is a great facility as you can leave your luggage 
and come back later to check in. It is in central London but really quiet. 
Love it!Read moreReview collected in partnership with TravelodgeDate of 
stay: February 2020HelpfulShare</t>
  </si>
  <si>
    <t>ruthandgareth wrote a review Feb 20201 contribution</t>
  </si>
  <si>
    <t>Eew take your own cleaning products and perhaps a plunger tooTake your own cleaning products and perhaps a plunger too! Arrival was fine 
, check in was quick and location was great. The room was dirty , bathroom 
had not been cleaned and the toilet was blocked by the previous occupants 
poo. Clearly no-one had checked the room. The room we were moved to was 
better but hadn't been hoovered properly. Sweet wrappers on the floor and 
bits and pieces by the bin. Hairs over the bathroom walls and a mucky door 
. We ended up cleaning it ourselves . Yeuch . If it wasn't for the location 
,and the difficulty of finding a family room last !minute in London , we 
would have left.Read moreReview collected in partnership with 
TravelodgeDate of stay: February 2020HelpfulShareResponse from 
TravelodgeUK, James from the Social Media Team at Travelodge London Covent 
GardenResponded 20 Feb 2020Thank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</si>
  <si>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DoItNow2009 wrote a review Feb 2020Berkshire45 contributions36 helpful votes</t>
  </si>
  <si>
    <t>Great location and value for theatre tripThis place was so convenient for our theatre trip, only a few hundred yards 
from the Gillian Lynne theatre where we saw School of Rock. Family room was 
comfortable and more importantly great value for money compared with other 
options.Read moreReview collected in partnership with TravelodgeDate of 
stay: February 2020HelpfulShare</t>
  </si>
  <si>
    <t>LondonGuy wrote a review Apr 2020London, United Kingdom265 contributions170 
helpful votes</t>
  </si>
  <si>
    <t>https://www.tripadvisor.co.uk/Hotel_Review-g186338-d193057-Reviews-or130-Travelodge_London_Covent_Garden-London_England.html#REVIEWS</t>
  </si>
  <si>
    <t>One of The BestPersonally, I find Premier Inns to be superior to Travelodge’s, although 
the latter can be a little cheaper. However, this is probably the best 
Travelodge that I've ever stayed in. It still feels pretty new. The rooms 
are not big, minimalist, but adequate. There is a nice bar offering meals. 
Yet again their food is not as good as Premier Inn, with not so many 
choices, but it is cheap and edible. The breakfast was pretty good in terms 
of quality, choice and value. I paid a very reasonable fare for a central 
London hotel and the Location being near Aldgate tube and Fenchurch Street 
stations is good. Liverpool street station is walkable too, if you did not 
have very heavy luggage. So a very good budget hotel.Read moreDate of stay: 
March 2020RoomsServiceSleep QualityHelpfulShare</t>
  </si>
  <si>
    <t>JourneyWoman wrote a review Feb 20202 contributions</t>
  </si>
  <si>
    <t>Odyssey249166 wrote a review Mar 202012 contributions7 helpful votes</t>
  </si>
  <si>
    <t>Fabulous location, comfortable hotelThe room is a good size for two, bed is comfortable, shower is powerful, 
it’s clean. That’s all we require in a room. The location is superb... easy 
walking distance to everything we wanted to see and do. The staff are 
fabulous. Telma especially went above and beyond... she welcomed us, helped 
organize us and our luggage to be stored, gave us directions, and spent a 
considerable amount of time getting wifi to work for us. (The issue was our 
name has a hyphen.) Telma is a gem! We will stay in this hotel again in 
March.Read moreDate of stay: January 2020HelpfulShare</t>
  </si>
  <si>
    <t>Michael L wrote a review Feb 2020Sydney39 contributions5 helpful votes</t>
  </si>
  <si>
    <t>Overnight stayI selected this hotel for a one night stay to visit the Sky Garden and the 
Tutankhamun exhibition , and was very pleased I did. The hotel is close to 
two Tube stations and even more convenient , on the 205 bus route from 
outside King's Cross. The hotel is visible from the bus stop at St Botolph 
Street.. Check in was easy ..The (standard double ) room was clean and 
comfortable ,with blackout curtains and an opening window .There were 
double usb points and sockets on either side of the bed as well as others. 
Shower was hot and good pressure. The Sky Garden ( pre booked) or Tower 
Bridge is about a 15 minute walk from the hotel and it is a little less to 
Brick Lane / Whitechapel. All the staff that I met at the hotel , 
especially the security guy , were friendly and efficient. A few minutes 
walk up to Liverpool Street station the next morning for an 11 bus for a 
direct route to the Tutankhamun exhibition at the Saatchi Gallery., 
Chelsea. Altogether a very pleasant stay and visit to London and I would be 
very happy to return to London City Travelodge.…Read moreDate of stay: 
March 2020HelpfulShare</t>
  </si>
  <si>
    <t>Value for moneyWe stayed at the Travelodge for 4 nights in January and the positives are 
the location for walking to the theatre district, Chinatown and the 
Embankment precinct along the Thames. Also proximity to metro stations 
Covent Garden or Holborn, was great for access to the Piccadilly line to 
Heathrow. The rooms we were allocated were pretty basic, needed to ask for 
a kettle and tea and coffee, suggest that an upgrade to the renovated rooms 
would be a better option as the rooms were starting to show wear and tear. 
The luggage storage was an additional bonus, in short you get what yo pay 
for, so at an average rate of 70 pds per night for a central London hotel, 
cannot complain.Read moreDate of stay: January 2020HelpfulShareResponse 
from TravelodgeUK, James from the Social Media Team at Travelodge London 
Covent GardenResponded 19 Feb 2020Thank you for reviewing our Travelodge 
London Covent Garden Hotel. We're happy to hear you were pleased with the 
value of your room during this stay with us as well as with the location of 
the hotel but we're sorry to hear you weren't pleased with the room's 
facilities during this stay. Please rest assured the hotel managers check 
Tripadvisor reviews of their hotels so your comments will be reviewed by 
the hotel's team. Thank you again for leaving this review and we do hope 
that you choose to stay with us again in the future.Read more</t>
  </si>
  <si>
    <t>Moneyk wrote a review Mar 20201 contribution</t>
  </si>
  <si>
    <t>All I neededPayed good price for a room on weekday also easy to book online, room with 
comfy king size bed, good shower, breakfast just for 9,25 all you can eat 
buffet. Reception and Bar staff very friendly and welcoming. Will return 
soon!Read moreDate of stay: March 2020Trip type: Travelled soloHelpfulShare</t>
  </si>
  <si>
    <t>Alan S wrote a review Mar 2020Aberdeen, United Kingdom6 contributions1 
helpful vote</t>
  </si>
  <si>
    <t>Long weekend in LondonThe room was spotless, staff was very friendly and helpful, the breakfast 
was basic but good. Hotel is ideally situated for tourists, within 10 
minutes walk from the Gherkin and Sky Garden with plenty of pubs, 
restaurants and cafe bars nearby.Read moreReview collected in partnership 
with TravelodgeDate of stay: March 
2020ValueRoomsLocationCleanlinessServiceSleep QualityHelpfulShare</t>
  </si>
  <si>
    <t>Peter P wrote a review Feb 20202 contributions1 helpful vote</t>
  </si>
  <si>
    <t>DByrne_11 wrote a review Mar 2020Athlone, Ireland11 contributions9 helpful 
votes</t>
  </si>
  <si>
    <t>5 star service!Absolutely fantastic hotel. Every member of staff from reception to 
breakfast staff were fantastic and couldn't have been more helpful or 
feiendly. Great breakfast. Great rooms. Comfy bed. 3 minutes to the tube 
and a 7 minute walk to tower bridge. Definately will recommend to everyone 
and will definitely stay again.Read moreReview collected in partnership 
with this hotelDate of stay: February 2020HelpfulShare</t>
  </si>
  <si>
    <t>Very poor securityTwice other couples were given duplicate keys our room and tried to come 
in, even after they had been told of the problem reception gave out keys 
again, no real apology given so complaining to head office, also so very 
poor rooms for SuperRoom and in places dirty, and stained furniture.Read 
moreDate of stay: February 2020HelpfulShareResponse from TravelodgeUK, 
Hannah from The Social Media Team at Travelodge London Covent 
GardenResponded 19 Feb 2020Thank you for taking the time to share your 
experience with us. We hope to demonstrate a high standard of genuine 
customer care to all of our guests upon their arrival at the Hotel and 
throughout their stay, and we apologise about any disturbance to your room 
during your stay with us. We will ensure this feedback is passed on to the 
relevant teams so we can improve our customer experience. We hope to 
consistently provide a high standard of cleanliness within our rooms and 
throughout our hotels, and we apologise if this was not displayed during 
your stay. We will certainly address this with the Hotel Team to reiterate 
the importance of attention to detail when servicing the rooms.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</si>
  <si>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https://www.tripadvisor.co.uk/Hotel_Review-g186338-d13569031-Reviews-or5-Travelodge_London_City_hotel-London_England.html#REVIEWS</t>
  </si>
  <si>
    <t>https://www.tripadvisor.co.uk/Hotel_Review-g186338-d193057-Reviews-or135-Travelodge_London_Covent_Garden-London_England.html#REVIEWS</t>
  </si>
  <si>
    <t>wmills35 wrote a review Mar 2020Bournemouth, United Kingdom47 
contributions10 helpful votes</t>
  </si>
  <si>
    <t>Daniel I wrote a review Feb 2020Higham Ferrers, United Kingdom334 
contributions63 helpful votes</t>
  </si>
  <si>
    <t>Great valueExcellent location a short walk to the tube station, brick lane and local 
markets etc. The rooms are modern and clean with good soundproofing. A 
functional bathroom but very small. Friendly staff and all round a great 
hotel for a bargain price. Cost £25 for a standard room or £30 premier 
one.Read moreDate of stay: March 2020HelpfulShare</t>
  </si>
  <si>
    <t>Excellent TravelodgeStayed here whilst I was here on business. Have to say I can’t really find 
any faults with this hotel! Rooms were clean and comfy and no noise from 
outside which is excellent considering how central the hotel is. Excellent 
service from the bar staff so I’d like to thank Wayne, Sinem and Michaela 
for their excellent and friendly service. Food from the restaurant is 
pretty decent, my only thing was breakfast. I decided to treat myself on 
the last day and was really disappointed. The quality was what you would 
expect for a £9 buffet, my issue was that the food was just warm...it 
wasn’t hot which put my off a little.Read moreDate of stay: February 20201 
Helpful voteHelpfulShare</t>
  </si>
  <si>
    <t>Alison B wrote a review Feb 20201 contribution</t>
  </si>
  <si>
    <t>Steve R wrote a review Mar 2020Worldwide155 contributions73 helpful votes</t>
  </si>
  <si>
    <t>Disappointing superroom.Good location and price. Upgraded to a superroom as was my birthday. Sadly 
the first impression of the room was a smell of poo. Room was otherwise 
clean but very compact - especially the bathroom. Not what I’d consider a 
superroom. Accessibility terrible. Rear ramp in side alley would be 
dangerous to use at night.Read moreReview collected in partnership with 
TravelodgeDate of stay: February 2020HelpfulShareResponse from 
TravelodgeUK, Hannah from The Social Media Team at Travelodge London Covent 
GardenResponded 19 Feb 2020Thank you for taking the time to share your 
experience with us. We are sorry to note that there was an unpleasant smell 
during your stay. We hope to provide a pleasant and homely environment, and 
we are sorry for any discomfort caused. If you wish to contact us directly 
so that we can discuss your experience further, please be aware that you 
can always contact our Customer Services team via our website. All customer 
feedback is valuable to us, so thank you again for your comments.Read more</t>
  </si>
  <si>
    <t>Ollie5959 wrote a review Feb 2020Penzance, United Kingdom3 contributions</t>
  </si>
  <si>
    <t>Another great visitThis was a return visit to this hotel, just as good as the first one. 
Comfortable, quiet stay; excellent staff who look after you well. Easy 
access to the rest of London by Tube, as Aldgate and Aldgate East stations 
are no more than five minutes' walk away. In the immediate vicinity there 
are plenty of pubs and restaurants (both walking towards Tower Bridge/St 
Katherine's Dock and towards Liverpool Street Station.) The atmospheric and 
popular Spitalfields market is a short walk from the hotel. These nearby 
amenities mean that it is possible to eat out in the immediate area without 
needing to make a Tube journey.Read moreDate of stay: March 2020HelpfulShare</t>
  </si>
  <si>
    <t>Henry2020 wrote a review Mar 20201 contribution</t>
  </si>
  <si>
    <t>Great location, rooms a lotteryGreat location at very top end of Drury Lane (so not exactly Covent Garden) 
Hotel is very large and we have stayed there several times to discover that 
room quality is a lottery. Some are very poor, small and gloomy while 
others are very good. The "Super Rooms" option (at a premium) gives you a 
more reliable room. Breakfast was awful, an array of tired chewy and 
tasteless 'food'. There are good food options opposite the Hotel which are 
great quality and decent prices.Read moreReview collected in partnership 
with TravelodgeDate of stay: February 2020HelpfulShare</t>
  </si>
  <si>
    <t>Birthday weekendWe visited this Travelodge for a weekend and team was great, when they 
found out it’s my daughter’s birthday they offered us complimentary 
breakfast which was a nice touch. We had family room which was perfect size 
for a weekend stay with my family! Thank you.Read moreDate of stay: March 
2020HelpfulShare</t>
  </si>
  <si>
    <t>Itsme wrote a review Feb 2020Wales, United Kingdom142 contributions39 
helpful votes</t>
  </si>
  <si>
    <t>Lovely stay thank youWe stayed here again for my daughters birthday. Location is perfect very 
close to oxford street and Piccadilly, theatres. Plenty of bars, cafes, 
restaurants, mcds and Starbucks, convenience stores. Location is perfect, 
staff are lovely and friendly and willing to accommodate. We have stayed 
here many times and will continue to. As it was my daughters birthday we 
were generously given free breakfast during our stay, early check in, late 
check out and free drinks as it was my daughters 18th birthday. The hotel 
is lovely. Warm and friendly atmosphere, safe and clean. We will definitely 
always stay here when we visit London. Definitely recommend. Thank you 
travelodge and all the lovely staff at Covent Garden for helping make my 
daughters birthday extra special and a lovely stay…Read moreDate of stay: 
February 2020HelpfulShare</t>
  </si>
  <si>
    <t>https://www.tripadvisor.co.uk/Hotel_Review-g186338-d13569031-Reviews-or10-Travelodge_London_City_hotel-London_England.html#REVIEWS</t>
  </si>
  <si>
    <t>https://www.tripadvisor.co.uk/Hotel_Review-g186338-d193057-Reviews-or140-Travelodge_London_Covent_Garden-London_England.html#REVIEWS</t>
  </si>
  <si>
    <t>alis0nmccull0ch wrote a review Mar 2020Edinburgh, United Kingdom2 
contributions</t>
  </si>
  <si>
    <t>Jackie C wrote a review Feb 20204 contributions1 helpful vote</t>
  </si>
  <si>
    <t>Not for a lesuirely weekend staywe had a number of issues on our stay at this hotel Front desk staff said 
that we could not adjust our own heating/fans as they were set at the front 
desk even though there were instructions in the room of how to do so. Our 
shower tray was chipped and badly repaired. There was university students 
staying &amp; we couldn't get in or out of the front entrance as this is where 
they had decided to hang around drinking out of mugs and leaving them 
everywhere. The plates as breakfast were cold meaning that you food was 
cold before you got back to the table.Read moreReview collected in 
partnership with TravelodgeDate of stay: March 2020HelpfulShare</t>
  </si>
  <si>
    <t>Fab staffGreat location, clean and well maintained as you would expect but best of 
all is Wayne the barman. Very helpful and has extremely helpful 
information. Can highly recommend this hotel. The food is excellent tooRead 
moreDate of stay: February 2020HelpfulShare</t>
  </si>
  <si>
    <t>Lily Taylor wrote a review Feb 20201 contribution</t>
  </si>
  <si>
    <t>Very friendlyI must say the manager Sofia was extremely friendly as well as those in the 
restaurant. My compliments to the chef the food was amazing. Being in the 
centre of London we were able to visit everything and come back to a 
comfortable bed in a clean room. Had a wonderful time, I’ll be back 
soonRead moreDate of stay: February 2020HelpfulShare</t>
  </si>
  <si>
    <t>Sightsee667745 wrote a review Mar 20201 contribution</t>
  </si>
  <si>
    <t>Very satisfied!Wonderful stay at Travelodge. Hashim at the reception helped us settle in 
and made our experience so much more pleasant through his excellent manners 
and service. We felt welcomed and at home from the very first moment.Read 
moreReview collected in partnership with TravelodgeDate of stay: March 
2020HelpfulShare</t>
  </si>
  <si>
    <t>adamlauraswindon wrote a review Feb 20203 contributions3 helpful votes</t>
  </si>
  <si>
    <t>Bar Service AmazingA great hotel reasonably priced and right in the heart of London. The 
unlimited breakfast deal was also well worth the money. Had wonderful 
friendly service from Vanessa in the bar of the hotel. She is a credit to 
Travelodge hotels.Read moreDate of stay: February 2020HelpfulShare</t>
  </si>
  <si>
    <t>https://www.tripadvisor.co.uk/Hotel_Review-g186338-d13569031-Reviews-or15-Travelodge_London_City_hotel-London_England.html#REVIEWS</t>
  </si>
  <si>
    <t>ju12342020 wrote a review Mar 20201 contribution</t>
  </si>
  <si>
    <t>https://www.tripadvisor.co.uk/Hotel_Review-g186338-d193057-Reviews-or145-Travelodge_London_Covent_Garden-London_England.html#REVIEWS</t>
  </si>
  <si>
    <t>Angelagil wrote a review Feb 20202 contributions</t>
  </si>
  <si>
    <t>Great stayGreat , location and lovely clean and comfortable room . The staff were 
really helpful and friendly and couldn’t do enough to help . 5 mins walk to 
nearest tube station and easy to get anywhere in central London . The bar 
cafe is well laid out and the breakfast was really good . Well cooked and 
well stocked . Also kept our cases when we checked out , to collect later 
when travelling to station . Well recommended for a comfortable stay .Read 
moreReview collected in partnership with this hotelDate of stay: March 
2020HelpfulShare</t>
  </si>
  <si>
    <t>Andy T wrote a review Mar 2020Selby, United Kingdom70 contributions42 
helpful votes</t>
  </si>
  <si>
    <t>Food and bar staffFood was fantastic and the bar staff were very friendly and provided a 
great service. Would definitely recommend to stay here, the travelodge is 
very clean and tidy also good sized rooms with very comfortable bedRead 
moreDate of stay: February 2020HelpfulShare</t>
  </si>
  <si>
    <t>My favourite TL in LondonThis Travelodge is excellent. I've stayed in quite a few of them now, and 
usually book based on proce. This one will be my go-to prererence from now 
on. It's clean, comfortable and everything works. Some TLs are dilapidated 
and to be avoided, not so this one. Staff are superb, polite and helpful. 
There's left luggage if you arrive early. It's 2 minutes walk from Algate 
and Aldgate East Tube stations. Bar is well-stocked and comfortable. We ate 
breakfast which was the usual all-you-can-eat buffet - excellent. 
Recommended.Read moreDate of stay: March 2020HelpfulShare</t>
  </si>
  <si>
    <t>eletman wrote a review Mar 2020Bangor, United Kingdom2 contributions2 
helpful votes</t>
  </si>
  <si>
    <t>Meghann B wrote a review Feb 20201 contribution</t>
  </si>
  <si>
    <t>Fabulous Stay at a "Budget Hotel"I've stayed at this Travelodge a few times and the staff are exceptional, 
go above &amp; beyond. It's clean, comfortable and close to the tube and within 
walking distance to Liverpool Street Train Station.Read moreReview 
collected in partnership with TravelodgeDate of stay: March 2020HelpfulShare</t>
  </si>
  <si>
    <t>Theatre TripWe stayed at this hotel as we were going to a west end show, if you are 
doing the same I would throughly reccommend this hotel on the location 
alone. Lecister Square is in walking distance and so is covent garden and 
the west end, all about a five - ten minute walk. The hotel is basic but if 
you are staying just for one night and just want a place to rest your head 
it is ideal. However, I would stay clear of eating at this hotel as it 
wasn't the best of meals and there is so much more choice if you eat out. 
Overall, an ideal hotel for people staying one night in London or seeing a 
show - good value for money!Read moreDate of stay: February 2020HelpfulShare</t>
  </si>
  <si>
    <t>lynnthesupergran wrote a review Mar 2020Leeds, United Kingdom1 contribution</t>
  </si>
  <si>
    <t>City of LondonGreat location, staff were very helpful and pleasant. The room was very 
clean and comfortable. Plenty of plug sockets and great that it had USB 
ports at side of bed. Would stay here again when we go to London. Great 
valueRead moreReview collected in partnership with this hotelDate of stay: 
March 2020HelpfulShare</t>
  </si>
  <si>
    <t>David C wrote a review Mar 2020Hallan 1, India28 contributions19 helpful 
votes</t>
  </si>
  <si>
    <t>Good location, transport within easy reach, both buses and tube.What makes this an excellent hotel, rather than just very good, is the 
Staff. Very professional, good natured and always willimg to help with a 
smile. Special mention must go to, Lillian, Sultana,Nasa, Dipu and 
Reception and Bar Staff. I never met the housekeeping staff but the rooms 
were always clean and tidy, the beds well made. Well done to you all, from 
David the 'Kit Kat' man !!.Read moreDate of stay: March 2020HelpfulShare</t>
  </si>
  <si>
    <t>Jeff B wrote a review Feb 20203 contributions</t>
  </si>
  <si>
    <t>https://www.tripadvisor.co.uk/Hotel_Review-g186338-d13569031-Reviews-or20-Travelodge_London_City_hotel-London_England.html#REVIEWS</t>
  </si>
  <si>
    <t>Only the LocationThe only good thing about this hotel is the location, otherwise it's loud, 
under staffed with poorly trained personnel, it has grubby worn common 
areas and everything seems broken or on the verge of being so. Forget the 
electronic check in, that never seems to be working, even the out of order 
notices seem to have been in place long term! The rooms are reasonably 
clean but family rooms are cramped with the put up additional beds 
extremely uncomfortable even for young children (ours 9 &amp; 10). Note all the 
family rooms are in a second building about 400 yards up and across a MAIN 
ROAD, not great if you have young children and luggage in tow! The 'non 
slip' surface in the bath in our room was deadly with the bath being like a 
mini ice rink; it's ok though because there is a…Read moreDate of stay: 
February 2020HelpfulShareResponse from TravelodgeUK, Hannah from The Social 
Media Team at Travelodge London Covent GardenResponded 17 Feb 2020Thank you 
for taking the time to share your experience with us. We are sorry to learn 
of your disappointment with our hotel facilities. As a budget hotel brand 
we aim to provide a comfortable stay for value and we are currently 
refreshing our refurbishment scheme to improve our hotels. We would like to 
thank you for your feedback, which we will certainly take on board. We are 
sorry to learn of your disappointment with the food in our Bar Cafe. We 
hope to only serve food of good quality, cooked and presented to an 
acceptable, high standard. Where this is not the case, we would kindly 
advise raising this with the Team on site so that they can offer a 
resolution. However, We will certainly pass your comments on to the 
Management Team to ensure that we consistently provide good service within 
our Bar Cafes. If you wish to contact us directly so that we can discuss 
your experience further, please be aware that you can always contact our 
Customer Services team via our website. All customer feedback is valuable 
to us, so thank you again for your comments.Read more</t>
  </si>
  <si>
    <t>griggsevents wrote a review Feb 20203 contributions</t>
  </si>
  <si>
    <t>Jayne561 wrote a review Mar 2020Preston, United Kingdom20 contributions13 
helpful votes</t>
  </si>
  <si>
    <t>My night madeWayne is an absolute lad. Excellent service with a smile and kept me 
laughing. Leilany shout out to you too. Amazing service. Thank you for 
keeping our night going. Look forward to our next stay at this great 
hotelRead moreDate of stay: February 2020HelpfulShare</t>
  </si>
  <si>
    <t>Great locationComfy bed. Powerful shower. Quiet room. New travelodge 2 chairs in the 
room.. Kettle available and extra coffee and tea sachets free at reception. 
Friendly staff. Handy location for the Thames and Tower.Read moreReview 
collected in partnership with TravelodgeDate of stay: March 2020HelpfulShare</t>
  </si>
  <si>
    <t>Kaz wrote a review Mar 2020Liverpool, United Kingdom191 contributions60 
helpful votes</t>
  </si>
  <si>
    <t>Excellent, highly recommendI’ve stayed in a lot of Travelodge’s in London and this will be my go to 
from now on. Handy for Aldgate station (5 minute walk) for circle and 
metropolitan lines, has breakfast and a bar/restaurant on site, reasonable 
price and great check in and out times. We arrived earlier than our 3pm 
check in and the receptionist said if we came back in 30 minutes she would 
see if we could check in early, we went to a lovely nearby pub then were 
checked in early. Great service. The 12.00pm check out was great to give us 
a leisurely breakfast, little walk around by the gherkin and time to pack 
before catching our train home. I was happy with the breakfast, I had 
cereal, toast, and a cooked breakfast for under £10, I thought it was good 
quality. I’d recommend paying the £3 for 24 hour…Read moreDate of stay: 
March 20201 Helpful voteHelpfulShare</t>
  </si>
  <si>
    <t>https://www.tripadvisor.co.uk/Hotel_Review-g186338-d13569031-Reviews-or25-Travelodge_London_City_hotel-London_England.html#REVIEWS</t>
  </si>
  <si>
    <t>PeggyP59 wrote a review Mar 2020Heswall, United Kingdom36 contributions19 
helpful votes</t>
  </si>
  <si>
    <t>Great hotelMust say we were very surprised with this hotel. In a quiet end of this 
area , spotlessly clean , comfy beds , extra pillows . Rooms/bathroom small 
but adequate but for price , comfort and cleanliness it was great. 15 mins 
walk to Tower Bridge, check out Spitalfields, hip vibe. Great shops lots of 
ethical sustainable coffee shops! Something for everyone. Will definitely 
stay here againRead moreDate of stay: March 20201 Helpful voteHelpfulShare</t>
  </si>
  <si>
    <t>https://www.tripadvisor.co.uk/Hotel_Review-g186338-d193057-Reviews-or150-Travelodge_London_Covent_Garden-London_England.html#REVIEWS</t>
  </si>
  <si>
    <t>kenf706 wrote a review Mar 20203 contributions</t>
  </si>
  <si>
    <t>David Lillywhite wrote a review Feb 2020Brentwood, United Kingdom87 
contributions6 helpful votes</t>
  </si>
  <si>
    <t>Fotball tripGreat value Hotel , good beds, Nice size rooms , Great locations Near two 
underground Station. The rooms could be updated, especialy the bathroom, 
but overall a ok room to a Great price. The food from the restaurant wasnt 
the best..Read moreReview collected in partnership with TravelodgeDate of 
stay: March 2020HelpfulShare</t>
  </si>
  <si>
    <t>Cold and loudComfy bed, big room and friendly lovely staff. However the nights sleep was 
spoilt by a very inadequate heater which caused a very cold room and bad 
windows that let in a lot of the outside noise (wind noise and traffic etc) 
also the fan in the bathroom was working non stop even when the light was 
off. I wouldn’t recommend this particular site to someone, but it wasn’t 
the worst place I’ve ever stayed....just maybe take an extra heater next 
time haha!!Read moreDate of stay: February 2020HelpfulShare</t>
  </si>
  <si>
    <t>115mini wrote a review Mar 2020Bradford, United Kingdom16 contributions5 
helpful votes</t>
  </si>
  <si>
    <t>Michelle C wrote a review Feb 2020Yeovil, United Kingdom39 contributions14 
helpful votes</t>
  </si>
  <si>
    <t>Great locationHad three nights here and could not fault it. Brilliant location, clean, 
comfortable and very friendly staff especially Dipu, he was extremely 
helpful an asset to Travelodge. Nora cafe is a fabulous place for 
breakfast, just around the corner from the hotel.Read moreDate of stay: 
March 2020HelpfulShare</t>
  </si>
  <si>
    <t>671valerie wrote a review Mar 2020Nottingham, United Kingdom1 contribution</t>
  </si>
  <si>
    <t>Pleasantly surprisedGreat location. From the start of check in we were treated so well. We 
asked for rooms together and the receptionist noticed my mother was not 
particularly mobile so asked if we would like ground floor, literally right 
by reception. So helpful and friendly. bar staff again were exceptional, so 
friendly and fab service. prices are not in line with normal highs of 
London. Room as you would expect from travelodge... Basic, shower went all 
over the floor etc. Overall a good stay with fab service.Read moreDate of 
stay: January 2020HelpfulShare</t>
  </si>
  <si>
    <t>Incredible value right in the heart of real londonUsed to live in London and work in the square mile, so on a weekend visit 
with my brother we stayed at this hotel - perfect location, very new, very 
clean, no old world charm but who cares, the charm is outside! Super comfy 
and large twin room, great sleep as area is quiet esp at the weekend?, 
however a few steps outside you are in petticoat lane, spitalfields, 
shoreditch - perfect for a weekend to see London as lived by its diverse 
residents. Plenty of great bars, pubs , restaurants ( check out Honest 
burgers) , plenty of hipsters but also plenty of locals all living along 
side by side! If you love vintage, independent shopping , art and music at 
street level it’s the best area of London- and super easy to get anywhere 
else in London. And finally about the hotel - lovely warm…Read moreDate of 
stay: March 2020HelpfulShare</t>
  </si>
  <si>
    <t>Sharon M wrote a review Mar 2020Bromley, United Kingdom1 contribution</t>
  </si>
  <si>
    <t>Mike W wrote a review Feb 2020Canterbury, United Kingdom8 contributions6 
helpful votes</t>
  </si>
  <si>
    <t>Covent GardenThe hotel is an excellent location for Theatre land and the West end. It's 
a very practical hotel with everything that you need if visiting London and 
are out most of the day or night. We have used this hotel on a number of 
occasions and it suites our needsRead moreReview collected in partnership 
with TravelodgeDate of stay: February 2020HelpfulShare</t>
  </si>
  <si>
    <t>Great serviceI have to leave this review as I had the most amazing person above and 
beyond to help me as I booked the London city airport hotel and arrived at 
the London city hotel with kids, on public transport already gettimg lost. 
Sultana you really helped me with getting to the right hotel and you took 
so much time to help me with directions and routes your a lovely helpful 
person and really helped me, thank you so much. Customer service second to 
none . ,Read moreDate of stay: March 2020HelpfulShare</t>
  </si>
  <si>
    <t>Roderick wrote a review Feb 20201 contribution</t>
  </si>
  <si>
    <t>https://www.tripadvisor.co.uk/Hotel_Review-g186338-d13569031-Reviews-or30-Travelodge_London_City_hotel-London_England.html#REVIEWS</t>
  </si>
  <si>
    <t>https://www.tripadvisor.co.uk/Hotel_Review-g186338-d1812157-Reviews-or20</t>
  </si>
  <si>
    <t>susannemytzka wrote a review Mar 2020Kronach, Germany1 contribution</t>
  </si>
  <si>
    <t>Cause of fraud on us !!!!We booked a room from 6 February till 10 February but Saturday 8th of 
February i made a mistake.i tell the true not lying. I smoke a cigarette 
from outside the window but not inside. And 1 hour and a half later came 
the security and open the door on me and my girlfriend and make a show on 
us.that’s not fair that open the door by himself.thats time I’m faling 
asleep. he tell us to pay the fine of £150 or going immediately away.he 
tell us how much still in that room and we tell him that still 2 days 
more!!! I’m apologize and I tell him that i made a mistake but the boss he 
still want the £150 he don’t take me another chance.he came angry with me 
because I’m too good .if i make any damages in that room for sure he put us 
away from that room.But the staff play a game on us to take…Read moreDate 
of stay: February 2020HelpfulShareResponse from TravelodgeUK, Zack from The 
Social Media Team at Travelodge London Covent GardenResponded 16 Feb 
2020Thank you for leaving your review. We are sorry to hear that you were 
not happy with the service provided by our staff and that you were asked to 
leave the hotel and pay a £150 fine. As mentioned in the review, you have 
stated that you did smoke a cigarette in your room out the window. 
Unfortunately this is a breach of our Terms and Conditions which our guests 
must agree to prior to making a booking with us, and we do state that you 
will be liable for a £150 fine and to be removed from the hotel, however we 
are sorry for your disappointment with this. Thank you again for taking the 
time to write a review.Read more</t>
  </si>
  <si>
    <t>High recommendable!We have stayed at many Travelodges and we were greeted with the same 
friendliness and professionalism each time. We would always visit again. 
This location is especially favorable as it is quite serene as well as it 
is connected to the centre of town via public transport.Read moreReview 
collected in partnership with this hotelDate of stay: February 
2020HelpfulShare</t>
  </si>
  <si>
    <t>https://www.tripadvisor.co.uk/Hotel_Review-g186338-d193057-Reviews-or155-Travelodge_London_Covent_Garden-London_England.html#REVIEWS</t>
  </si>
  <si>
    <t>willtimmarsh wrote a review Mar 2020Ipswich, United Kingdom1 contribution</t>
  </si>
  <si>
    <t>Surprisingly Good!We were pleasantly surprised by this Travelodge, it doesn't feel like a 
Travelodge. We had a lovely stay visiting friends and family, everyone we 
met was lovely and it was really convenient having a 24hour bar.Read 
moreReview collected in partnership with this hotelDate of stay: February 
2020HelpfulShare</t>
  </si>
  <si>
    <t>donnamariawatson wrote a review Feb 2020Washington, United Kingdom1 
contribution</t>
  </si>
  <si>
    <t>Leann-Markham wrote a review Mar 2020Barnsley, United Kingdom1 contribution</t>
  </si>
  <si>
    <t>Would stay again!Would happily stay in this hotel again, was only there for 2 days but found 
it really easy to check in. Tube station is right round the corner making 
it easier to get to any of the places you want to visit.Read moreReview 
collected in partnership with TravelodgeDate of stay: February 
2020HelpfulShare</t>
  </si>
  <si>
    <t>Not greatThe room was grim and the bathroom was dirty. The duvet was old and thin 
and there was no hairdryer. Ok for a budget visit but not worth what 
Travelodge are charging.The luggage storage area was interesting and the 
exterior was not inviting.Read moreReview collected in partnership with 
TravelodgeDate of stay: February 2020HelpfulShareResponse from 
TravelodgeUK, Ben from the Social Media Team at Travelodge London Covent 
GardenResponded 12 Feb 2020Thank you for submitting your review of our 
London Covent Garden Travelodge. We're sorry to hear your room was not up 
to the usual high standard of cleanliness we would have wished for you, in 
such instances we would suggest this is reported to the reception team to 
enable them to fix any problems for you. Feedback is invaluable and our 
Hotel Managers regularly review their TripAdvisor reviews in order to fix 
any issues raised and pass on feedback to their team. Thank you once again 
and we do hope you will stay with us in the future.Read more</t>
  </si>
  <si>
    <t>dmarsh25dm wrote a review Mar 2020Nottingham, United Kingdom1 contribution</t>
  </si>
  <si>
    <t>abhish122020 wrote a review Feb 20201 contribution</t>
  </si>
  <si>
    <t>Top night, thoroughly enjoyed1we came down to watch the football, and booked last minute so was surprised 
how cheap the room was, but we had a great stay and we had lost of fun with 
loads of great pubs and restaurants close by. Highly recommend it!Read 
moreReview collected in partnership with this hotelDate of stay: February 
2020HelpfulShare</t>
  </si>
  <si>
    <t>uldisknapsis wrote a review Mar 20201 contribution</t>
  </si>
  <si>
    <t>Just OK place at good locationExcellent Location, Good Staff. had 2 night stay in a family room. Extra 
bed was just terrible caused stiffness in back. Overall would rate this 
place s average. If you get a cheap rate its good else prefer nearby place 
which you could get in similar price.Read moreReview collected in 
partnership with TravelodgeDate of stay: February 2020HelpfulShareResponse 
from TravelodgeUK, Ben from the Social Media Team at Travelodge London 
Covent GardenResponded 12 Feb 2020Thank you for taking the time to write a 
review about our London Covent Garden hotel. We're pleased to hear that you 
liked the hotels location and the team however we are sorry to learn that 
you found the pull out bed to be uncomfortable. We strive to make our 
customers as comfortable as possible and we would like to apologise if on 
this occasion we were not able to offer you a good night's sleep. We 
appreciate all the feedback we receive and our Hotel Managers regularly 
review their TripAdvisor reviews in order to fix any issues raised and pass 
on feedback to their team. Thank you once again and we do hope you will 
stay with us in the future.Read more</t>
  </si>
  <si>
    <t>Discount fraudThere was a discount at the time of booking the hotel, but a full 
non-discounted amount was requested upon arrival and payment :( Overall, 
staying was pleasant. Great location, comfortable bed, quiet.Read 
moreReview collected in partnership with TravelodgeDate of stay: February 
2020HelpfulShareResponse from TravelodgeUK, Hannah from The Social Media 
Team at Travelodge London City hotelResponded 4 Mar 2020Thank you for 
taking the time to share your experience with us. Being a budget hotel 
brand, we hope to provide our guests with a comfortable stay in their 
preferred location, for value. We are pleased to hear that we provided this 
for you at a good rate. May we kindly request that you contact our Customer 
Services Team through the help section on our website so that we can 
investigate the discount more thoroughly for you. Thank you again for your 
comments, and we hope to hear from you soon.Read more</t>
  </si>
  <si>
    <t>Pamjo444 wrote a review Feb 2020England, United Kingdom37,082 
contributions81 helpful votes</t>
  </si>
  <si>
    <t>https://www.tripadvisor.co.uk/Hotel_Review-g186338-d13569031-Reviews-or35-Travelodge_London_City_hotel-London_England.html#REVIEWS</t>
  </si>
  <si>
    <t>Basic good value for money in a convenient locationIf you are planning a visit to the theatres in The Strand area or to The 
Royal Opera House, Covent Garden, then the location of this Travelodge is 
ideal. It provides a basic no-frills type of accommodation. The building is 
a bit stark but our room was a good size and comfortable for our one-night 
stay. Breakfast was plentiful although the coffee was a bit weak. There are 
plenty of nice pubs and restaurants nearby.Read moreReview collected in 
partnership with this hotelDate of stay: February 2020HelpfulShare</t>
  </si>
  <si>
    <t>12Adele12 wrote a review Mar 20201 contribution</t>
  </si>
  <si>
    <t>CleannnClean and comfy room, great King size bed extra 2 pillows if needed. 
Breakfast buffet just for 9,25 multiply choice. You can get as many tea and 
coffee as you need from Reception. Extra towels available at reception as 
well. Team was frendly.Read moreDate of stay: March 2020HelpfulShare</t>
  </si>
  <si>
    <t>https://www.tripadvisor.co.uk/Hotel_Review-g186338-d193057-Reviews-or160-Travelodge_London_Covent_Garden-London_England.html#REVIEWS</t>
  </si>
  <si>
    <t>Stujames007 wrote a review Feb 20203 contributions</t>
  </si>
  <si>
    <t>Daren Spencer B wrote a review Mar 2020London, United Kingdom6 
contributions1 helpful vote</t>
  </si>
  <si>
    <t>Weekend breakFantastic location everything on your doorstep,lovely clean hotel and cheap 
as chips,special mention to hashim who made our stay just that bit more 
enjoyable and put himself out with customer relations, breakfast brilliant, 
would definitely stay here againRead moreDate of stay: March 
2020HelpfulShare</t>
  </si>
  <si>
    <t>Great Value for moneyReally great Location right in the heart of Covent Garden. Staff were 
friendly and very helpful. Bed was comfy and room temperature just right. 
If you want to be right in the centre of London this hotel is for you.Read 
moreReview collected in partnership with this hotelDate of stay: February 
2020HelpfulShare</t>
  </si>
  <si>
    <t>Bob C wrote a review Mar 2020Littlehampton, United Kingdom62 
contributions15 helpful votes</t>
  </si>
  <si>
    <t>Mike S wrote a review Feb 2020London, United Kingdom2 contributions</t>
  </si>
  <si>
    <t>London Visit with BrothersI stayed overnight here with my two brothers. We had travelled from our 
homes in Lancashire, Norfolk and West Sussex to watch a football match 
followed by an evening out. We received a friendly greeting from the lady 
on reception (Abibi if I remember correctly). The hotel rooms were very 
comfortable and we all three slept very well. I hope to stay here again 
when the three of us meet up in London.Read moreDate of stay: March 
2020HelpfulShare</t>
  </si>
  <si>
    <t>THE PERFECT STAY!I had a great experience from start to finish at the High Holborn buidling 
of the Covent Garden Travelodge. The room was warm, comfortable, clean, and 
dark (as I like it), and the facilities were great. In particular the staff 
in the restaurant at Breakfast were fantastic, with a lady called 'Elena' 
(I think!) really going out of her way to make us feel welcome. We would 
not hesitate to return - thank you all!Read moreDate of stay: February 
2020HelpfulShare</t>
  </si>
  <si>
    <t>rogerwiffen1 wrote a review Mar 20201 contribution</t>
  </si>
  <si>
    <t>Couldn't fault itFrom the moment we got there (arriving at 9.30, 3 hours early and able to 
check in and get our room)until we left we couldn't fault the hotel. Staff 
were extremely helpful. Breakfast good value for money also.Read moreReview 
collected in partnership with this hotelDate of stay: February 
2020HelpfulShare</t>
  </si>
  <si>
    <t>stevebintley wrote a review Feb 2020Bedford, United Kingdom4,936 
contributions751 helpful votes</t>
  </si>
  <si>
    <t>SuRowe wrote a review Feb 2020Burton upon Trent, United Kingdom10 
contributions3 helpful votes</t>
  </si>
  <si>
    <t>Central haven for city travellersComfy, clean &amp; surprisingly quiet at night with very helpful friendly 
staff. It also has a bar and restaurant serving breakfast, lunch &amp; dinner 
at great value prices. Definitely recommended for the cost &amp; location.Read 
moreDate of stay: February 2020HelpfulShare</t>
  </si>
  <si>
    <t>Perfectly fine for a short stayThere’s actually two different buildings making up this hotel, so if you 
pick the wrong reception you may find yourself having to walk round the 
corner to actually find your room. The check in from the High Holborn 
reception was fine though, with friendly and quick staff willing to make 
conversation. The family room on the 5th floor was quite large and 
spacious, but best of all clean and silent throughout the day and night. As 
you expect with the chain there was an open wardrobe area and shelves, but 
the desk was large and the beds comfortable as ever. There is a small 
dining area and bar on the ground floor next to reception. Its fair to say 
that neither area has any real atmosphere, nor is particularly comfortable, 
but at least the bar is open fairly late. As a cheap option…Read moreDate 
of stay: December 2019HelpfulShareResponse from TravelodgeUK, Zack from The 
Social Media Team at Travelodge London Covent GardenResponded 10 Feb 
2020Thank you for leaving your review of our London Covent Garden hotel. We 
encourage our hotel to work hard towards providing the best experience 
possible for our guests, so we are delighted to hear that our hotel team 
were able to make your stay more enjoyable, however we are sorry to hear of 
your disappointment with the bar cafe area. Please be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</si>
  <si>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https://www.tripadvisor.co.uk/Hotel_Review-g186338-d13569031-Reviews-or40-Travelodge_London_City_hotel-London_England.html#REVIEWS</t>
  </si>
  <si>
    <t>Jakelrice wrote a review Feb 2020United Kingdom33 contributions13 helpful 
votes</t>
  </si>
  <si>
    <t>Anabel1982 wrote a review Feb 2020Torremolinos, Spain14 contributions29 
helpful votes</t>
  </si>
  <si>
    <t>OKBooked 2 rooms for a Friday night in January new type room was ok but older 
twin room was poorly maintained(bathroom door wouldnt shut) in formed 
reception nothing was done. We had a snack before we went out for the 
evening the service was very slowRead moreDate of stay: January 
2020HelpfulShareResponse from TravelodgeUK, Zack from The Social Media Team 
at Travelodge London Covent GardenResponded 9 Feb 2020Thank you for leaving 
your review of our London Covent Garden hotel. We are pleased to hear that 
you were happy with one room you were allocated however we are sorry to 
hear of your disappointment with the twin room you were allocated and also 
for your disappointment with the service provided in the bar cafe. Please 
be assured the hotel managers check Tripadvisor reviews of their hotels so 
your comments will be reviewed by the hotel's team. Thank you again for 
leaving this review and we do hope that you choose to stay with us again in 
the future.Read more</t>
  </si>
  <si>
    <t>Excellent stay!!The Travelodge London City offers a great value for the customers. The 
rooms were very clean, the staff was very helpful and friendly and the beds 
very comfortable. The breakfast was the typical English breakfast, I prefer 
the Spanish one, but it was ok for a few days!! There were a wide range of 
cereals, perfect for children. The Wi-Fi is the only weak point, but the 
hotel is fantastic because of its great situation located at the City and 
two underground stops very close!! I highly recommend this hotel and I 
would come back again!! Thanks to all the staff.Read moreDate of stay: 
February 20201 Helpful voteHelpfulShare</t>
  </si>
  <si>
    <t>Gemma Pashley wrote a review Feb 2020Chesterfield, United Kingdom48 
contributions11 helpful votes</t>
  </si>
  <si>
    <t>https://www.tripadvisor.co.uk/Hotel_Review-g186338-d193057-Reviews-or165-Travelodge_London_Covent_Garden-London_England.html#REVIEWS</t>
  </si>
  <si>
    <t>A low cost comfortable room in the cityBudget friendly accommodation both for the room and food and drinks which 
is welcome in the centre of London. We stayed in a super room which had 
everything we needed. Accommodation is basic but comfortable and clean. 
Very good value for money and great service from staff.Read moreDate of 
stay: February 2020HelpfulShare</t>
  </si>
  <si>
    <t>B Williams wrote a review Feb 20202 contributions</t>
  </si>
  <si>
    <t>TravelodgeThe room was cold,even though it a converter heater. Breakfast was o.k 
Nothing to write home about. Good location Friendly reception staff. We was 
located at the end of the buildons on the 4th floor,you could here doors 
slamming through out the stay.Read moreReview collected in partnership with 
TravelodgeDate of stay: February 2020HelpfulShare</t>
  </si>
  <si>
    <t>DalgleishFamily wrote a review Feb 2020Penzance, United Kingdom1 
contribution</t>
  </si>
  <si>
    <t>Ray L wrote a review Feb 20202 contributions2 helpful votes</t>
  </si>
  <si>
    <t>Great value for money.Comfortable, quite recently built hotel with helpful staff. Great cafe and 
breakfast facilities in an interesting area of London. Close to 
Spitalfields Market and Brick Lane curry houses. Building site next door 
but double glazing blocks the noise well.Read moreReview collected in 
partnership with this hotelDate of stay: February 2020HelpfulShare</t>
  </si>
  <si>
    <t>clara g wrote a review Feb 2020Cuneo, Italy12 contributions7 helpful votes</t>
  </si>
  <si>
    <t>The Best Travelodge by farMy wife and I stayed here on the 25/01/2020 and can not fault this place. 
For central London the price is very reasonable.We had a Super room on the 
4th floor and the noise was a minimum. The staff were out of this world 
very polite and seemed very happy to be there to take care of any of your 
needs. This has to be the best Travelodge we have every stayed in and would 
definitely recommend this place to anyone wanting to stay in central 
London.Read moreReview collected in partnership with TravelodgeDate of 
stay: January 2020HelpfulShare</t>
  </si>
  <si>
    <t>HolidayRevellers wrote a review Feb 2020Leeds, United Kingdom25 
contributions6 helpful votes</t>
  </si>
  <si>
    <t>PERFECTI stayed 4 nights in this hotel with 4 children; everything was perfect: 
the price, the location, the staff was really kids friendly and helpful. We 
had some problems with our oyster card and Nasa helps us... The food is 
good (as london standards are), the lobby and the restaurant is smart, nice 
and full of colors. The rooms are simple but comfortable, perfect for a 
holiday in London. The hotel is new.Read moreReview collected in 
partnership with TravelodgeDate of stay: February 2020HelpfulShare</t>
  </si>
  <si>
    <t>Perfect StayGreat stay in a lovely clean hotel, staff very friendly and helpful, great 
central location. Close to all the amenities. Great breakfast eat as much 
as you want. Defo will be back again soon so close to theatres and tubeRead 
moreReview collected in partnership with TravelodgeDate of stay: February 
2020HelpfulShare</t>
  </si>
  <si>
    <t>naaaooomi wrote a review Feb 20201 contribution</t>
  </si>
  <si>
    <t>Great stayI stayed at Travelodge during the weekend. It was really love stay. Good 
location close to public transport. Room was clean and fresh. Breakfast was 
tasty m. The staff were brilliant very friendly and welcoming. Definitely I 
will stay here againRead moreDate of stay: February 2020HelpfulShare</t>
  </si>
  <si>
    <t>Experience670515 wrote a review Feb 20204 contributions</t>
  </si>
  <si>
    <t>https://www.tripadvisor.co.uk/Hotel_Review-g186338-d13569031-Reviews-or45-Travelodge_London_City_hotel-London_England.html#REVIEWS</t>
  </si>
  <si>
    <t>The worst hotel I have stayed in!Does no one look at the mattress ? In total was shown FIVE rooms, ALL OF 
THEM had badly urine stained mattresses ! Was offered a refund but nowhere 
to go. Settled for extra duvets and slept on top of bedding, also offered 
free breakfast....surely no one ever pays for it !?Read moreDate of stay: 
February 2020HelpfulShareResponse from TravelodgeUK, Hannah from The Social 
Media Team at Travelodge London Covent GardenResponded 7 Feb 2020Thank you 
for taking the time to share your experience with us. We hope to 
consistently provide a high standard of cleanliness within our rooms and 
throughout our hotels, and we apologise if this was not displayed during 
your stay. We will certainly address this with the Hotel Team to reiterate 
the importance of attention to detail when servicing the rooms. If you wish 
to contact us directly to leave more feedback please get in touch with our 
Customer Services team via our website. Thank you again for your 
comments.Read more</t>
  </si>
  <si>
    <t>Cathy2222 wrote a review Feb 2020Warrington, United Kingdom6 contributions1 
helpful vote</t>
  </si>
  <si>
    <t>https://www.tripadvisor.co.uk/Hotel_Review-g186338-d193057-Reviews-or170-Travelodge_London_Covent_Garden-London_England.html#REVIEWS</t>
  </si>
  <si>
    <t>Family weekend in LondonWeekend stay with my parents and my 8 and 10 yr old sons. Best Travelodge 
we have stayed in and advance rate very good value for Central London . 
Family rooms more spacious but double rooms adequate for London. Everywhere 
very clean, lovely fluffy towels provided. Staff very friendly and helpful. 
Great to have restaurant and bar incase you don't want to venture too far 
but also plenty of places to eat in the area. Great location for visiting 
local attractions - less than 15 min tube ride to most of the places we 
visited such as the Westend and The Shard but make sure there are no 
engineering works on the circle and metropolitan lines as this threw a bit 
of a spanner in the works!Read moreDate of stay: February 2020HelpfulShare</t>
  </si>
  <si>
    <t>kazzalou2828 wrote a review Feb 2020Alford, United Kingdom86 
contributions15 helpful votes</t>
  </si>
  <si>
    <t>Good location, super room not worth it though!This travel lodge is on a great location, we didn’t even take that many 
tubes while staying as so many places were within walking distance! The 
happy hour between 4-6pm is also good for a quick gin if you happen to be 
back at this time! The service is very friendly behind the bar but quite 
slow, more because of the till I thought? Maybe some extra training 
required there, they always seemed to have issues with it? We paid for the 
super room as it was my birthday and while we wanted to save on a hotel we 
though we could stretch to this lol! Personally, I wouldn’t bother again. 
You get a coffee machine, hot choc sachets, one Kit Kat each which isn’t 
replaced, you only get that on your first night, and that’s about it! The 
lighting is better with a dimmer, although we couldn’t…Read moreDate of 
stay: January 2020HelpfulShareResponse from TravelodgeUK, Zack from The 
Social Media Team at Travelodge London Covent GardenResponded 6 Feb 
2020We're thrilled to receive such great feedback with regards to your 
recent stay at our London Covent Garden Travelodge and we thank you for 
sharing your experience with us. We are so happy to hear that you were 
pleased with the location of the Hotel and that your stay with us was a 
positive one. Please rest assured we will pass your helpful comments to the 
hotel team, thank you for your review and we hope to welcome you back to 
our hotel soon.Read more</t>
  </si>
  <si>
    <t>Connector592857 wrote a review Feb 20201 contribution</t>
  </si>
  <si>
    <t>Fiona N wrote a review Feb 2020Los Angeles, California1 contribution</t>
  </si>
  <si>
    <t>Pleasant StayThe hotel is conveniently located between 3 underground stations, close to 
Aldgate, Aldgate East, and Liverpool street. The super room is still a bit 
small, standard European size, but it’s got got everything you need. There 
are several USB outlets in the room, so no worries if you don’t have the 
converters for the local outlets. The front desk staff are all very 
friendly and helpful. Especial thanks to Abega, who helped to plan my 
sightseeing trips in London :)Read moreDate of stay: February 
2020HelpfulShare</t>
  </si>
  <si>
    <t>Great location but very basic facilities.Brilliant central location within easy walking distance of all major 
tourist attractions. The hotel is tired, a bit grubby and run down. Needs a 
big refurbishment to make it a pleasant stay. If you just want a bed for 
the night. It’s fine.Read moreReview collected in partnership with 
TravelodgeDate of stay: February 2020HelpfulShareResponse from 
TravelodgeUK, Hannah from The Social Media Team at Travelodge London Covent 
GardenResponded 6 Feb 2020Thank you for taking the time to share your 
experience with us. We're pleased to hear that your stay was enhanced by 
the location of the hotel, which you found to be convenient for your trip. 
We are sorry to learn of your disappointment with our hotel facilities. As 
a budget hotel brand we aim to provide a comfortable stay for value and we 
are currently refreshing our refurbishment scheme. We would like to thank 
you for your feedback, which we will certainly take on board. We hope you 
will chose to stay with us in the future, where we will endeavour to 
restore your faith in Travelodge.Read more</t>
  </si>
  <si>
    <t>Lascelles R wrote a review Feb 20202 contributions</t>
  </si>
  <si>
    <t>Absolutely amazing service from ibraimI have felt welcomed and appreciated by all the staff in Travelodge. Ibraim 
was absolutely incredible and has made my stay from a normal stay to one of 
my excellence. He’s an asset to the team and to Travelodge as a company. 
Many thanksRead moreDate of stay: February 2020HelpfulShare</t>
  </si>
  <si>
    <t>https://www.tripadvisor.co.uk/Hotel_Review-g186338-d13569031-Reviews-or50-Travelodge_London_City_hotel-London_England.html#REVIEWS</t>
  </si>
  <si>
    <t>Clio S wrote a review Feb 2020Birmingham, United Kingdom2 contributions</t>
  </si>
  <si>
    <t>danmanc wrote a review Feb 2020Manchester, United Kingdom11 contributions3 
helpful votes</t>
  </si>
  <si>
    <t>Will stay again!Extremely helpful and pleasant staff. Great location, in-house facilities 
and ideal for a short stay in London. Had an issue operating the noisy fan 
wall unit. In order to eliminate the noise, I had to switch it off using 
the On/Off button. Unfortunately, this also switched off the heating. The 
symbols on the unit were totally unhelpful. Frustrating as it was, this 
minor issue did not detract from our stay!Read moreReview collected in 
partnership with TravelodgeDate of stay: January 2020HelpfulShare</t>
  </si>
  <si>
    <t>Business trip to LondonLondon City is a great hotel, visited four or five times with work and each 
time the team have been brilliant, welcoming and upbeat. Especially the 
lady with red hair. The rooms are spotless and clean. It's one of the 
modern hotels so a great bar area. Its very close to the Tower of London 
and Brick Lane areas so great for visitors too. Really recommend this hotel 
which is a credit to the chain.Read moreDate of stay: February 
2020HelpfulShare</t>
  </si>
  <si>
    <t>Janefandtonyj wrote a review Feb 2020St Ives, United Kingdom17 
contributions7 helpful votes</t>
  </si>
  <si>
    <t>jaap wrote a review Feb 20201 contribution</t>
  </si>
  <si>
    <t>Good Hotel with great LocationThe Hotel is very new and you notice it in the rooms. It’s a good ambience. 
The check-in with Sultana was easy and nice. Furthermore, we were able to 
drop our bags before check-in at 3pm. Our room was clean, on the ground 
floor and had a window to the court yard. If you want room service, you 
leave a tag outside your room. Otherwise you won’t get room service. Quite 
a good system if you ask me.Read moreDate of stay: February 2020HelpfulShare</t>
  </si>
  <si>
    <t>Tremendous staff. Ok hotelStayed for a long weekend. The standard rooms are definitely standard. 
Don’t expect anything special unless you book the superior room. In saying 
that , it is London and the hotel is within walking distance of the West 
End. The breakfast is plentiful with good choice. What is excellent are the 
staff. They were, without exception, very friendly and helpful.Read 
moreDate of stay: February 2020HelpfulShareResponse from TravelodgeUK, Zack 
from The Social Media Team at Travelodge London Covent GardenResponded 5 
Feb 2020Thank you for leaving your review of our London Covent Garden 
hotel. We are pleased to hear that you found the location of the hotel to 
be ideal for your stay and that you enjoyed the breakfast served at the 
hotel. We are also pleased to hear that you felt the hotel team provided 
great helpful service during your stay and that they were very friendly. 
We'll be happy to provide your comments to the hotel as this is the best 
way to help give the best service possible to our guests and we can't wait 
to welcome you back soon.Read more</t>
  </si>
  <si>
    <t>Hawkeye77 wrote a review Feb 20201 contribution</t>
  </si>
  <si>
    <t>https://www.tripadvisor.co.uk/Hotel_Review-g186338-d193057-Reviews-or175-Travelodge_London_Covent_Garden-London_England.html#REVIEWS</t>
  </si>
  <si>
    <t>NasaGreat hotel and very clean. It’s ideal for work and used it a few times 
now. Staff are great and always look after you. I wanted to make a special 
mention to Nasa always helpful and always a smile on his face. I recently 
lost my AirPods and he personally spoke with the house keeping team to try 
and find them. Top guy!!Read moreDate of stay: February 2020HelpfulShare</t>
  </si>
  <si>
    <t>mapNewtonAbbot wrote a review Feb 2020newton abbot23 contributions11 
helpful votes</t>
  </si>
  <si>
    <t>Joka mana wrote a review Feb 20201 contribution</t>
  </si>
  <si>
    <t>Close to Liverpool Street StationStayed a night before heading off to Stansted. Bar open 24 hrs, breakfast 
served from 6 am Cheap and clean Will use it again for any other trip. Not 
many shelves in the room but fine for one night. Its a budget hotel so you 
know what you are paying for.Read moreDate of stay: February 
2020HelpfulShare</t>
  </si>
  <si>
    <t>Security issueA few men tried to get into my room using a different card key at 3:30am. 
As a woman stayed there on my own, it was a very scary experience. There 
was no staff to contact at time as no facility to contact the reception 
apart from physically going out.Read moreReview collected in partnership 
with TravelodgeDate of stay: February 2020HelpfulShareResponse from 
TravelodgeUK, Hannah from The Social Media Team at Travelodge London Covent 
GardenResponded 5 Feb 2020Thank you for taking the time to share your 
experience with us. We can assure you that the safety and security of our 
guests in our top priority as well as ensuring our guests have a 
comfortable stay, we're very sorry if you felt this was not the case. We 
will ensure your feedback is passed on so we can improve our customer 
experience.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</si>
  <si>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Miko Maklt wrote a review Feb 20202 contributions</t>
  </si>
  <si>
    <t>mec25 wrote a review Feb 2020Reading, United Kingdom11 contributions10 
helpful votes</t>
  </si>
  <si>
    <t>Fab locationHotel situated between two stations, there is one more in case them two are 
closed. Very clean and central, great heating in the room controlled by 
reception and didnt had breakfast in here so cant comment that but would be 
back.Read moreDate of stay: February 2020HelpfulShare</t>
  </si>
  <si>
    <t>Travelodge London Covent Garden - fantastic!Stayed here for one Saturday night recently. Checked in and was initially 
given a ground floor room - after reading reviews about noise levels, we 
were given a room in the adjacent building on the 13 floor. Staff at 
reception were really helpful. It was next door to the lift - once we 
entered &amp; closed the doors, we couldn't believe how quiet it was!! Next 
morning, after opening the curtains, we could see amazing views of the 
London city horizon! How beautiful! So glad I booked here rather than the 
"no-window" rooms at the various Z hotels nearby!Read moreDate of stay: 
January 2020HelpfulShare</t>
  </si>
  <si>
    <t>https://www.tripadvisor.co.uk/Hotel_Review-g186338-d13569031-Reviews-or55-Travelodge_London_City_hotel-London_England.html#REVIEWS</t>
  </si>
  <si>
    <t>helgaLuton wrote a review Feb 2020Luton13 contributions6 helpful votes</t>
  </si>
  <si>
    <t>Great LocationThis hotel is absolutely value for money. It is only a five minute stroll 
to the main hub of Covent Garden. Loads of bars/restaurants within walking 
distance. The breakfast is excellent, everything to choose from and cooked 
freshly and is lovely and hot. Rooms are vedry clean and lovely hot 
powerful shower. Would definately recommnd this hotel .Read moreReview 
collected in partnership with TravelodgeDate of stay: February 
2020HelpfulShare</t>
  </si>
  <si>
    <t>brickie_12 wrote a review Feb 2020Gloucester, United Kingdom10 
contributions11 helpful votes</t>
  </si>
  <si>
    <t>staceyb1985 wrote a review Feb 2020Sunderland, United Kingdom9 
contributions11 helpful votes</t>
  </si>
  <si>
    <t>Great stay6 ladies stay over for ripper tour,pub meal,tea at posh hotel,visit to Bank 
of England ,in at great area for all these treats!! Close by for 
parking.value for money £58 a room for softest towels,plenty of tea coffee 
milk in room extra if needed in reception, no charge for left luggage 
!!Read moreReview collected in partnership with TravelodgeDate of stay: 
February 2020HelpfulShare</t>
  </si>
  <si>
    <t>Great price and locationThis hotel was an ideal base to explore London due to its location and it 
is a great price compared to other hotels in the area. Rooms were clean and 
spacious and had all amenities which would be required.Read moreReview 
collected in partnership with TravelodgeDate of stay: January 
2020HelpfulShareResponse from TravelodgeUK, Zack from The Social Media Team 
at Travelodge London Covent GardenResponded 5 Feb 2020We're delighted to 
receive such positive feedback with regards to your recent stay at our 
London Covent Garden Travelodge and we thank you for sharing your 
experience with us. We are so happy to hear that you were pleased with the 
location of the Hotel and that your stay with us was a positive one. Please 
rest assured we will pass your helpful comments to the hotel team, thank 
you for your review and we hope to welcome you back to our hotel soon.Read 
more</t>
  </si>
  <si>
    <t>melaniextwo wrote a review Feb 2020Ballymena, United Kingdom281 
contributions146 helpful votes</t>
  </si>
  <si>
    <t>rwalters492 wrote a review Feb 2020Swansea, United Kingdom1 contribution</t>
  </si>
  <si>
    <t>Nice hotelThis is a nice hotel it's a bit out of the way but the tube station is 
nearby so there is access across London. Rooms were clean and tidy as was 
reception and bar area. Staff very helpful and welcomingRead moreReview 
collected in partnership with this hotelDate of stay: February 
2020HelpfulShare</t>
  </si>
  <si>
    <t>good locationwe stayed in a family room in the high holborn site for two nights. the 
room was basic but adequate for our needs. the hotel is very warm but has 
no air conditioning. great location for covent garden, the theatres and 
soho. nice breakfast which is £9.95 and kids eat free. luggage is stored in 
the drury lane site which is across the road and looked more modern than 
the high holborn site. would return at a good price. we have previously 
stayed in the london liverpool street location and preferred it to this 
one.Read moreDate of stay: February 2020HelpfulShareResponse from 
TravelodgeUK, Zack from The Social Media Team at Travelodge London Covent 
GardenResponded 5 Feb 2020Thank you for leaving your review of our London 
Covent Garden hotel. We are pleased to hear that you found the hotel to be 
in a great location for your stay and that you enjoyed the breakfast 
provided at the hotel. Please be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</si>
  <si>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https://www.tripadvisor.co.uk/Hotel_Review-g186338-d193057-Reviews-or180-Travelodge_London_Covent_Garden-London_England.html#REVIEWS</t>
  </si>
  <si>
    <t>Hoppingrtw wrote a review Feb 2020Portsmouth108 contributions29 helpful 
votes</t>
  </si>
  <si>
    <t>https://www.tripadvisor.co.uk/Hotel_Review-g186338-d13569031-Reviews-or60-Travelodge_London_City_hotel-London_England.html#REVIEWS</t>
  </si>
  <si>
    <t>markwU1288BV wrote a review Feb 2020co down9 contributions</t>
  </si>
  <si>
    <t>Perfect location!We recently stayed here for one night and had a good stay. The location was 
excellent for us as we were visiting the Covent garden/Leicester square 
area so it was exactly where we needed to be. We arrived early and although 
unable to check in early we were able to leave our bags at the sister 
Travelodge hotel across the road. Our room was small but clean and tidy. 
The only negative is that we were at the end of a corridor next to the 
housekeeping office so it was quite noisy from around 5am when the 
housekeepers when banging the door going in and out of the office. Overall 
a good stay and we will be returning!Read moreDate of stay: January 
2020HelpfulShareResponse from TravelodgeUK, Niki from The Social Media Team 
at Travelodge London Covent GardenResponded 4 Feb 2020Thank you for taking 
the time to review our London Covent Garden hotel. We pride ourselves in 
offering stays in convenient locations and we are pleased to see that we 
were able to provide you with a great stay in a location that was ideal for 
your trip to London. We strive to make our customers as comfortable as 
possible and we would like to apologise if on this occasion we were not 
able to offer you a good night's sleep. We have passed on your feedback to 
the hotel team and we hope that there will be another occasion to welcome 
you again and improve your views on Travelodge.Read more</t>
  </si>
  <si>
    <t>another excellent stayLondon city is so central for sightseeing in London, good travel links, 
hotel is always clean, the staff are super friendly and helpful, food 
selection in café bar is ok if you don't want to venture out too far at 
night but loads of eating places in the vicinity, for central London the 
hotel is surprisingly quiet at night, good prices if booking well in 
advanceRead moreReview collected in partnership with TravelodgeDate of 
stay: February 2020HelpfulShare</t>
  </si>
  <si>
    <t>Christie G wrote a review Feb 2020Llanfallteg,whitland, United Kingdom33 
contributions16 helpful votes</t>
  </si>
  <si>
    <t>Martin M wrote a review Feb 2020Malmö, Sweden14 contributions1 helpful vote</t>
  </si>
  <si>
    <t>In the middle of everythingA cheap hotel in the middle of London, with only a 10-minute walk to Oxford 
Street. Acceptable standard - you get what you pay for, but not anything 
exceptional. However, the stay lived up to my expectations. Friendly staff 
and a clean room with a nice bed and bathroom.Read moreDate of stay: 
January 2020HelpfulShareResponse from TravelodgeUK, James from the Social 
Media Team at Travelodge London Covent GardenResponded 3 Feb 2020Thank you 
for reviewing our Travelodge London Covent Garden Hotel. We are very happy 
to hear that you enjoyed this stay with us. Please rest assured that the 
hotel's management team do check up on reviews of their hotels so your 
comments have been passed on. Once again we'd like to thank you for leaving 
this lovely review and we do hope that you stay with us again!Read more</t>
  </si>
  <si>
    <t>Could have been so much better...Let's start with the positive: Clean building, attentive check-in staff 
(sultana), quite room (4th floor), warm room and fresh. Now the negative: 
booked a family room and it was a double with two camp beds crammed in with 
no room to swing a cat let alone hang clothes on the rail or walk between 
the beds. Mattress wasn't comfortable. No towel rail to hang towels to dry. 
No coat hooks to hang wet coats. Had to request the room to be refreshed 
just to get new towels as we couldn't dry them anywhere, not very 
ecological. Breakfast wasn't great, food was not hot at all. Charged for 
WiFi and it was restricted to 2 devices. So we had a "family room" that was 
actually a double with camp beds for £200 with no useful amenities to 
accommodate a family. It was over priced for what we had…Read moreDate of 
stay: February 2020HelpfulShareResponse from TravelodgeUK, Niki from The 
Social Media Team at Travelodge London City hotelResponded 23 Feb 2020Your 
feedback is very important to us and thank you for submitting your review. 
We strive to offer our guests a good night’s sleep and an enjoyable 
experience whilst staying with us. That is why we are sorry to hear that 
you were not positively impressed by your last stay in our London City 
hotel. We will make the most of your comments to continue improving the 
service we offer. We hope to welcome you again in the near future.Read more</t>
  </si>
  <si>
    <t>philipj651 wrote a review Feb 2020Workington4 contributions2 helpful votes</t>
  </si>
  <si>
    <t>Graham J wrote a review Feb 2020Dundee, United Kingdom6 contributions1 
helpful vote</t>
  </si>
  <si>
    <t>Business TripSome maintenance is required, carpet and damage which took the edge off an 
otherwise clean and tidy hotel. The breakfast was good and there was a fair 
choice to select from. There was a bit of traffic noise in the evening but 
that is LondonRead moreReview collected in partnership with TravelodgeDate 
of stay: February 2020HelpfulShare</t>
  </si>
  <si>
    <t>Travelodge London CityVery good, clean, modern hotel with very helpful staff. Room was very 
comfortable and had all that I needed for a business stay overnight. Very 
quiet room for a good night's sleep. Didn't use the cafe Bar for a meal. 
Good location, despite some building works at the back of the hotel.Read 
moreReview collected in partnership with TravelodgeDate of stay: February 
2020HelpfulShare</t>
  </si>
  <si>
    <t>Andrew C wrote a review Jan 2020Derbyshire, United Kingdom11 contributions5 
helpful votes</t>
  </si>
  <si>
    <t>Yassine J wrote a review Feb 2020Paris, France6 contributions6 helpful votes</t>
  </si>
  <si>
    <t>Great locationThis hotel is in a perfect location and the hotel is clean tidy the beds 
are sooo comfortable and when you have walked around london all day and 
night it just great to get in a lovely clean warm comfortable bedRead 
moreReview collected in partnership with TravelodgeDate of stay: January 
2020HelpfulShare</t>
  </si>
  <si>
    <t>Perfect stayWe really enjoyed our 4 nights stays. The location is optimal for visiting 
London and also enjoy Shoreditch and Brick Lane area. The room is 
confortable. Great value for money. We will come back for sure.Read 
moreReview collected in partnership with TravelodgeDate of stay: February 
2020HelpfulShare</t>
  </si>
  <si>
    <t>https://www.tripadvisor.co.uk/Hotel_Review-g186338-d193057-Reviews-or185-Travelodge_London_Covent_Garden-London_England.html#REVIEWS</t>
  </si>
  <si>
    <t>bobhill8 wrote a review Jan 2020Glasgow, United Kingdom4 contributions</t>
  </si>
  <si>
    <t>good locationThe hotel is a great location for geting around in London. It's an easy 
walk to the theatre area, Trafalagar Square, and is convenient to busses 
and the train. The rooms are clean and staff are helpful.Read moreReview 
collected in partnership with this hotelDate of stay: January 
2020HelpfulShare</t>
  </si>
  <si>
    <t>https://www.tripadvisor.co.uk/Hotel_Review-g186338-d13569031-Reviews-or65-Travelodge_London_City_hotel-London_England.html#REVIEWS</t>
  </si>
  <si>
    <t>Dawn B wrote a review Jan 20201 contribution</t>
  </si>
  <si>
    <t>adelacuraj wrote a review Feb 20201 contribution</t>
  </si>
  <si>
    <t>Great location, comfy &amp; super affordable!Everything was great - very clean and comfortable. Location is fantastic. 
Amazing places to eat nearby (we loved Hungry Donkey &amp; Unity Diner). Short 
walk to stations and the city for a bargain price. Would recommend and 
would stay again! Only thing of note was that the room we stayed in did not 
have a safe.Read moreReview collected in partnership with TravelodgeDate of 
stay: February 2020HelpfulShare</t>
  </si>
  <si>
    <t>Broken showerShower drain was very slow and we had to turn the water off and on so it 
would not overflow on to the floor. It was reported to the main desk three 
times and never fixed. Rooms were very basic; nothing fancy at all. 
Elevators were very slow; usually ended up taking the stairs.Read 
moreReview collected in partnership with TravelodgeDate of stay: January 
2020HelpfulShareResponse from TravelodgeUK, Ben from the Social Media Team 
at Travelodge London Covent GardenResponded 2 Feb 2020Thank you for taking 
the time to write a review about our London Covent Garden hotel. We are 
sorry to learn of the problems with the shower and that you felt the room 
was basic.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We appreciate all the feedback we receive and our 
Hotel Managers regularly review their TripAdvisor reviews in order to fix 
any issues raised and pass on feedback to their team. Thank you once again 
and we do hope you will stay with us in the future.Read more</t>
  </si>
  <si>
    <t>4589712j wrote a review Feb 2020United Kingdom370 contributions84 helpful 
votes</t>
  </si>
  <si>
    <t>Clare C wrote a review Jan 2020Portsmouth 6 contributions1 helpful vote</t>
  </si>
  <si>
    <t>Great New Travelodge Modern and Friendly StaffHighly recommended.Well priced and know competitive with Premier Inn . 
Great friendly staff with excellent attitude. Book well in advance to get 
the best rate. We would use again . Very impressed with the hotel and the 
staff all going the extra mile.Read moreReview collected in partnership 
with TravelodgeDate of stay: February 20201 Helpful voteHelpfulShare</t>
  </si>
  <si>
    <t>Very happyWe stayed for 2 nights while going to Harry Potter at the theatre. The 
location was great, easily walkable in about 10 minutes to the theatre and 
Covent Garden. We had a super room which was very clean, quiet and 
comfortable. All the staff that we encountered were friendly and helpful. 
First time we have stayed in a Travelodge and I would be happy to do so 
again.Read moreReview collected in partnership with this hotelDate of stay: 
January 2020HelpfulShare</t>
  </si>
  <si>
    <t>Charliee87 wrote a review Feb 2020Medway, United Kingdom4 contributions1 
helpful vote</t>
  </si>
  <si>
    <t>annettecuthbertson wrote a review Jan 2020Morpeth, United Kingdom18 
contributions19 helpful votes</t>
  </si>
  <si>
    <t>ExcellentGreat prices and good location with access to transport and taxis, polite, 
friendly staff and decent but slightly small rooms. The hotel is nicely 
laid out with a bar and all area are secure at all times.Read moreReview 
collected in partnership with this hotelDate of stay: February 
2020HelpfulShare</t>
  </si>
  <si>
    <t>rpoates wrote a review Feb 20201 contribution</t>
  </si>
  <si>
    <t>Shocking security issues hereI’ve stayed here on many occasions for business and pleasure. I won’t be 
going back after my recent visit. A strange man suddenly entered my room at 
22:30pm ...I was naked in bed! I shouted at him to get out which he luckily 
did! I was frightened to leave my room. Then knock on the door at midnight 
from management asking why I was in my room as their system showed me as 
checked out! Erm no...I’d checked in early afternoon for 3 nights! After 
I’d complained, Customer Services eventually refunded some of the room cost 
back to my employer ....that’s great but they weren’t affected! They have 
not explained why this happened, not shown any genuine empathy or 
acknowledged the distress and risk to me. Instead they’ve sent mixed 
messages, said they’d recall my employers refund (to…Read moreDate of stay: 
January 2020HelpfulShareResponse from TravelodgeUK, James from the Social 
Media Team at Travelodge London Covent GardenResponded 30 Jan 2020Thank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</si>
  <si>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https://www.tripadvisor.co.uk/Hotel_Review-g186338-d193057-Reviews-or190-Travelodge_London_Covent_Garden-London_England.html#REVIEWS</t>
  </si>
  <si>
    <t>Caroline J wrote a review Jan 2020Camborne, United Kingdom3 contributions</t>
  </si>
  <si>
    <t>https://www.tripadvisor.co.uk/Hotel_Review-g186338-d1812157-Reviews-or25</t>
  </si>
  <si>
    <t>Good honest accommodationWe wanted good inexpensive accommodation in London for one night and this 
hotel was perfect. We were close enough for a meal in Soho and breakfast at 
The Sky Garden. The staff were very pleasant and helpful.Read moreReview 
collected in partnership with TravelodgeDate of stay: February 
2020HelpfulShare</t>
  </si>
  <si>
    <t>Great location for theatres.Make sure you have a ground floor room if you have health issues. My mother 
has COPD and asthma and having to use the staircase TWICE from our room on 
the 8th floor because of the fire alarms having been activated just after 
5.30 am totally freaked my mother out. When I checked in, I told the 
receptionist that we needed a room with the least amount of stairs. The 
lift was fine until we couldn't use it in an emergency.Read moreReview 
collected in partnership with TravelodgeDate of stay: January 
2020HelpfulShareResponse from TravelodgeUK, James from the Social Media 
Team at Travelodge London Covent GardenResponded 30 Jan 2020Thank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</si>
  <si>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https://www.tripadvisor.co.uk/Hotel_Review-g186338-d13569031-Reviews-or70-Travelodge_London_City_hotel-London_England.html#REVIEWS</t>
  </si>
  <si>
    <t>Indie2008 wrote a review Jan 20205 contributions</t>
  </si>
  <si>
    <t>Enjoyable experienceStopped at this travelodge for my daughters birthday and we were going to 
the Lyceum theatre for a show. Covent Garden travelodge is split into 2 
hotels. The hotel was clean and tidy. The staff were friendly and helpful. 
Breakfast was good. A varied choice of food hot and cold. Access to cold 
and hot drinks including cappachino's. Because it is Covent garden you pay 
more than others in the London area.Read moreReview collected in 
partnership with TravelodgeDate of stay: January 2020HelpfulShare</t>
  </si>
  <si>
    <t>bkpevans wrote a review Feb 2020Worcester, United Kingdom1 contribution</t>
  </si>
  <si>
    <t>Almost great value for moneyI have stayed before at this excellent hotel for prices in £45 - £55 per 
night range. This time it was half-term week and I had to pay over £70! 
This makes me feel as if I am being exploited! Almost great!Read moreReview 
collected in partnership with TravelodgeDate of stay: February 
2020HelpfulShare</t>
  </si>
  <si>
    <t>nickywright62 wrote a review Feb 2020Surrey, United Kingdom1 contribution</t>
  </si>
  <si>
    <t>Garry F wrote a review Jan 2020Sheffield, United Kingdom1 contribution</t>
  </si>
  <si>
    <t>Perfect place to stayTrain and bus station three minute walk, easy to reach all the sights and 
bright lights of London. The bar is open 24/7 serves good food as well. 
Rooms are clean and comfy have used hotel several times, never 
disappointsRead moreReview collected in partnership with TravelodgeDate of 
stay: February 2020HelpfulShare</t>
  </si>
  <si>
    <t>Short theatre staystopped for a short theatre night out and tour day after ideal in central 
London to stay comfortable rooms and beds. Very short 5 min walk to the 
theatres and nightlife , and Covent Garden , Made our way to central London 
through to Westminster sights easily.Read moreReview collected in 
partnership with TravelodgeDate of stay: January 2020HelpfulShare</t>
  </si>
  <si>
    <t>Darren E wrote a review Feb 20205 contributions</t>
  </si>
  <si>
    <t>https://www.tripadvisor.co.uk/Hotel_Review-g186338-d193057-Reviews-or195-Travelodge_London_Covent_Garden-London_England.html#REVIEWS</t>
  </si>
  <si>
    <t>https://www.tripadvisor.co.uk/Hotel_Review-g186338-d13569031-Reviews-or75-Travelodge_London_City_hotel-London_England.html#REVIEWS</t>
  </si>
  <si>
    <t>Nataliah F wrote a review Jan 20201 contribution</t>
  </si>
  <si>
    <t>Ceri g wrote a review Feb 2020Swansea, United Kingdom332 contributions78 
helpful votes</t>
  </si>
  <si>
    <t>clean roomsomg the travel to the hotel was so hectic it was nice to just arrive and 
get into bed. the room was so clean and smelt great. not to mention the 
food. ive never eaten so much during breakfast. trust me im coming back 
with my mates, the best thing is i got to visit winter wonderlandRead 
moreDate of stay: January 2020HelpfulShare</t>
  </si>
  <si>
    <t>Very GoodStayed here last night as meetings nearby. The location is perfect. Short 
walk to Aldgate and Aldgate East as well as London Liverpool Street being 
quite close. Loads of tube lines within a short walk so you can go almost 
anywhere from here Staff were friendly. Room as clean and comfortable The 
only blip was the noise outside by trucks at 5.30am but it’s London City 
after all Recommend and I’d stay there againRead moreDate of stay: February 
2020HelpfulShare</t>
  </si>
  <si>
    <t>Bernard Y wrote a review Jan 2020Oxford, United Kingdom13 contributions3 
helpful votes</t>
  </si>
  <si>
    <t>SueJim126 wrote a review Feb 2020Sheffield, United Kingdom509 
contributions110 helpful votes</t>
  </si>
  <si>
    <t>Wonderful valueHotel could not be more central for a large number of tourist attractions. 
Our room had obviously been recently updated and was immaculate and 
astonishingly low cost. The whole building looked well cared for with the 
one exception of floor covering outside one of the lifts. The bar served a 
range of food although we did not actually try any.Read moreReview 
collected in partnership with TravelodgeDate of stay: January 
2020HelpfulShare</t>
  </si>
  <si>
    <t>Excellent reasonably priced hotelA newly built Travel Lodge. Very clean reception, bar, dining area. Very 
nice rooms, immaculately clean, great shower and temperature control. Great 
all you can eat breakfast with a big range of choices. Overall an excellent 
hotel at a reasonable rate for London.Read moreReview collected in 
partnership with TravelodgeDate of stay: February 2020HelpfulShare</t>
  </si>
  <si>
    <t>PacoGS178 wrote a review Feb 2020Madrid, Spain14 contributions2 helpful 
votes</t>
  </si>
  <si>
    <t>ExcellentJust perfect! We received a warming welcome when we arrive, location close 
to Aldgate station, close to convenient stores (Tesco Metro open 24 hours), 
room clean and comfortable, everything brand new.Read moreReview collected 
in partnership with this hotelDate of stay: February 2020HelpfulShare</t>
  </si>
  <si>
    <t>Sarah A wrote a review Feb 2020Norwich, United Kingdom417 contributions37 
helpful votes</t>
  </si>
  <si>
    <t>Useful location near Aldgate East tube.A reasonably priced overnight stay. New building. All spotlessly clean. 
Quite room and comfortable bed. Only gripe was duvet was not very thick and 
did not hang much down at the sides of the bed - otherwise fine. Would use 
again.Read moreDate of stay: February 2020HelpfulShare</t>
  </si>
  <si>
    <t>JLH wrote a review Jan 20201 contribution</t>
  </si>
  <si>
    <t>great locationGreat place to stay! I had an amazing time. The food was excellent and the 
costumer service was very good. Everyone was very friendly and nice! The 
room was very comfortable and cosy and we felt very at home. I will 
definitely be returning.Read moreDate of stay: December 2019HelpfulShare</t>
  </si>
  <si>
    <t>https://www.tripadvisor.co.uk/Hotel_Review-g186338-d13569031-Reviews-or80-Travelodge_London_City_hotel-London_England.html#REVIEWS</t>
  </si>
  <si>
    <t>https://www.tripadvisor.co.uk/Hotel_Review-g186338-d193057-Reviews-or200-Travelodge_London_Covent_Garden-London_England.html#REVIEWS</t>
  </si>
  <si>
    <t>Julie C wrote a review Feb 2020Hadleigh38 contributions8 helpful votes</t>
  </si>
  <si>
    <t>Marina wrote a review Jan 20201 contribution</t>
  </si>
  <si>
    <t>GREAT LOCATION, SUPER CLEAN AND CONTEMPORARYExcellent value for money, simple and modern design, super comfy bed and 
room. Highly recommend this brand new Travelodge, a stone's throw from tube 
too. Will stay again. Very clean and attentive staff, the bar looked nice 
and welcoming although did not have a drink there.Read moreReview collected 
in partnership with this hotelDate of stay: February 2020HelpfulShare</t>
  </si>
  <si>
    <t>ReviewMy family and I felt very welcomed at the hotel and we enjoyed our stay. 
The food was excellent and the costumer service was very good aswell. The 
room was very comfortable and cosy and we felt at homeRead moreDate of 
stay: January 2020HelpfulShare</t>
  </si>
  <si>
    <t>amcdt1952 wrote a review Feb 2020Bridgend County, United Kingdom1 
contribution</t>
  </si>
  <si>
    <t>Just J wrote a review Jan 20201 contribution1 helpful vote</t>
  </si>
  <si>
    <t>Every good and economically priced hotelVery good and centrally situated hotel.Very clean with helpful staff..I 
wouldn't hesitate to recommend this hotel.Parking was found by searching 
online ,found a driveway 9minutes walk from hotel.Spitalfields market v 
close.Read moreReview collected in partnership with this hotelDate of stay: 
February 2020HelpfulShare</t>
  </si>
  <si>
    <t>AmazingI had an amazing time , the customer service was great ! And everyone was 
very friendly and nice ! Highly recommend Thankyou so much .The rooms are 
also very nice , comfortable and spacious especially if your going with 
family ! I will definitely be returning .Read moreDate of stay: January 
20201 Helpful voteHelpfulShare</t>
  </si>
  <si>
    <t>Grace wrote a review Jan 2020Liverpool, United Kingdom31 contributions1 
helpful vote</t>
  </si>
  <si>
    <t>We love Covent gardenChosen for its location in Coven Garden, it's our favorite neighborhood, 
lots of entertainment, pubs, restaurants, shops, this hotel is very 
friendly, the staff is at the top, nice room, good breakfast and nice 
decoration, we recommendRead moreDate of stay: June 2019HelpfulShare</t>
  </si>
  <si>
    <t>rummy12346 wrote a review Feb 2020Athlone, Ireland1 contribution</t>
  </si>
  <si>
    <t>lilianottery wrote a review Jan 2020Cardiff, United Kingdom1 contribution</t>
  </si>
  <si>
    <t>good spot and great locatongreat value and location...very close to tube station..room was 
spotless..cooked breakfast so so ..staff very friendly...very close to 
Aldgate and Aldgate east tube staions..very easy to get into central 
londonRead moreReview collected in partnership with TravelodgeDate of stay: 
February 2020HelpfulShare</t>
  </si>
  <si>
    <t>Weekend awayGreat place to stay very close toCovent Garden and underground . Plent of 
pubs and restaurants in area and hotel does a good breakfast. Bar staff 
overworked in the evening but overall a excellent hotel for 
sightseeing.Read moreReview collected in partnership with TravelodgeDate of 
stay: January 2020HelpfulShare</t>
  </si>
  <si>
    <t>https://www.tripadvisor.co.uk/Hotel_Review-g186338-d13569031-Reviews-or85-Travelodge_London_City_hotel-London_England.html#REVIEWS</t>
  </si>
  <si>
    <t>CCoops wrote a review Jan 2020Greenfield, United Kingdom1 contribution</t>
  </si>
  <si>
    <t>wilfrid r wrote a review Feb 2020Preston, United Kingdom67 contributions21 
helpful votes</t>
  </si>
  <si>
    <t>Great location and lovely staffWe had a family weekend in London and didn’t really know what to expect. 
The hotel location is on the doorstep for many west end theatres, Covent 
Garden and Soho. Regent St and Oxford Street shopping a 20 minute stroll 
away. Lots of bars and restaurants nearby. The rooms are a bit tired but 
very clean. The staff were brilliant - especially those on at breakfast 
time. The only thing we didn’t like were the shower curtains. Prefer a 
screen as a curtain always seems to blow inwards and sticks to wet skin. We 
all said we would stay here again. Great value for money.Read moreDate of 
stay: January 2020HelpfulShare</t>
  </si>
  <si>
    <t>Modern Hotel Handy for Liverpool St StationYes, this new kid on the Travelodge Block is one of their BEST&gt; If you are 
travelling to Stanstead, early morning, then this is the best &amp; cheapest 
Hotel to stay overnight. Only a quarter of a mile stroll to Liverpool Main 
Line Station to catch the Stanstead Express.Read moreReview collected in 
partnership with TravelodgeDate of stay: January 2020HelpfulShare</t>
  </si>
  <si>
    <t>Rìnor D wrote a review Feb 20201 contribution</t>
  </si>
  <si>
    <t>https://www.tripadvisor.co.uk/Hotel_Review-g186338-d193057-Reviews-or205-Travelodge_London_Covent_Garden-London_England.html#REVIEWS</t>
  </si>
  <si>
    <t>Great Party, great hotel!Great hotel that was really close to all of the Shoreditch bars so we could 
walk to and back from a brilliant night out. Everything we needed for our 
stay, much better than any other Travelodge i have ever seen or been to. We 
will be back!Read moreDate of stay: January 2020HelpfulShare</t>
  </si>
  <si>
    <t>Jay Clx wrote a review Jan 20201 contribution</t>
  </si>
  <si>
    <t>Tracey F wrote a review Feb 2020280 contributions59 helpful votes</t>
  </si>
  <si>
    <t>Best place to stay in Central LondonHaving worked in Soho for the last 8 years I’ve found the Travel Lodge 
Covent Garden the best place to stay. Affordable, nice clean rooms, and a 
great location for central London. On my last visit Saneeta was really 
welcoming &amp; willing to go the extra mile, which made our stay even more 
enjoyable. I’ve found all the staff friendly &amp; accommodating here. The beds 
&amp; pillows were extremely comfy &amp; the room was pitch black, so we had a 
great nights sleep. Couldn’t recommend enough!!Read moreDate of stay: 
January 2020HelpfulShare</t>
  </si>
  <si>
    <t>Great stay as usual!!Always clean and tidy and well presented. Comfortable rooms with great bar 
and restaurant. Rooms well equipped. Good location close to both aldgate 
and aldgate east stations so really well located for exploring the 
capital.Read moreDate of stay: February 2020HelpfulShare</t>
  </si>
  <si>
    <t>David H wrote a review Jan 2020Birmingham, United Kingdom81 contributions43 
helpful votes</t>
  </si>
  <si>
    <t>Natalie Joy wrote a review Feb 2020Crawley, United Kingdom5 contributions1 
helpful vote</t>
  </si>
  <si>
    <t>Good locationStayed here as was visiting Marco Pierres which is literally 4 minute walk 
from the hotel! Great location for a bars too! Hotel staff were friendly 
and the hotel room was clean and comfy beds! Bargain price too can’t go 
wrongRead moreDate of stay: February 2020HelpfulShare</t>
  </si>
  <si>
    <t>Happy to withLocation is great ten mins walk to Soho ect , almost a straight walk easy 
to walk home when you had a drink or two Check in was great quick and 
polite, could not fault the room apart from cracked sink, heating worked 
great I asked for high floor so no issues with noise, plenty of hot water 
and TV worked great Felt secure during night as you need key card to get in 
after ten pm The hotel from outside looks like 60s half finished tower 
block inside is bit of maze to walk round round but soon get used to it, 
but corridors ect clean and tidy no weird smells ! Bar and restaurant 
looked great although didn't use it for food, went to weather spoons for 
breakfast cheaper and only six mins walk a away Over all very pleased with 
stay couple of issues but nowt was a big concern …Read moreDate of stay: 
January 2020HelpfulShare</t>
  </si>
  <si>
    <t>DAVID M wrote a review Feb 20201 contribution</t>
  </si>
  <si>
    <t>Mark B wrote a review Jan 2020Oldham6 contributions</t>
  </si>
  <si>
    <t>Excellent location and value for money stayHave visited this travelodge several times when in London . Newly opened in 
2019 all rooms are clean and fresh. Staff friendly. Last visit jan 2020, 
room 211, end of corridor, lovely and quiet and a great nights sleep. 
Thanks again see you in March 2020Read moreReview collected in partnership 
with this hotelDate of stay: January 2020HelpfulShare</t>
  </si>
  <si>
    <t>Very comfortable and convenient venueClose to theatre-land and beautiful Covent Garden market, the hotel is an 
excellent base for your London stay. Easy walking distance to Trafalgar 
Square, Pall Mall, China Town, The Mall, Houses of Parliament etc. etc. 
with great views of the Shard from the hotel window (11th floor). Very busy 
and well used, so not a glamorous room but clean with extremely comfortable 
beds and everything we needed, from buffet breakfast to bag storage - will 
definitely be staying againRead moreReview collected in partnership with 
TravelodgeDate of stay: January 2020HelpfulShare</t>
  </si>
  <si>
    <t>https://www.tripadvisor.co.uk/Hotel_Review-g186338-d13569031-Reviews-or90-Travelodge_London_City_hotel-London_England.html#REVIEWS</t>
  </si>
  <si>
    <t>Hazel G wrote a review Jan 20206 contributions2 helpful votes</t>
  </si>
  <si>
    <t>Samantha K wrote a review Feb 2020London, United Kingdom6 contributions4 
helpful votes</t>
  </si>
  <si>
    <t>Comfy, clean and quiteWell what do you need, central to everything, super polite staff, clean 
comfy and amazingly quite room, last stay in London was so noisy we had to 
set are alarm as this place really does provide a great night sleep, and 
the shower was really powerful, not your usual budget hotel trickle, 
breakfast was nicely cooked and just ticked the box’s for what we needed, 
easy walk to theatre.Read moreDate of stay: January 2020HelpfulShare</t>
  </si>
  <si>
    <t>BEST DAY OF MY LIFE... ever.My stay in room 020 for the first night was very welcomed and I felt I 
needed no more to hop to another hotel since Travelodge City is indeed 
central enough and the function with every member of the management and the 
running of their effort is to me an excellence and thorough. I’ve had my 
friends meet me here at the bar and I find the bar staff very welcoming 
with a perfect manner. Guest: Rosalyn DP Laban 7-9/2/2020. Came to see my 
friend. Hashim was so kind, thoughtful and attentive. His focus made the 
night for see us. He understood. Got me. Got her. Whadda man. We will be 
back as long as he is still here. He is a credit to you. Love it here. 
Exceeded my expectations. So does my friend. She has extended her stay! 
Thank you Travelodge xxxRead moreDate of stay: February 20201 Helpful 
voteHelpfulShare</t>
  </si>
  <si>
    <t>https://www.tripadvisor.co.uk/Hotel_Review-g186338-d193057-Reviews-or210-Travelodge_London_Covent_Garden-London_England.html#REVIEWS</t>
  </si>
  <si>
    <t>Joe_in_Bristol wrote a review Feb 2020Bristol, United Kingdom1 contribution</t>
  </si>
  <si>
    <t>luana w wrote a review Jan 202040 contributions6 helpful votes</t>
  </si>
  <si>
    <t>Bristolian in LondonRoom is clean and tidy. Bed is welcoming and comfortable. The hotel is 
centrally located. It is only 3 min walk from Aldgate station. Good value 
for money especially with 20% discount promotion. I only wish the free WiFi 
would be for the whole stay rather than just 30 min.Read moreReview 
collected in partnership with this hotelDate of stay: January 
2020HelpfulShare</t>
  </si>
  <si>
    <t>Best location, wheelchair access and value for money in LondonRepeatedly cannot fault this hotel. Location is fabulous. Breakfast is best 
avoided as it's expensive but the rooms are brill, space is excellent and 
I've (on a couple of occasions) housed more than one wheelchair user and 
their respective equipment in the rooms without difficulty. If you have 
equipment though... take a multi-plug bar as the sockets are limited. 
However, bathrooms, beds, views and access are all superb.Read moreDate of 
stay: July 2019HelpfulShare</t>
  </si>
  <si>
    <t>DanYarberry1992 wrote a review Jan 20206 contributions1 helpful vote</t>
  </si>
  <si>
    <t>https://www.tripadvisor.co.uk/Hotel_Review-g186338-d13569031-Reviews-or95-Travelodge_London_City_hotel-London_England.html#REVIEWS</t>
  </si>
  <si>
    <t>good locationnice location, easy to travel around from. good customer service, overall 
just quite happy. bit chilly when we first got in so we asked for some 
extra blankets and pillows. luggage drop was a lifesaver on the last day as 
we had bunches of bags for all of us.Read moreDate of stay: December 
2019HelpfulShare</t>
  </si>
  <si>
    <t>alisonm721 wrote a review Feb 2020Brighton21 contributions8 helpful votes</t>
  </si>
  <si>
    <t>Companion07981562902 wrote a review Jan 2020Warminster, United Kingdom2 
contributions</t>
  </si>
  <si>
    <t>2 night stay in LondonThe superrooms are very comfortable with coffee tea a kit Kats provided. 
The bed is wonderful to sleep on and the shower/ bath has fabulous water 
pressure. All the staff are friendly and helpful plus great tube lines and 
bus lines a minute away to get to Covent Gardeln, Sloane Square. And Oxford 
Street. And very close to current office for an early start on Monday an 
exceptional value.Read moreDate of stay: February 2020HelpfulShare</t>
  </si>
  <si>
    <t>Great stay in a central London HotelStayed at the Travelodge Coven Garden on 23/24th January. Very central to 
Covent garden and The Strand area also a 20 min walk from Oxford street. 
Buses are easy to catch from various areas nearby. The Hotel was clean and 
comfortable, noise was very minimal from outside, so a good nights sleep. 
Would recommendRead moreReview collected in partnership with TravelodgeDate 
of stay: January 2020HelpfulShare</t>
  </si>
  <si>
    <t>mmmmmmarta wrote a review Feb 20201 contribution</t>
  </si>
  <si>
    <t>JonP wrote a review Jan 2020Plymouth, United Kingdom4 contributions</t>
  </si>
  <si>
    <t>PERFECTIt was super clean and the bed was super comfy. Even though it is not in 
the city center, there is a metro near the hotel. The neighborhood it is 
full of cafes and restaurants. It is a financial zone and its buildings are 
breathtaking.Read moreReview collected in partnership with TravelodgeDate 
of stay: February 2020HelpfulShare</t>
  </si>
  <si>
    <t>Very large hotelMy colleague and I stayed for a business meeting and was positioned at 
Covent Garden main hotel. We had a basement room, was quiet but not great 
smelling in the corridor. Very handy luggage drop off service and good 
links to test of the city. Bar cafe and breakfast was good, but as it's a 
huge hotel it could get quite busy. Would stay again but maybe a higher 
floor.Read moreDate of stay: December 2019HelpfulShare</t>
  </si>
  <si>
    <t>Diego G wrote a review Feb 20201 contribution</t>
  </si>
  <si>
    <t>https://www.tripadvisor.co.uk/Hotel_Review-g186338-d193057-Reviews-or215-Travelodge_London_Covent_Garden-London_England.html#REVIEWS</t>
  </si>
  <si>
    <t>Great value for moneyWe got a recommendation for this hotel and it didn’t disappoint. We loved 
staying three nights at it. Even though there is no free wifi and you have 
to pay for breakfast, the experience was great. Quiet, clean rooms with 
everything you need. The staff was super friendly and ready to help out. 
The location almost unbeatable.Read moreReview collected in partnership 
with TravelodgeDate of stay: February 2020HelpfulShare</t>
  </si>
  <si>
    <t>Tessa B wrote a review Feb 20202 contributions</t>
  </si>
  <si>
    <t>IdealFab hotel - fab location, close to transport links, Spitalfields Market and 
Brick Lane. My husband and I have stayed here a few times now and we love 
it. We had a Super Room on the last visit which was light, airy and 
comfortable and with an awesome shower! The bar area was great, breakfast 
lovely (and loads of it). Staff were friendly and alert - really seemed to 
enjoy being there! We used a 30% off deal meaning we could stay in a 
Central London Hotel in an upgraded room for £42 on a Friday night. What's 
not to love?Read moreReview collected in partnership with this hotelDate of 
stay: January 2020HelpfulShare</t>
  </si>
  <si>
    <t>Nic123 wrote a review Jan 2020Colchester, United Kingdom51 contributions13 
helpful votes</t>
  </si>
  <si>
    <t>Excellent!Excellent customer service, Ibrahim is the best bar tender, very good 
customer service, friendly and professional! Good value for money, food is 
good and central location near the tube station in Covent Garden.Read 
moreDate of stay: January 20201 Helpful voteHelpfulShare</t>
  </si>
  <si>
    <t>https://www.tripadvisor.co.uk/Hotel_Review-g186338-d13569031-Reviews-or100-Travelodge_London_City_hotel-London_England.html#REVIEWS</t>
  </si>
  <si>
    <t>Andreea B wrote a review Jan 20201 contribution</t>
  </si>
  <si>
    <t>DYardEssexUK wrote a review Feb 2020Essex UK9 contributions15 helpful votes</t>
  </si>
  <si>
    <t>Weekend in LondonGreat location, clean and comfy. Staff friendly and helpful...Central 
London location with a short walk to Theatreland and the west end. Room 
very large and well equipped with a great view over London. Comfortable 
bed, tea &amp; coffee etc. and a powerful shower..Read moreDate of stay: 
January 2020HelpfulShare</t>
  </si>
  <si>
    <t>Weekend StayGreat location very close to Liverpool Street Station (so handy for those 
coming off the Stansted Express train). Rooms are spacious and clean and 
the breakfast was more than adequate. We ate here each night (2 courses for 
£12.50) which was very good value considering it is central London. Special 
mention must go to the staff, in particular, Hashim and Joshua who looked 
after our every need - even to the point of bringing our drinks to our 
table and ensuring that my friend's pot of tea was kept topped up 
(unlimited refill).Read moreDate of stay: February 20201 Helpful 
voteHelpfulShare</t>
  </si>
  <si>
    <t>1903debbiem wrote a review Jan 2020Potters Bar, United Kingdom3 
contributions1 helpful vote</t>
  </si>
  <si>
    <t>gspencer wrote a review Feb 20201 contribution1 helpful vote</t>
  </si>
  <si>
    <t>Comfortable StayThe room was clean and is equipped with good tea facility making and shower 
products. We used the 24 hours snack menu and ordered a late pizza which 
was really nice. Reception staff were pleasant and our stay was 
enjoyable.Read moreReview collected in partnership with this hotelDate of 
stay: January 2020HelpfulShare</t>
  </si>
  <si>
    <t>AngelaCB935 wrote a review Jan 2020Elgin, United Kingdom56 contributions54 
helpful votes</t>
  </si>
  <si>
    <t>Great place to stay, staff extremely professional!I had the pleasure of dealing with: Hashim, Joshua, Micheal (reception) 
Nasa and Sultana. By virtue of the fact that I know these guys names, is 
some indication of how friendly, professional and keen they were to ensure 
that my stay was as relaxed and enjoyable as possible. I have stayed at 
many hotels in London with business and pleasure and I can honestly say, 
that I have never met a group of people so dedicated to their role. I was 
greeted by Michael on arrival, who was amenable and helpful. All these guys 
worked hard and yet always wore smiles. I will recommend this establishment 
to all my colleagues and friends whether they choose to stay in London for 
business or pleasure. I truly couldn't be more impressed! GaryRead moreDate 
of stay: January 20201 Helpful voteHelpfulShare</t>
  </si>
  <si>
    <t>Mark I wrote a review Feb 2020Dunbar, United Kingdom168 contributions49 
helpful votes</t>
  </si>
  <si>
    <t>Well worn and over usedThis is an expensive Travelodge due to it's location but the inside is 
shabby and worn out. We stayed for 4 nights and had problems with the 
heating, lack of towels tea and sugar and wifi. The bathroom was ancient 
with rust around the taps and handles and a shower which flooded the 
bathroom.The toilet had to be flushed 2 or 3 times to clear it - if you 
could manage to push the button into the wall! Covent Garden tube requires 
you to be always changing so use Holborn Tube about a 5 min.walk away.Read 
moreDate of stay: January 2020HelpfulShareResponse from TravelodgeUK, 
Hannah from The Social Media Team at Travelodge London Covent 
GardenResponded 28 Jan 2020Thank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</si>
  <si>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Getting betterI am starting to use Travelodge again after about a decade of avoiding them 
due to the poor quality and soul destroying nature of the hotels. Generally 
speaking they are getting better and this is one of the best i have stayed 
in, possibly because it was my first time in one of their new plus rooms. 
The room felt fresh and of a higher standard than usual but reception was 
still a bit basic and depressing. When we arrived at midnight the bar 
(which is open all night) was very busy and roudy. I wouldn't want to stay 
in the ground floor or one of the lower ones as I reckon the noise would 
travel. Despite being a fairly new hotel there was a coffee stain on the 
floor by the bed and a small rip in the bed sheets. On the plus side the 
location I good. There are two tube stops within…Read moreDate of stay: 
January 2020HelpfulShareResponse from TravelodgeUK, James from the Social 
Media Team at Travelodge London City hotelResponded 3 Feb 2020Thank you for 
reviewing our Travelodge London City Hotel. We're happy to hear you were 
pleased with the standard of our rooms during the stay but we're sorry to 
hear of the issues experienced in reception, at the hotel bar and with some 
of the cleanliness issues. Please rest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</si>
  <si>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https://www.tripadvisor.co.uk/Hotel_Review-g186338-d193057-Reviews-or220-Travelodge_London_Covent_Garden-London_England.html#REVIEWS</t>
  </si>
  <si>
    <t>sue r wrote a review Jan 2020wrexham5 contributions2 helpful votes</t>
  </si>
  <si>
    <t>TampaBayTiger wrote a review Feb 2020Kingston-upon-Hull, United Kingdom215 
contributions50 helpful votes</t>
  </si>
  <si>
    <t>https://www.tripadvisor.co.uk/Hotel_Review-g186338-d1812157-Reviews-or30</t>
  </si>
  <si>
    <t>A bit of peace in a busy cityFriendly service, quiet location in a busy area. Lots of places close by 
for good food or for drinks. Clean comfy bedsClose to two underground 
stations. Split site- luggage store available only on one siteRead 
moreReview collected in partnership with this hotelDate of stay: January 
2020HelpfulShare</t>
  </si>
  <si>
    <t>City RoadExcellent location only a few minutes walk from the tube station The rooms 
are a decent size with a fairly large bathroom The beds offer a decent 
nights sleep The restaurant/cafe offers a decent buffet breakfast (sets you 
up for the day)Read moreDate of stay: November 2019HelpfulShareResponse 
from TravelodgeUK, James from the Social Media Team at Travelodge London 
City hotelResponded 3 Feb 2020Thank you for reviewing our Travelodge London 
City Hotel. We are very happy to hear that you enjoyed this stay with us. 
Please rest assured that the hotel's management team do check up on reviews 
of their hotels so your comments have been passed on. Once again we'd like 
to thank you for leaving this lovely review and we do hope that you stay 
with us again!Read more</t>
  </si>
  <si>
    <t>843hilda1234 wrote a review Jan 2020Sunderland, United Kingdom2 
contributions10 helpful votes</t>
  </si>
  <si>
    <t>Ms ThoburnMy self and my son stayed on Sunday 19th jan This travel lodge is in a 
great spot , very helpful staff But what made the night so good Is the 
impeccable service from HASHIM He was so polite and helpful , we ordered a 
pizza and he defo done it well , nothing was to much trouble for this young 
man , he is a absolute credit to this travel lodge . Thank You HASHIMRead 
moreDate of stay: January 2020HelpfulShare</t>
  </si>
  <si>
    <t>Chaï wrote a review Jan 20203 contributions</t>
  </si>
  <si>
    <t>Nick P wrote a review Feb 2020Glyfada, Greece2 contributions1 helpful vote</t>
  </si>
  <si>
    <t>Good location but cleanliness need to be betterThere is no lift to access the hotel only stairs so we had to carry our 
bags We's ask twice for more towels, without any succes the sheets were 
dirty, so the ground. The location is very good ( Station Covent Garden) 
the size of the room is goodRead moreReview collected in partnership with 
TravelodgeDate of stay: January 2020HelpfulShareResponse from TravelodgeUK, 
Ben from the Social Media Team at Travelodge London Covent GardenResponded 
4 Feb 2020Thank you for taking the time to write a review about our London 
Covent Garden hotel. We're pleased to hear that you liked the hotels 
location and the size of the room however we are sorry to learn of your 
disappointment with the service and cleanliness. We appreciate all the 
feedback we receive and our Hotel Managers regularly review their 
TripAdvisor reviews in order to fix any issues raised and pass on feedback 
to their team. Thank you once again and we do hope you will stay with us in 
the future.Read more</t>
  </si>
  <si>
    <t>Very good!!The only issue was the air condition that was noisy, But overall was very 
good with very friendly employs, very clean and Very good location 
especially if you are on a leisure trip, I would gladly go there again!Read 
moreReview collected in partnership with this hotelDate of stay: January 
2020HelpfulShareResponse from TravelodgeUK, Zack from The Social Media Team 
at Travelodge London City hotelResponded 3 Feb 2020Thank you for taking the 
time to share your experience with us. We are so happy to hear that you 
were pleased with the location of the Hotel and that your stay with us at 
London City hotel was a positive one. Your feedback is invaluable and a 
copy of your comments will be sent to the Hotel Manager. Please allow us to 
thank you once again and we do hope you will stay with us again soon.Read 
more</t>
  </si>
  <si>
    <t>Ann M wrote a review Jan 202016 contributions5 helpful votes</t>
  </si>
  <si>
    <t>Reasonable and value for moneyCan't really say much else; does well given the space constraints in 
central London. Friendly and welcoming staff. Even the utilitarian bar (and 
man) was reasonably welcoming for a concrete building. Only negative point 
is the rooms seem a bit tired.Read moreReview collected in partnership with 
this hotelDate of stay: January 2020HelpfulShare</t>
  </si>
  <si>
    <t>https://www.tripadvisor.co.uk/Hotel_Review-g186338-d13569031-Reviews-or105-Travelodge_London_City_hotel-London_England.html#REVIEWS</t>
  </si>
  <si>
    <t>Jim F wrote a review Jan 202018 contributions7 helpful votes</t>
  </si>
  <si>
    <t>ianhall2020 wrote a review Feb 20201 contribution</t>
  </si>
  <si>
    <t>Well situated hotel for Central London, Theatres, Shopping etc.Hotel was excellent, but would recommend not leaving anything of value in 
their recommended NCP car park. Even though it is supposed to be secure, 
with roll down metal doors, my car was broken into and items were 
stolen.Read moreReview collected in partnership with TravelodgeDate of 
stay: January 2020HelpfulShare</t>
  </si>
  <si>
    <t>Clean, comfortable and quietThe hotel and room was clean comfortable and quiet. The staff were polite 
and helpful. Location was great for central London. Would recommend without 
doubt and would stay again in the future for work or pleasure. OfRead 
moreReview collected in partnership with TravelodgeDate of stay: January 
2020HelpfulShare</t>
  </si>
  <si>
    <t>https://www.tripadvisor.co.uk/Hotel_Review-g186338-d193057-Reviews-or225-Travelodge_London_Covent_Garden-London_England.html#REVIEWS</t>
  </si>
  <si>
    <t>Les B wrote a review Jan 2020Poole, United Kingdom15 contributions1 helpful 
vote</t>
  </si>
  <si>
    <t>Coastal52905893260 wrote a review Feb 20201 contribution</t>
  </si>
  <si>
    <t>GOOD LOCATIONAn ideal location for visiting theatreland/Chinatown/British Museum. Rooms 
on the small side but clean and well maintained. Lots of steps to the 
entrance and a long way round the rear to get to a ramp.Read moreReview 
collected in partnership with TravelodgeDate of stay: January 
2020HelpfulShare</t>
  </si>
  <si>
    <t>Exceptional customer serviceI had increased my stay &amp; the cleaning staff checked in on me to make sure 
that I was ok &amp; if there was anything they could do/get for me- so even 
although this was during the busy festive season- the staff still made time 
to check in with me- ��-exceptional customer service even under 
pressure!Read moreReview collected in partnership with this hotelDate of 
stay: December 2019HelpfulShare</t>
  </si>
  <si>
    <t>Angela T wrote a review Feb 2020Chichester, United Kingdom9 contributions</t>
  </si>
  <si>
    <t>London city stayGreat Travelodge only a year old and one of the best travelodges I’ve 
Stayed in. I stay in London at least once a month and stayed In various 
throughout the city but this is our favourite. We are back again in 
February.Read moreReview collected in partnership with this hotelDate of 
stay: December 2019HelpfulShare</t>
  </si>
  <si>
    <t>wisew0man1 wrote a review Jan 20201 contribution</t>
  </si>
  <si>
    <t>Resort395756 wrote a review Jan 20202 contributions</t>
  </si>
  <si>
    <t>Great place to stayThis travelogue met our needs as it had a clean well maintained room to 
sleep in. Was central to where our plans were and we would stay here again 
when in the UK. Be careful though there is another travel lodge round the 
corner from it and both are named Covent Garden travel lodgeRead moreReview 
collected in partnership with TravelodgeDate of stay: January 
2020HelpfulShare</t>
  </si>
  <si>
    <t>Fantastic PositionEasy access to tube. EASY Walking distance to London tower,markets, eating 
venues etc. staff were friendly and helpful. Our family of 6 enjoyed our 
few days at the hotel and would definitely return if in London in the 
future.Read moreReview collected in partnership with this hotelDate of 
stay: December 2019HelpfulShare</t>
  </si>
  <si>
    <t>Gibbo71 wrote a review Jan 2020Bradford, United Kingdom8 contributions1 
helpful vote</t>
  </si>
  <si>
    <t>https://www.tripadvisor.co.uk/Hotel_Review-g186338-d13569031-Reviews-or110-Travelodge_London_City_hotel-London_England.html#REVIEWS</t>
  </si>
  <si>
    <t>1 night stayThe staff were polite friendly and efficient. The room was very clean and 
tidy. We were given an inside facing room so had no view to speak of. The 
bathroom was suitable but did have an issue with the shower. When in the 
shower the extractor fan is on which blows the shower curtain out allowing 
water to soak the bathroom floor. The hotel itself was showing basic wear 
but was in the state of having repair work done so hopefully these will be 
addressed.Read moreDate of stay: January 2020HelpfulShare</t>
  </si>
  <si>
    <t>Alicia W wrote a review Jan 20205 contributions</t>
  </si>
  <si>
    <t>Excellent value!Really loved the friendly staff here. Although it was a hotel, it was still 
very friendly. We recommend this place for your next London visit, really 
enjoyed the bedding, it was clean and the mattresses wereRead moreDate of 
stay: January 2020HelpfulShare</t>
  </si>
  <si>
    <t>388anonj wrote a review Jan 20202 contributions</t>
  </si>
  <si>
    <t>Good valueRoom was comfortable and good value for money. Neither of the soap 
dispensers in the bathroom worked, but fine otherwise. Good bed with new 
mattress. The breakfast was ample and relatively quiet if taken at an early 
time.Read moreReview collected in partnership with this hotelDate of stay: 
January 2020HelpfulShare</t>
  </si>
  <si>
    <t>https://www.tripadvisor.co.uk/Hotel_Review-g186338-d193057-Reviews-or230-Travelodge_London_Covent_Garden-London_England.html#REVIEWS</t>
  </si>
  <si>
    <t>NotBilbo wrote a review Jan 2020Manchester, United Kingdom2 contributions1 
helpful vote</t>
  </si>
  <si>
    <t>rosemarieannebla2020 wrote a review Jan 2020Barnsley, United Kingdom1 
contribution</t>
  </si>
  <si>
    <t>More expensive than you think!Free WiFi is available for 30 minutes, or pay. Parking is down the road and 
around the corner. Booking is via a call centre. Booking guy didn't seem to 
know which hotel we were talking about, there's a few in London. I had to 
talk to him while Googling on my phone, very awkward.Read moreReview 
collected in partnership with TravelodgeDate of stay: January 
2020HelpfulShareResponse from TravelodgeUK, Hannah from The Social Media 
Team at Travelodge London City hotelResponded 30 Jan 2020Thank you for 
taking the time to share your experience with us. We offer our customers 30 
minutes free WiFi per day within our hotels. Not all guest's require WiFi 
and due to being a budget brand, we are able to keep the price of our rooms 
as low as we can by offering extras such as WiFi for a small, additional 
price. We try to provide as much information as possible regarding the 
available parking facilities on the Hotel's booking page. Guests are also 
welcome to contact the Hotel directly prior to their arrival, and our 
Reception Teams will be more than happy to provide any further information 
or assistance regarding nearby car parks, number of spaces or whether it is 
possible to reserve spaces. However, we apologise for any inconvenience 
caused to you. . We are always looking to improve the services we offer and 
we will pass your comments on to the relevant team. Thank you again for 
your review.Read more</t>
  </si>
  <si>
    <t>RosieHad a great stay only problem was the actual steps at the front .was hard 
to get 2 heavy suit cases up on your own . That was the only down fall . 
Not good for anyone with mobility issues !! Everything else was spot on ! 
Great location ! Parking available at ncp not too far away more or less on 
the doorstepRead moreReview collected in partnership with TravelodgeDate of 
stay: January 2020HelpfulShare</t>
  </si>
  <si>
    <t>abc0nnell wrote a review Jan 20201 contribution</t>
  </si>
  <si>
    <t>Kathrin K wrote a review Jan 2020Province of South Tyrol, Italy35 
contributions10 helpful votes</t>
  </si>
  <si>
    <t>A little sadThis hotel is ideally placed in London, and it s my hotel of choice staying 
in London. However, having stayed there three times in the past yer it has 
a very tired uncaring look about the place, and this is disappointing. It 
would seem that the turn high turnover of rooms has put a strain on 
housekeeping and this s reflected in stains on carpet, a coffee machine 
having no lid on the water supply, and dust all around the back of the tray 
the tea and coffe machine was on. No glasses in the room was strange.Read 
moreReview collected in partnership with TravelodgeDate of stay: January 
2020HelpfulShare</t>
  </si>
  <si>
    <t>great value for moneyThe hotel gives a great value for money. The beds are comfortable, the 
bathroom is very clean and the reception very helpful. If you stay with 
kids I recommend to book two rooms. For four people the room is very 
small.Read moreReview collected in partnership with TravelodgeDate of stay: 
January 2020HelpfulShare</t>
  </si>
  <si>
    <t>malcolmasanai wrote a review Jan 2020Lowestoft51 contributions34 helpful 
votes</t>
  </si>
  <si>
    <t>https://www.tripadvisor.co.uk/Hotel_Review-g186338-d13569031-Reviews-or115-Travelodge_London_City_hotel-London_England.html#REVIEWS</t>
  </si>
  <si>
    <t>Not recommendedThe room was cold not have sufficient heating, was supplied with additional 
heater but the room was still not warm panel broken in bathroom, breakfast 
all dried up at the buffet. Also the hotel as stated in Covent Garden we 
were located in the 2nd hotel which is more in HolbornRead moreReview 
collected in partnership with TravelodgeDate of stay: January 
2020HelpfulShareResponse from TravelodgeUK, Niki from The Social Media Team 
at Travelodge London Covent GardenResponded 21 Jan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</si>
  <si>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Scenic44343992025 wrote a review Jan 20201 contribution</t>
  </si>
  <si>
    <t>Clean and comfortableThe room was clean and the bed very comfortable. The hotel was very central 
and close to theatres, cinemas and restaurants. Staff were helpful and 
polite. Coffee was available in the room but only 2 pods of 'nice coffee' 
and then if you wanted more you got the cheap and nasty ones. Awful shower 
gel in dispenser, no shampoo. Travelodge actually charges for wifi use. 
Outrageous!Read moreReview collected in partnership with TravelodgeDate of 
stay: January 2020HelpfulShare</t>
  </si>
  <si>
    <t>James H wrote a review Jan 2020Derby, United Kingdom4 contributions2 
helpful votes</t>
  </si>
  <si>
    <t>Theatre TripWe stayed in the Travelodge in Covent Garden. Pro's: Location, perfect for 
theatres, price Con's: Ugly (not that important), somewhat tatty inside 
bedroom, bland rooms, in need of a clean. Overall it is not bad for the 
money, but would consider spending another £20-30 for a much better 
experience.Read moreReview collected in partnership with TravelodgeDate of 
stay: January 2020HelpfulShare</t>
  </si>
  <si>
    <t>Wolfe16 wrote a review Jan 2020Devon, United Kingdom2 contributions</t>
  </si>
  <si>
    <t>https://www.tripadvisor.co.uk/Hotel_Review-g186338-d193057-Reviews-or235-Travelodge_London_Covent_Garden-London_England.html#REVIEWS</t>
  </si>
  <si>
    <t>How to retain guests and delight them when things go wrong �� Star Emoloyee 
�� Amina ��I ordered a half roast chicken dinner late Monday night... the chicken was 
dry and not much chicken on the half carcass ;) I took the dish back to the 
bar and shared about how it didn’t meet expectations. I was offered a 
different dish but I explained how given the look and std of the food the 
first time I wasn’t confident of the std of the food for a second time (my 
background is in environmental health ...) Amina, the bar person 
immediately offered to make my dish personally - I didn’t expect that !! 
She gave me immediate trust that she had heard and understood my concerns 
and was willing enough to go the extra mile in her job to personally 
prepare and serve my meal to me. She also had to come out and explain there 
was no cucumber for the salad and offered me whatever else I…Read moreDate 
of stay: January 2020HelpfulShare</t>
  </si>
  <si>
    <t>AlayanWhite wrote a review Jan 20201 contribution</t>
  </si>
  <si>
    <t>alison172 wrote a review Jan 2020Northampton, United Kingdom135 
contributions82 helpful votes</t>
  </si>
  <si>
    <t>3 nights stay, Very good.Have just returned from a 3 night stay, we have previously stayed here, we 
were greeted by a very pleasant young lady and given a choice of 3 rooms, 
room was clean and quiet on the 4th floor, bed comfortable but pillows 
hard, room is perfectly fine but storage a problem as only about 6 coat 
hangers, no drawers etc, would stay again though as so conveniently 
situated and friendly staff,Read moreDate of stay: January 2020HelpfulShare</t>
  </si>
  <si>
    <t>Bad ventilationThe room had the ventilation right above the bed pouring cold air on anyone 
who sleeps in the room. This ended up being a horrible experience! Why 
would someone design a room like this? Was this a storage room 
originally?Read moreReview collected in partnership with TravelodgeDate of 
stay: January 2020HelpfulShareResponse from TravelodgeUK, Niki from The 
Social Media Team at Travelodge London Covent GardenResponded 21 Jan 
2020Thank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</si>
  <si>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philiphole wrote a review Jan 2020Cardiff, United Kingdom3 contributions5 
helpful votes</t>
  </si>
  <si>
    <t>London CityClean quiet convenient hotel close to Aldgate underground (Circle Line) for 
easy access to all points London, Nice adequate sized room. Friendly 
helpful staff. Good Indian restaurant opposite and a good pub nearby with 
good food, music and beer. Would stay againRead moreReview collected in 
partnership with this hotelDate of stay: December 2019HelpfulShare</t>
  </si>
  <si>
    <t>pedrohibee wrote a review Jan 2020Clevedon, United Kingdom3 contributions</t>
  </si>
  <si>
    <t>Tarek A wrote a review Jan 2020Nottingham, United Kingdom18 contributions5 
helpful votes</t>
  </si>
  <si>
    <t>Good location with affordable priceIt is in very good location with good value of money . The staff was 
excellent and very helpful. It is near everything in London. Safe area and 
a lot of restaurants and supermarkets. Clean comfortable spacious room.Read 
moreReview collected in partnership with this hotelDate of stay: December 
2019HelpfulShare</t>
  </si>
  <si>
    <t>Hotel needs UpgradingHardly slept because of a constant stream of cold air from a grill high on 
wall next to bed.The corridor outside room was in a disgusting state and 
looked like it hadn't seen a vaccuum cleaner for days.Have stayed here 
twice before but won't again.Read moreReview collected in partnership with 
TravelodgeDate of stay: January 2020HelpfulShareResponse from TravelodgeUK, 
Hannah from The Social Media Team at Travelodge London Covent 
GardenResponded 21 Jan 2020Thank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</si>
  <si>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Jason K wrote a review Jan 2020Bournemouth, United Kingdom2 contributions1 
helpful vote</t>
  </si>
  <si>
    <t>https://www.tripadvisor.co.uk/Hotel_Review-g186338-d13569031-Reviews-or120-Travelodge_London_City_hotel-London_England.html#REVIEWS</t>
  </si>
  <si>
    <t>Great staff.. terrible stay!First up let me just say that the front desk staff were amazing, friendly, 
eager to sort out any problems. Overall legends! Don't know her name but 
the young reception girl working in the early evening on the 18th of 
January 2020 needs a bonus. She had to carry a portable heater up the 
stairs to our room as our built in heater wasn't working! THE GOOD: 
Location is great, Staff were great.. THE BAD: Where to start... Freezing 
(literally) cold room upon entering, draft coming through the closed 
window, the heater was broken and upon realising this had to traipse back 
to reception, down stairs and across an outside space to complain. Upon 
arriving back at reception two ladies were in front of us complaining about 
exactly the same thing! We had to make this journey twice as they…Read 
moreDate of stay: January 20201 Helpful voteHelpfulShareResponse from 
TravelodgeUK, Niki from The Social Media Team at Travelodge London Covent 
GardenResponded 21 Jan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</si>
  <si>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Lokatta12 wrote a review Jan 20201 contribution</t>
  </si>
  <si>
    <t>03gary68 wrote a review Jan 2020Rotherham, United Kingdom2 contributions7 
helpful votes</t>
  </si>
  <si>
    <t>Made our stayOnly 5 minutes from liverpool street metro, we were greeted well by a 
smiling chirpy team, gave great directions made our kids feel welcome. Room 
clean and looked after breakfast was very nice. Abida and Prash were really 
good. Will be back again during half term.Read moreDate of stay: January 
2020HelpfulShare</t>
  </si>
  <si>
    <t>shammy29 wrote a review Jan 2020Chester, United Kingdom29 contributions19 
helpful votes</t>
  </si>
  <si>
    <t>Filthy beddingBlood on the duvet - housekeeper said she couldn't change it but turned it 
over! Had to pack up and move room. New room had cracked sink and no toilet 
roll! How Travelodge can claim to be in competition with Premier Inn is 
unbelievable - haven't been to TL for a few years after numerous 
cleanliness and safety issues but we do vow this time - never again!Read 
moreReview collected in partnership with TravelodgeDate of stay: January 
2020HelpfulShareResponse from TravelodgeUK, Hannah from The Social Media 
Team at Travelodge London Covent GardenResponded 21 Jan 2020Thank you for 
taking the time to provide your feedback following your recent stay with 
us. We hope to consistently provide a high standard of cleanliness within 
our rooms and throughout our hotels, and we apologise if this was not 
displayed during your stay. We will certainly address this with the Hotel 
Team to reiterate the importance of attention to detail when servicing the 
rooms.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</si>
  <si>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Our second stay at this travel lodgeCentral to all forms of transport. Stones throw away from Tower of London 
and tower bridge. Great pub across the square, hoop and grapes, for lovely 
food and booze. Didn’t bother with breakfast at the travel lodge as we are 
not morning eaters.Read moreReview collected in partnership with this 
hotelDate of stay: December 20191 Helpful voteHelpfulShare</t>
  </si>
  <si>
    <t>350mother wrote a review Jan 2020London, United Kingdom1 contribution</t>
  </si>
  <si>
    <t>https://www.tripadvisor.co.uk/Hotel_Review-g186338-d193057-Reviews-or240-Travelodge_London_Covent_Garden-London_England.html#REVIEWS</t>
  </si>
  <si>
    <t>Family trip with under 2Good value for money. Perfect location. Asked for travel cot during check 
in. Within half an hour someone came and put one up. Clean and chich. Nice 
touch of TV and coffee machine. Defi6 recommend if you want clean budget 
place that looks nice to stay in.Read moreReview collected in partnership 
with this hotelDate of stay: December 2019HelpfulShare</t>
  </si>
  <si>
    <t>stigwilliams wrote a review Jan 2020Liverpool, United Kingdom1 contribution</t>
  </si>
  <si>
    <t>Julie W wrote a review Jan 20201 contribution</t>
  </si>
  <si>
    <t>city breakvery friendly staff and reasonably priced. Centrally located for all 
amenities and sights. Excellent choice of breakfast and evening meals. 
Ideally located for the two Aldgate tube stations enabling you to explore 
the wider city regions.Read moreReview collected in partnership with this 
hotelDate of stay: December 2019HelpfulShare</t>
  </si>
  <si>
    <t>Good hotel at low priceIdeal stay with everything we needed for a day and night in London. Room 
was clean and comfortable and quiet. Location is perfect for West End , 
shops and restaurants a few minutes ‘ walk away. Will return.Read 
moreReview collected in partnership with this hotelDate of stay: January 
2020HelpfulShare</t>
  </si>
  <si>
    <t>SJRH146 wrote a review Jan 2020United Kingdom14 contributions3 helpful votes</t>
  </si>
  <si>
    <t>pwaltersus wrote a review Jan 20201 contribution</t>
  </si>
  <si>
    <t>Good Standard and value in a convenient locationFlagship chain hotel in London City close to Vauxhall underground station 
and con Kent location for both working in the City or leisure. Upgraded 
room was clean and tidy with comfortable bed. In room facilities ok for the 
price and grade of hotel.Read moreReview collected in partnership with this 
hotelDate of stay: December 2019HelpfulShare</t>
  </si>
  <si>
    <t>Great placeValue for Money, close to everything and friendly staff. Came in last one 
night and the hotel was understaffed but they cooked us a pizza and were 
warm and friendly. Room are basic but perfect for the stay and cost.Read 
moreReview collected in partnership with this hotelDate of stay: December 
2019HelpfulShare</t>
  </si>
  <si>
    <t>Bobby R wrote a review Jan 20203 contributions</t>
  </si>
  <si>
    <t>https://www.tripadvisor.co.uk/Hotel_Review-g186338-d13569031-Reviews-or125-Travelodge_London_City_hotel-London_England.html#REVIEWS</t>
  </si>
  <si>
    <t>Lucy wrote a review Jan 2020Liverpool, United Kingdom12 contributions6 
helpful votes</t>
  </si>
  <si>
    <t>Xmas at TravelodgeFabulous few days in London, made more enjoyable by our stay in Travelodge 
Covent Garden, where the room was great, service excellent and staff very 
friendly. Will definitely be back and in fact have already booked for 
March.Read moreReview collected in partnership with this hotelDate of stay: 
December 2019HelpfulShare</t>
  </si>
  <si>
    <t>Avoid the ground floor, especially room 11I was placed on the ground floor next to the emergency exit (room 11), 
which opened and closed all night. I was also awoken by someone knocking 
loudly on my door in the middle of the night. I hardly slept all night. 
From very early in the morning, the smell of traffic emissions was very 
strong (windows closed). I wrote to Travelodge to advise them of my issues 
and was offered a free breakfast/late checkout on my next stay, but I won't 
be staying again.Read moreDate of stay: January 2020HelpfulShareResponse 
from TravelodgeUK, Ben from the Social Media Team at Travelodge London City 
hotelResponded 29 Jan 2020Thank you for taking the time to share your 
experience of your stay at our London City Travelodge with us. We’re sorry 
to hear that your experience was affected by noise from other guests. We 
strive to make our customers as comfortable as possible and we would like 
to apologise if on this occasion we were not able to offer you a good 
night's sleep. Feedback is invaluable and our Hotel Managers regularly 
review their TripAdvisor reviews in order to fix any issues raised and pass 
on feedback to their team. We understand you have already been in contact 
with our customer services team and would advise replying to the email 
received should you want this to be reviewed further. We hope that there 
will be another occasion to welcome you again and improve your views on 
Travelodge.Read more</t>
  </si>
  <si>
    <t>msmoneypenny1 wrote a review Jan 20209 contributions1 helpful vote</t>
  </si>
  <si>
    <t>Glad I booked hereTravelodge used to have a bit of a poor reputation when I last stayed in 
one but how things have changed. After reading the reviews on here I am 
glad I booked to stay. The staff all very polite and helpful, the reception 
areas, bar, corridors lifts and rooms all spotless. The bathroom was a 
fairly good size as was our room on the top floor. The bed and pillows 
smelt fresh and they were really comfortable. The hotel is just off Aldgate 
high street and even with the window open it was pretty quiet. The tube for 
Aldgate and Aldgate east just a very short walk away. On the main high 
street there is many shops and cafes with usual Pret and Costa. If you walk 
down Fenchurch street about 10 minutes or so you can go up into the gardens 
on the roof at 120. We walked to Borough market…Read moreDate of stay: 
January 20201 Helpful voteHelpfulShare</t>
  </si>
  <si>
    <t>https://www.tripadvisor.co.uk/Hotel_Review-g186338-d193057-Reviews-or245-Travelodge_London_Covent_Garden-London_England.html#REVIEWS</t>
  </si>
  <si>
    <t>Lindsey H wrote a review Jan 20204 contributions1 helpful vote</t>
  </si>
  <si>
    <t>FantasticPleasant experience. Staff brilliant and friendly!!! Location was perfect 
for us seeing different sites central but not too central, far enough out 
the way of all the hustle and bustle. Aldgate and Aldgate East underground 
were easily accessible just a few minutes walk away. Also 12 o clock check 
out was spot on as didn’t find ourselves rushing around to get out. We will 
be booking again!Read moreReview collected in partnership with 
TravelodgeDate of stay: January 2020HelpfulShare</t>
  </si>
  <si>
    <t>alanjanet2018 wrote a review Jan 2020Halifax, United Kingdom2 contributions</t>
  </si>
  <si>
    <t>https://www.tripadvisor.co.uk/Hotel_Review-g186338-d13569031-Reviews-or130-Travelodge_London_City_hotel-London_England.html#REVIEWS</t>
  </si>
  <si>
    <t>Fabulous price in a fabulous locationThis hotel is situated in the middle of Covent Garden close to a number of 
tube stations and within walking distance of theatres, Leicester Square, 
Chinatown etc. Extremley good value for money for such a central 
position.Read moreReview collected in partnership with TravelodgeDate of 
stay: January 2020HelpfulShare</t>
  </si>
  <si>
    <t>anonymous wrote a review Jan 20201 contribution</t>
  </si>
  <si>
    <t>Klein196 wrote a review Jan 2020Florence, Italy1 contribution</t>
  </si>
  <si>
    <t>Beautiful hotel in a exceptional locationIt was my first time, I hope of a long series. I will return with any 
doubt, I think ins a very impressive hotel structure, in a beautiful 
location and 2 metro station are very closeIt is e very convenient, and it 
is a modern structure.Read moreReview collected in partnership with 
TravelodgeDate of stay: January 2020HelpfulShare</t>
  </si>
  <si>
    <t>missbreakfast was cold, the bacon was covered in fat and the eggs were barely 
scrambled, (the cereal was the only decent thing) ,the sofa bed collapsed 
more than once, there was stains on the floor, and the corridor smelled 
like death.Read moreDate of stay: January 2020HelpfulShareResponse from 
TravelodgeUK, Ben from the Social Media Team at Travelodge London Covent 
GardenResponded 23 Jan 2020Thank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</si>
  <si>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jtlfox wrote a review Jan 2020Sheffield, United Kingdom1 contribution</t>
  </si>
  <si>
    <t>602property wrote a review Jan 20201 contribution</t>
  </si>
  <si>
    <t>Great value, staff were excellent !I need say no more, everything was perfect for the price paid, couldn’t of 
asked for any better quality of service, we were more than made to feel 
welcome, so thank you travel lodge. And they say Londoners are rude, just 
not the case at this hotel !Read moreReview collected in partnership with 
TravelodgeDate of stay: January 2020HelpfulShare</t>
  </si>
  <si>
    <t>Ian C wrote a review Jan 2020Wyke, United Kingdom8 contributions1 helpful 
vote</t>
  </si>
  <si>
    <t>Stayed many times - the location is ideal, rooms are clean, staff are 
friendlyOK so its a reaonably basic hotel but its a Travel Lodge and they are known 
for what they are. However, this is our 6-7th viist so cant be that bad 
hey? The family rooms are across the road we know that now so go straight 
there. We stay 3 of us in the room its clean, tidy and has suitable 
facilities for a 1-2 night stay. We will of course be back.Read moreReview 
collected in partnership with TravelodgeDate of stay: January 
2020HelpfulShare</t>
  </si>
  <si>
    <t>great findGreat hotel, clean and well maintained rooms ( its a new hotel) , good 
price for London, £49.99 and central enough to enjoy most of London by 
tube. Its at the end of Petticoat Lane. Bar is a bit dear but guess thats 
to be expected for hotel n London.Read moreReview collected in partnership 
with TravelodgeDate of stay: January 2020HelpfulShare</t>
  </si>
  <si>
    <t>https://www.tripadvisor.co.uk/Hotel_Review-g186338-d193057-Reviews-or250-Travelodge_London_Covent_Garden-London_England.html#REVIEWS</t>
  </si>
  <si>
    <t>Duggy44 wrote a review Jan 2020Westcliff-on-Sea, United Kingdom21 
contributions8 helpful votes</t>
  </si>
  <si>
    <t>One Night Stay - just what I wanted"Super Room" - good size, very clean and well appointed. Very comfortable 
and with a good shower. Superb value at less than £40. The hotel is very 
well located (about 1/2 way between Liverpool Street and Fenchurch Street 
locations.Read moreDate of stay: January 2020HelpfulShare</t>
  </si>
  <si>
    <t>handhservices wrote a review Jan 2020Manchester, United Kingdom1 
contribution1 helpful vote</t>
  </si>
  <si>
    <t>Catrin Hall wrote a review Jan 20204 contributions1 helpful vote</t>
  </si>
  <si>
    <t>Great stayJust returned from a 2 night break with my daughter. Location is perfect, 
very convenient for travel with 2 tube stations so close by. Lots of 
attractions within walking distance. Hotel itself was clean and staff very 
helpful and friendly. Got there late on Friday so ate in the restaurant, 
food was tasty and reasonable in price. Would highly recommend and intend 
using it when I return to London. I couldn’t fault anything.Read moreDate 
of stay: January 2020HelpfulShare</t>
  </si>
  <si>
    <t>Mattress nightmareThe mattres in the room was full of blood and urine and my colleague only 
found out in the morning before work as the sheet had come off the mattress 
. Who ever had made the bed must of knew it was there due to being near the 
head of the mattress . TERRIBLERead moreReview collected in partnership 
with TravelodgeDate of stay: January 20201 Helpful voteHelpfulShareResponse 
from TravelodgeUK, Zack from The Social Media Team at Travelodge London 
Covent GardenResponded 21 Jan 2020We're concerned to hear of your recent 
experience at our London Covent Garden Travelodge and we appreciate you 
taking the time to leave us your review. We're sorry to learn your room was 
not cleaned to our usual high standard, however we're happy that you found 
our hotel to be an ideal location for your needs. Please accept our 
apologies that on this occasion you did not receive the best experience 
possible. Thank you again for sharing your insightful comments and we hope 
you stay with us in the future.Read more</t>
  </si>
  <si>
    <t>https://www.tripadvisor.co.uk/Hotel_Review-g186338-d13569031-Reviews-or135-Travelodge_London_City_hotel-London_England.html#REVIEWS</t>
  </si>
  <si>
    <t>https://www.tripadvisor.co.uk/Hotel_Review-g186338-d1812157-Reviews-or35</t>
  </si>
  <si>
    <t>Lyon87 wrote a review Jan 20201 contribution</t>
  </si>
  <si>
    <t>Bethanie P wrote a review Jan 2020Cleethorpes, United Kingdom184 
contributions43 helpful votes</t>
  </si>
  <si>
    <t>Great location &amp; PriceHad an excellent visit to London, this hotel is in a great location for 
shopping and food/drink. The room was clean, friendly staff and i enjoyed 
the breakfast. I will definitely be staying here again.Read moreDate of 
stay: January 2020HelpfulShare</t>
  </si>
  <si>
    <t>Great location at a good priceMyself and a friend stayed here in the summer whilst going to see Matilda. 
The hotel is clean, the rooms are a reasonable size and the staff are 
friendly. It is next to Aldgate tube station which gives easy transport to 
all attractions in London. When checking out, the staff gave us somewhere 
safe to leave our bags so that we could collect them later and enjoy a bit 
more of the city. If you're just wanting a clean, good place to rest for 
the night and to enjoy the city, this is perfect.Read moreDate of stay: 
August 2019HelpfulShare</t>
  </si>
  <si>
    <t>https://www.tripadvisor.co.uk/Hotel_Review-g186338-d193057-Reviews-or255-Travelodge_London_Covent_Garden-London_England.html#REVIEWS</t>
  </si>
  <si>
    <t>robert w wrote a review Jan 2020Glasgow, United Kingdom48 contributions17 
helpful votes</t>
  </si>
  <si>
    <t>James wrote a review Jan 20203 contributions</t>
  </si>
  <si>
    <t>Great locationCatriona and renate are really great at their job and are an asset to the 
hotel.next time I am in london I will use this hotel.the hotel is well 
placed for shopping and shows.enjoyed overall experience.Read moreDate of 
stay: January 2020HelpfulShare</t>
  </si>
  <si>
    <t>Felt Very Much at HomeI really enjoyed my stay. Really friendly staff. I stayed for two weeks and 
felt very much at home. Many thanks to Carlos, Hashim, Rajesh, and the 
Travelodge team for their hospitality. Looking forward to staying again 
soon!Read moreDate of stay: January 2020HelpfulShare</t>
  </si>
  <si>
    <t>Melissa wrote a review Jan 20204 contributions1 helpful vote</t>
  </si>
  <si>
    <t>michaelcj51 wrote a review Jan 2020Reigate, United Kingdom38 
contributions16 helpful votes</t>
  </si>
  <si>
    <t>Forget the breakfastThe room, inevitably, was small but it was clean, fresh and as comfortable 
as you would expect, as was the hotel. The bed was a tad on the small side 
but good pillows and bedding The breakfast was appalling and to be avoided. 
The choices were limited (no fried eggs or hash browns etc as Premier Inns 
are really good at, for about the same price) and the cheapest ingredients 
were overcooked and very unpleasant.Read moreReview collected in 
partnership with TravelodgeDate of stay: January 2020HelpfulShare</t>
  </si>
  <si>
    <t>MsWas ok. Rooms ok and average and so is food but it was all ok. Lots to see 
outside and lots to do aswell in central London as one would expect being 
jn the heart of london it's always so busy dag and nightRead moreDate of 
stay: January 2020HelpfulShareResponse from TravelodgeUK, Zack from The 
Social Media Team at Travelodge London Covent GardenResponded 15 Jan 
2020Thank you for leaving your review of our London Covent Garden hotel. We 
are pleased to hear that you found the location of the hotel to be ideal 
for your stay, and that the hotel and food were ideal for you during your 
stay. Please be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</si>
  <si>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https://www.tripadvisor.co.uk/Hotel_Review-g186338-d13569031-Reviews-or140-Travelodge_London_City_hotel-London_England.html#REVIEWS</t>
  </si>
  <si>
    <t>https://www.tripadvisor.co.uk/Hotel_Review-g186338-d193057-Reviews-or260-Travelodge_London_Covent_Garden-London_England.html#REVIEWS</t>
  </si>
  <si>
    <t>lisa c wrote a review Jan 2020Lowestoft, United Kingdom19 contributions8 
helpful votes</t>
  </si>
  <si>
    <t>Covent Garden TravelodgeGreat stay. Room very clean and comfortable. Breakfast great and friendly 
staff. Would have loved a fried egg option on the breakfast - staff happy 
to warm crosisants Bed very comfortable and a great shower. Would recommend 
and definately come againRead moreReview collected in partnership with 
TravelodgeDate of stay: January 2020HelpfulShare</t>
  </si>
  <si>
    <t>Nicky Z wrote a review Jan 20204 contributions1 helpful vote</t>
  </si>
  <si>
    <t>Perfect LocationWe was at this hotel for one night to go to the theater then on to 
leicester square for dinner.The staff here, Esme and Sandra went above and 
beyond to help us with our family room.It was very clean and comfortable 
the amenities was perfect(coffee tea etc) the breakfast was beautiful fresh 
with lots of choiceRead moreDate of stay: January 2020HelpfulShare</t>
  </si>
  <si>
    <t>Tamara N wrote a review Jan 2020Barnstaple, United Kingdom4 contributions1 
helpful vote</t>
  </si>
  <si>
    <t>Christian P wrote a review Jan 20201 contribution</t>
  </si>
  <si>
    <t>Nice stay at Travellodge!The hotel is situated in a very good position, very close to the Skygarden. 
We found the room clean and tidy, all the staff very kind and helpful, 
ready to fulfill our requirements. All things considered we think that 
prices are not high!Read moreReview collected in partnership with this 
hotelDate of stay: January 2020HelpfulShare</t>
  </si>
  <si>
    <t>GlennUKexDubai wrote a review Jan 2020London, United Kingdom16 
contributions5 helpful votes</t>
  </si>
  <si>
    <t>Covent Garden stayWe had a problem with our room which the staff tried to sort out and did 
take a while but a young man called Wayne did everything he could and did 
sort out problem with kindness and professionalism. Really good hotel, 
facilities and central for walking easily to Covent Garden and Leicester 
Square, would stay here againRead moreDate of stay: January 2020HelpfulShare</t>
  </si>
  <si>
    <t>biglbee wrote a review Jan 2020biglbee8 contributions1 helpful vote</t>
  </si>
  <si>
    <t>GREAT VALUE FOR LONDONGood hotel in the super rooms have not stayed in the regular rooms so 
cannot comment on that. Quiet location 2 minutes from walking Algate 
Station 5 to 10 minutes walking from Liverpool St. Tesco Express nearby. I 
always try to stay here now when visiting London. Negative £10 extra if you 
want to check in before 3pm even though your room is ready that's a rip 
off. Also only 30 minutes internet access during your stay. Come on 
Travelodge why dont you try to exceed the customers expectation. Not have 
annoying little charges. That is only reason I mark down serviceRead 
moreReview collected in partnership with TravelodgeDate of stay: January 
2020HelpfulShare</t>
  </si>
  <si>
    <t>janegreene wrote a review Jan 2020Glasgow, United Kingdom5 contributions</t>
  </si>
  <si>
    <t>Thank you Wayne!While we repeatedly had interactions with Wayne, the most welcoming, kind, 
person, we were happy to learn this chain is reliable/consistent, and hires 
amazing people! Well designed rooms, great value for money and 
locations!Read moreDate of stay: December 2019HelpfulShare</t>
  </si>
  <si>
    <t>KeithDurban wrote a review Jan 2020Durban, South Africa64 contributions30 
helpful votes</t>
  </si>
  <si>
    <t>Great stayThis was my first time staying in a Travelodge and I was very impressed by 
the standard of accommodation ,the very courteous staff ,great choice of 
food at breakfast and the one evening we had a meal in the restaurant it 
was lovely. My sister niece and her friend had a great weekend we all 
thoroughly enjoyed our stay and would definitely stay againRead moreReview 
collected in partnership with TravelodgeDate of stay: January 
2020HelpfulShare</t>
  </si>
  <si>
    <t>Comfortable Hotel stay in LondonThis was our fourth stay in the hotel and it continues to meet our 
expectations. We first went with our young children then through teenage 
years to young adults. Always clean and comfortable, well positioned. Be 
aware, however, that it is central London and some rooms can hear street 
noise.Read moreReview collected in partnership with TravelodgeDate of stay: 
January 2020HelpfulShare</t>
  </si>
  <si>
    <t>https://www.tripadvisor.co.uk/Hotel_Review-g186338-d13569031-Reviews-or145-Travelodge_London_City_hotel-London_England.html#REVIEWS</t>
  </si>
  <si>
    <t>https://www.tripadvisor.co.uk/Hotel_Review-g186338-d193057-Reviews-or265-Travelodge_London_Covent_Garden-London_England.html#REVIEWS</t>
  </si>
  <si>
    <t>Ceiridwen wrote a review Jan 20201 contribution</t>
  </si>
  <si>
    <t>Raymondaubrey wrote a review Jan 2020Fleet, England, United Kingdom7 
contributions</t>
  </si>
  <si>
    <t>Excellent hotel in good locationVery pleased with the comfy bed and pillows. Tea and coffee making 
facilities most welcome, with complimentary Kit-Kat! Air conditioning quite 
noisy, and shower curtain a bit useless, but otherwise a lovely clean, 
up-to-date room in a good location.Read moreReview collected in partnership 
with TravelodgeDate of stay: January 2020HelpfulShare</t>
  </si>
  <si>
    <t>perfectA perfectly adequate clean and comfortable room right in the middle of 
"theatre land" in London, just what we wanted Very reasonable price and so 
nice to have cheerful friendly staff at reception. We will almost certainly 
go back here next time we come to London.Read moreReview collected in 
partnership with TravelodgeDate of stay: January 2020HelpfulShare</t>
  </si>
  <si>
    <t>lovetravel666666 wrote a review Jan 2020Boston, Massachusetts43 
contributions29 helpful votes</t>
  </si>
  <si>
    <t>LJE19671967 wrote a review Jan 2020Oswestry, United Kingdom157 
contributions41 helpful votes</t>
  </si>
  <si>
    <t>A gem; absolutely recommended- convenient location; steps to Aldgate t stop; walk to tower bridge and 
Tower of London - hospital stuff; very pleasant and accommodating - free 
room upgrade - great breakfast and bar service - best value for a great 
stay in London - will definitely return for future tripsRead moreDate of 
stay: January 2020HelpfulShare</t>
  </si>
  <si>
    <t>Great value, great locationStayed here with friends whilst visiting to watch a show at the theatre. We 
knew it was only a travelodge but it was better than the hotel we stayed in 
last year and the location is superb. We were able to walk everywhere we 
wanted to go and there was so much choice close by for bars restaurants and 
shops. We didn't have breakfast but I would definitely stay again for a 
good budget break.Read moreDate of stay: January 2020HelpfulShare</t>
  </si>
  <si>
    <t>Dave N wrote a review Jan 2020Hereford, United Kingdom290 contributions135 
helpful votes</t>
  </si>
  <si>
    <t>London TripStayed here for 3 nights with the family. Found it great. Service was good. 
Hotel located in Holborn about equal distance from Tottenham Court Road, 
Covent Garden and Holborn tube stations. Rooms were a good size. Breakfast 
was buffet and excellent. Glad we stayed here. Good place for exploring 
London. Located in 2 buildings. It is just off Drury Lane so perfect if you 
were going to the theatre.Read moreDate of stay: January 2020HelpfulShare</t>
  </si>
  <si>
    <t>Mark O wrote a review Jan 20205 contributions</t>
  </si>
  <si>
    <t>It's a Travelodge... but location, location, location!!!You know what you are going to get with a Travelodge, so no surprises 
there. The location - Covent Garden/Seven Dials/Tottenham Court Road is 
fabulous. 2 minutes from Holborn Station. This is a great place for a short 
trip to London.Read moreReview collected in partnership with TravelodgeDate 
of stay: January 2020HelpfulShare</t>
  </si>
  <si>
    <t>https://www.tripadvisor.co.uk/Hotel_Review-g186338-d13569031-Reviews-or150-Travelodge_London_City_hotel-London_England.html#REVIEWS</t>
  </si>
  <si>
    <t>Jane H wrote a review Jan 2020Holland-on-Sea, United Kingdom50 
contributions22 helpful votes</t>
  </si>
  <si>
    <t>LambyThePie wrote a review Jan 2020Attleborough, United Kingdom3 
contributions</t>
  </si>
  <si>
    <t>It's ok!We stayed just the once night and the room was clean and adequate for our 
needs. The breakfast fell below our expectations though - they only 
provided scrambled eggs and because we're dairy free we asked for fried 
eggs but as their food comes prepackaged they couldn't help, nor did they 
have any gluten free bread or cereals.Read moreDate of stay: January 
2020HelpfulShare</t>
  </si>
  <si>
    <t>Superb value hotel in great location.Situated between Aldgate underground station (2 mins walk) and Aldgate East 
underground station (4 mins walk) and near to Liverpool Street station (10 
mins walk) this hotel is in a superb location. It's modern, clean and 
welcoming. The staff were friendly, the rooms had everything we needed and 
the breakfast was much better than I had expected. Highly recommended.Read 
moreReview collected in partnership with TravelodgeDate of stay: December 
2019HelpfulShare</t>
  </si>
  <si>
    <t>edhutt2020 wrote a review Jan 2020Appleby, United Kingdom1 contribution</t>
  </si>
  <si>
    <t>https://www.tripadvisor.co.uk/Hotel_Review-g186338-d193057-Reviews-or270-Travelodge_London_Covent_Garden-London_England.html#REVIEWS</t>
  </si>
  <si>
    <t>TRAVELEDGE @ ALDGATENice new hotel. V quiet. Strangely for a hotel, they never made up the room 
or emptied the bins in a three night stay. Is this what Travelodge do now? 
The place is very tidy apart from that. Ive only ever stayed one night 
before so never seen this side of TravelodgeRead moreReview collected in 
partnership with TravelodgeDate of stay: January 2020HelpfulShare</t>
  </si>
  <si>
    <t>Paradox111 wrote a review Jan 2020Sydney, Australia16 contributions13 
helpful votes</t>
  </si>
  <si>
    <t>Caz4085 wrote a review Jan 2020North Yorkshire, United Kingdom53 
contributions21 helpful votes</t>
  </si>
  <si>
    <t>Breakfast Team Covent Garden Travelodge London.Lovely staff. Always cheerful and welcoming. A pleasure to see them each 
morning. (Also very helpful staff on Reception.) Food good and abundant, 
but the people employed by Travelodge in these customer-facing roles are 
the company's real asset.Read moreDate of stay: January 2020HelpfulShare</t>
  </si>
  <si>
    <t>Roslyn2011 wrote a review Jan 2020London, United Kingdom30 contributions5 
helpful votes</t>
  </si>
  <si>
    <t>Excellent experienceStayed for 1 night whilst on business in London. Hotel is very close to 
office location, bus and underground which is a positive. Upon arrival 
there was a bright and friendly welcome coupled with efficiency. My room 
was on the 7th floor. The lifts were quick and clean. The room was a good 
temperature upon entrance, tidy and clean with crisp bed linen. Plenty of 
desk space to work and a comfortable chair to relax in. The bathroom was 
quite small but adequate- clean and had a fresh smell and the hair shampoo 
and hand wash containers were full. Towels were soft too. The bed was very 
comfortable and despite being in the city I heard no noise so had a great 
night's sleep. My check out was also very friendly. I hope to stay again 
soon.Read moreDate of stay: January 2020HelpfulShare</t>
  </si>
  <si>
    <t>femaletraveller2020 wrote a review Jan 2020Yorkshire, United Kingdom1 
contribution</t>
  </si>
  <si>
    <t>Good location and spacious roomBooked this travelodge for my sister, two nephews and myself to stay in for 
one night. Its in a great location for Covent Garden and the theatres. I 
paid for a early check in as we had theatre tickets for 2.30pm. The lady on 
reception was very helpful. We had a family room on the 6th floor. It was a 
very spaceious room with a window that opened. The beds and bedding were 
clean. The carpet and the bathroom were filthy. The carpet looked like it 
hadn't been hoovered in some time. We moved one of the put up beds and 
there was a pair of socks under it (that didn't belong to us) The shelf 
under the mirror in the bathroom had toothpaste marks on it. The plug hole 
in the bath had lots of hairs in it and the water didn't drain away very 
quickly. Breakfast was good plenty of choice.Read moreDate of stay: January 
20202 Helpful votesHelpfulShareResponse from TravelodgeUK, James from the 
Social Media Team at Travelodge London Covent GardenResponded 13 Jan 
2020Thank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</si>
  <si>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AjayKing wrote a review Jan 2020London, United Kingdom6 contributions</t>
  </si>
  <si>
    <t>Pubic hair in sheets and hostile staff member. Avoid!Pubic hair in sheets and bathroom a little dirty (small questionable brown 
mark on bathroom door and by toilet roll holder, top needed wipe) I was 
happy to sort bathroom out myself as only took a couple of mins with a damp 
was of paper but I draw the line at sleeping in a bed with someone's pubic 
hair in. Staff at reception helpful and said would get someone to come 
change the bed, I also get the impression they would have moved me rooms 
but I had unpacked and was happy to wait for clean linen. Waited approx 20 
mins (not long to wait) but to my shock a lady with a badge that stated 
'Head of house keeping' just walked in my room! Luckily wasn't getting 
changed yet but felt a bit weird and intrusive. She was very hostile and 
saw the hairs in the bed and explained it didn't need…Read moreReview 
collected in partnership with TravelodgeDate of stay: January 
2020HelpfulShareResponse from TravelodgeUK, James from the Social Media 
Team at Travelodge London City hotelResponded 13 Jan 2020Thank you for 
reviewing our Travelodge London City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</si>
  <si>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ExcellentStayed at Covent Garden Central for one night. Superroom was excellent on 
the top floor and well equiped and comfortable. Good location for all of 
central London. Breakfast was superb and all staff very helpful.Read 
moreReview collected in partnership with TravelodgeDate of stay: January 
2020HelpfulShare</t>
  </si>
  <si>
    <t>Andy D wrote a review Jan 2020dubs58 contributions7 helpful votes</t>
  </si>
  <si>
    <t>Great location, great room, late check inThe hotel is located close to both Holborn and Covent Garden tibe stations 
- great for travel to Heathrow. Be aware that the latter means you must use 
the elevator for which there can be quite a crush at times. The rooms on 
the higher floor were spacious and quiet. Breakfast is fantastic if you 
want the full monty! Late check in (3pm) is inconvenient but they do have a 
good free left luggage. Would stay again tho the lighting system in the 
room needs sorting - it was confusing to work and the overhead bulbs took 
ages to dim. Hence my 4 stars, not 5.Read moreDate of stay: January 
2020HelpfulShare</t>
  </si>
  <si>
    <t>Nick T wrote a review Jan 2020York, United Kingdom10 contributions8 helpful 
votes</t>
  </si>
  <si>
    <t>Excellent hotel with Fantastic staffMy wife and I, daughter, son in law and three kids stayed for 3 nights. 
Location is great, nice and quiet on a night but very central and close to 
tube. Staff were brilliant, very accommodating. We will be back 10/10Read 
moreDate of stay: January 2020HelpfulShare</t>
  </si>
  <si>
    <t>toe-knee333 wrote a review Jan 2020Balmain, Australia37 contributions19 
helpful votes</t>
  </si>
  <si>
    <t>https://www.tripadvisor.co.uk/Hotel_Review-g186338-d193057-Reviews-or275-Travelodge_London_Covent_Garden-London_England.html#REVIEWS</t>
  </si>
  <si>
    <t>maiseynaz wrote a review Jan 2020chorley33 contributions34 helpful votes</t>
  </si>
  <si>
    <t>Good value for great locationSimple &amp; straight forward. No kettle or frig but price appropriate. Good 
location for food options, Aldgate tube is on the doorstep and Spitalfieds 
market is a short walk away. Didn’t try the breakfast but the dinner was 
very ordinary. Everything in the room was okay. Bed comfortable, TV good, 
clean with no frills but the price was great so very satisfied overall.Read 
moreDate of stay: December 2019HelpfulShareResponse from TravelodgeUK, 
James from the Social Media Team at Travelodge London City hotelResponded 
13 Jan 2020Thank you for reviewing our Travelodge London City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</si>
  <si>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New Year in London.We stayed at the Travelodge Covent Garden London. It is a perfect central 
possition for getting about, and minutes away from Covent Garden station. 
The break fast was very tasty, and plenty of choice. You could always go 
back for more aswell , it set the day off perfect. ALL the staff were so 
friendly and helpfull . From arriving at breakfast , being greeted by realy 
pleasant staff was a pleasure. Would reccomend, and would stay againRead 
moreDate of stay: December 2019HelpfulShare</t>
  </si>
  <si>
    <t>Berry Khan wrote a review Jan 2020Sheffield, United Kingdom37 
contributions19 helpful votes</t>
  </si>
  <si>
    <t>https://www.tripadvisor.co.uk/Hotel_Review-g186338-d13569031-Reviews-or155-Travelodge_London_City_hotel-London_England.html#REVIEWS</t>
  </si>
  <si>
    <t>Morgan wrote a review Jan 20201 contribution</t>
  </si>
  <si>
    <t>Excellent stay once againBest thing about Travelodge is you know what you are going to get. This is 
probably my 5th stay here and all have been spot-on. I have stayed in many 
more luxury hotels but I would not say these rooms are massively inferior 
to some we have paid a lot more for. This time we were given a huge room 
with a nice view. The door to the room was in a bit of a corner near the 
lift but we didn't get any noise disturbance from the lift so weren't 
bothered at all. The room had a TV, kettle and very comfortable bed. Only 
downfall and probably the reason I didn't give 5* is due to the heater in 
the room being under-powered. The room was really big and the heater was 
just not powerful enough hence it being cold. Location wise, this hotel is 
in an excellent location with access to…Read moreDate of stay: December 
2019HelpfulShare</t>
  </si>
  <si>
    <t>Let down by check in and staff attitude.Upon arrival, I asked to check in, to my mistake i thought that check in 
was from 12. The reception employee explained that it was 3pm, but early 
check in is available but at this time (11:30) it was a bit early to do 
that so to come back in around 15 minutes. We waited for 15 minutes went 
back and she said she was too busy and to please wait about her 20 minutes, 
we waited 20 minutes and went back again to try and get someone to help 
again we were told they were too busy checking in peoples luggage from 
people who were checking out but wanted to keep their luggage there. So, 
again we waited. 10 minutes later they start checking people in for early 
check in after waiting around for almost 45 minutes at this point i was 
getting rather fed up, we had to then get their attention…Read moreDate of 
stay: December 2019HelpfulShare</t>
  </si>
  <si>
    <t>John B wrote a review Jan 20202 contributions</t>
  </si>
  <si>
    <t>Tan wrote a review Jan 20202 contributions</t>
  </si>
  <si>
    <t>1st rate as alwaysGreat location, nice rooms, very friendly helpful staff Nothing too much 
trouble for staff. The location is perfect for travelling tube or bus 
Lovely room with coffee machine and quality refreshments.Read moreReview 
collected in partnership with TravelodgeDate of stay: January 
2020HelpfulShare</t>
  </si>
  <si>
    <t>Take A Break Have A KitKatThis Travel Lodge was the best that I have stayed in and I have stayed in 
quite a few. The staff were very friendly and very patient with me and my 
friend. We had been out all day and most of the evening - Safe to say we 
were fairly boozed up. Anyway they were very good and we were given a very 
comfortable room for the night. Special thanks to Akinola,Telma and Saneeta 
all of which were very good with me when I required their help at the desk 
as i had misplaced my room key 3 times as i was craving 19898676824444 
KitKats from the vending machine which is located by the lifts. Akinola was 
very kind and showed me back to my room more then once. Very helpful staff 
and very pleasent. I will be back. Guys please make sure you have plenty of 
KitKats for my return.Read moreDate of stay: December 2019HelpfulShare</t>
  </si>
  <si>
    <t>Cheryl P wrote a review Jan 2020Sheffield, United Kingdom4 contributions3 
helpful votes</t>
  </si>
  <si>
    <t>Bev C wrote a review Jan 2020Wakefield, United Kingdom55 contributions23 
helpful votes</t>
  </si>
  <si>
    <t>Great locationJust returned from a 1 night stay at this hotel. In a great location for us 
going to the ballet in Covent Garden. Room spotlessly clean. Staff 
friendly. Breakfast was great apart from the hot water for tea was dummy so 
couldn't drink it. All in all can recommendRead moreDate of stay: January 
2020HelpfulShare</t>
  </si>
  <si>
    <t>Excellent hotelWe enjoyed 2 nights in this hotel. Easy check in and check out. Our room 
was so quiet, comfortable and dark meaning we had a great sleep. The shower 
was soo relaxing and the room had lots of the essentials (hair dryer, 
iron/board, coffee machine and kettle) and plenty of plug points. The staff 
were very helpful with a special mention for the security guy. The location 
of the hotel is great, footsteps away from Aldgate, 10-15 mins walk away 
from the Tower of London and Tower Bridge where it’s easy to pick up the 
tourist bus and boats from. We didn’t eat or drink in the hotel but the bar 
and restaurant are very nicely presented.Read moreDate of stay: January 
20201 Helpful voteHelpfulShare</t>
  </si>
  <si>
    <t>https://www.tripadvisor.co.uk/Hotel_Review-g186338-d193057-Reviews-or280-Travelodge_London_Covent_Garden-London_England.html#REVIEWS</t>
  </si>
  <si>
    <t>RitaAlex2015 wrote a review Jan 2020Kalkara, Malta2 contributions2 helpful 
votes</t>
  </si>
  <si>
    <t>SatisfiedTravelodge was exactly in central location where can be reached few walking 
distance for underground.Family with kids is good as well. Staff was 
excellent and really really helpful at all times even when it was New Year 
Eve.We definitely go back.Great value for money.Read moreReview collected 
in partnership with TravelodgeDate of stay: December 2019HelpfulShare</t>
  </si>
  <si>
    <t>aimeecoxall wrote a review Jan 2020Lincoln4 contributions</t>
  </si>
  <si>
    <t>kari090 wrote a review Jan 2020Dublin7 contributions2 helpful votes</t>
  </si>
  <si>
    <t>Family trip to LondonGood value clean and spacious room, all the staff were welcoming polite and 
all well presented, breakfast was lovely hot food was replenished quickly. 
Had 4 young children with us and all of the staff made the effort to talk 
to them Which really made us feel valued as customersRead moreReview 
collected in partnership with TravelodgeDate of stay: January 
2020HelpfulShare</t>
  </si>
  <si>
    <t>5 star value for money experienceFor the couple of nights that we stayed in London this Travelodge ticked 
all our boxes from check-in to check-out. Value for money, friendly staff, 
cleanliness, great location and everything you needed in the bedroom.Read 
moreReview collected in partnership with TravelodgeDate of stay: December 
2019HelpfulShare</t>
  </si>
  <si>
    <t>Dapla8 wrote a review Jan 2020Crewe, United Kingdom10 contributions12 
helpful votes</t>
  </si>
  <si>
    <t>Great stayGot a good deal on a two night stay just after Xmas..ideal location ,we 
walked to most of the attractions.decent pub with cheap food and a comedy 
club close by.room was typical Travelodge ,clean but no frills,perfectly 
acceptable.staff were excellent.would stay again.Read moreDate of stay: 
January 2020HelpfulShare</t>
  </si>
  <si>
    <t>https://www.tripadvisor.co.uk/Hotel_Review-g186338-d13569031-Reviews-or160-Travelodge_London_City_hotel-London_England.html#REVIEWS</t>
  </si>
  <si>
    <t>Khadi T wrote a review Jan 2020London, United Kingdom13 contributions5 
helpful votes</t>
  </si>
  <si>
    <t>Ethan Adams wrote a review Jan 20204 contributions</t>
  </si>
  <si>
    <t>Lovely stayMe and my boyfriend stayed here for new years, and really enjoyed our night 
here. The beds are comfy and the staff are really friendly and helpful. The 
room was cosy and prepared beautifully. The only thing I'd say is when you 
go to have a shower best to put a towel down as the floor got soaked 
because the shower itself was practically on the floor. Other than that we 
really enjoyed our stayRead moreDate of stay: January 2020HelpfulShare</t>
  </si>
  <si>
    <t>Too expensive for what you get, or lack of what you get.Got to the hotel, front desk didn’t seem too bothered at first to serve. 
Couldn’t get rid of us any quicker, sent to our room which was absolutely 
drenched, flooded with water and the stench of mould and damp was horrible, 
instantly walked back out to request another room, can’t believe you’d even 
send customers into a room like that. Easy enough getting the room changed 
but was in another hotel down the road, directions to the room weren’t 
clear, dirty towels in cages sat next to the elevators, what a lovely 
sight. Found the room eventually stuffed in the corner next to the elevator 
door which we wouldn’t have found without going back to reception if I 
didn’t drop the suitcase in the right direction. Got into the new room 
which the floor was covered in disgusting stain marks…Read moreDate of 
stay: December 2019HelpfulShareResponse from TravelodgeUK, Niki from The 
Social Media Team at Travelodge London Covent GardenResponded 7 Jan 
2020Thank you for taking the time to review our London Covent Garden hotel.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</si>
  <si>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Paul Digby wrote a review Jan 20202 contributions1 helpful vote</t>
  </si>
  <si>
    <t>Travel Lodge Covent Garden Nice place to stayThe hotel is located very close to Covent Gard, easy walking distance, very 
clean, warm and friendly. it is only to be expected that in the central of 
London there will be a bit of noise from outside, however, with the double 
glazing this was negligible. My only gripe is the time to que to get a cup 
of tea, with the combined tea and coffee making machines, and all the fancy 
coffee's on offer it takes an age to get hot to put on a teabag. also the 
breakfast was luke warm. Will stay again but not have the breakfast.Read 
moreReview collected in partnership with TravelodgeDate of stay: January 
2020HelpfulShare</t>
  </si>
  <si>
    <t>https://www.tripadvisor.co.uk/Hotel_Review-g186338-d1812157-Reviews-or40</t>
  </si>
  <si>
    <t>JJR120 wrote a review Jan 2020London, United Kingdom14 contributions5 
helpful votes</t>
  </si>
  <si>
    <t>kmclaxton wrote a review Jan 2020Great Yarmouth, United Kingdom1 
contribution</t>
  </si>
  <si>
    <t>Very Nice Place to Stay in LondonI needed a hotel near Covent Garden, however all the hotels around there 
were fully booked or horrendously expensive. I decided to try the 
Travelodge City of London and was extremely surprised at the quality of the 
hotel. The room was very clean, a good size for the London Area and 
comfortable, all at a very reasonable price. The location was very handy 
for the tube and my destination, being twenty minutes door to door. 
Breakfast was really good with an excellent choice of dishes in the buffet. 
I would highly recommend it and will consider staying there again next time 
I am in London.Read moreReview collected in partnership with TravelodgeDate 
of stay: December 2019HelpfulShare</t>
  </si>
  <si>
    <t>Do not try get in touch with hotel reception by phoneit is impossible to speak with the hotel if you have a problem. I left a 
personal key behind when I left - Housekeeping did not check the room after 
I left and didn't find the key (An important key. I phoned continually for 
5 hours but either couldnt get through or the phone was just hung up 
immediately. VERY POOR CUSTOMER SERVICERead moreReview collected in 
partnership with TravelodgeDate of stay: January 2020HelpfulShare</t>
  </si>
  <si>
    <t>https://www.tripadvisor.co.uk/Hotel_Review-g186338-d193057-Reviews-or285-Travelodge_London_Covent_Garden-London_England.html#REVIEWS</t>
  </si>
  <si>
    <t>Traveller404010 wrote a review Jan 20205 contributions</t>
  </si>
  <si>
    <t>https://www.tripadvisor.co.uk/Hotel_Review-g186338-d13569031-Reviews-or165-Travelodge_London_City_hotel-London_England.html#REVIEWS</t>
  </si>
  <si>
    <t>Judita T wrote a review Dec 2019Stamford, United Kingdom10 contributions2 
helpful votes</t>
  </si>
  <si>
    <t>Fine for a budget stayGreat location, decent size room, relatively cheap rates. Stayed in a 
'family room' at the adjacent High Holborn building. Only the bare minimum 
essentials - hairdryer had to be requested, no toilet brush - housekeeping 
came at 4pm. Shower curtain was not the cleanest - would recommend 
refurbishing to a shower cubicle as shower curtains are never good. 
Inconsistent customer service - better at the main building. When asked 
about a local laundromat, first lady had no idea and second lady was 
indifferent at best. Throughout breakfast, could hear staff loudly 
complaining to each other at the reception desk. Breakfast was consistently 
poor - don't bother - I have had many hotel breakfasts and I think this was 
the worst. This place would be fine if you just want somewhere to 
sleep…Read moreDate of stay: January 2020HelpfulShareResponse from 
TravelodgeUK, Ben from the Social Media Team at Travelodge London Covent 
GardenResponded 11 Jan 2020Thank you for taking the time to write a review 
about our London Covent Garden hotel. We're pleased to hear that you liked 
the hotels location and the room size however we are sorry to learn of your 
disappointment with the facilities, breakfast and service from the team. 
It’s really important to us that our teams provide a fantastic service to 
our guests and remain professional at all times so we are sorry to learn 
that you feel this was not the case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</si>
  <si>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Clean and cosy hotelI stayed in the hotel for four nights. It was a wonderful experience. The 
room was everything I needed, clean and cozy. The staff was extremely 
friendly, helpful and professional. They have a great breakfast and bar 
with a good choice of soft and alcoholic drinks, wines and beers.Read 
moreReview collected in partnership with TravelodgeDate of stay: December 
2019HelpfulShare</t>
  </si>
  <si>
    <t>Dame wrote a review Jan 2020Stoke-on-Trent, United Kingdom15 contributions6 
helpful votes</t>
  </si>
  <si>
    <t>Ness-Queen wrote a review Dec 2019United Kingdom7 contributions3 helpful 
votes</t>
  </si>
  <si>
    <t>BargainDo not let the East Germany circa Cold War period aesthetics put you off. 
This place is excellently placed around a 15 minute walk from Leicester 
Square and 10 minutes from 3 key Tube stations and is an absolute bargain 
for it. The staff are very polite and the breakfast sound, rooms and public 
areas are clean. The aircon/heating in our room were broken however they 
offered to move us rooms (which we declined as we were settled but the 
staff were more than happy to supply us with a portable heater and extra 
duvet which worked a treat). If staying in London to see a show I can’t 
recommend this place enough.Read moreDate of stay: January 20201 Helpful 
voteHelpfulShare</t>
  </si>
  <si>
    <t>Lovely breakfast.Lovely breakfast and great stay at good value for money hotel. Staff went 
out of their way to get our rooms near each other. Location is very handy 
and bus station is just by the hotel. Couldn't ask for anything better at 
this price.Read moreDate of stay: December 2019HelpfulShare</t>
  </si>
  <si>
    <t>stavrostrevlos wrote a review Dec 20192 contributions</t>
  </si>
  <si>
    <t>jessicabrannan2020 wrote a review Jan 20201 contribution</t>
  </si>
  <si>
    <t>Good for a budget hotel, exactly what we needed.Good location, cheap and cheerful. No frills but clean, etc. As expected 
and would use again to keep costs down on a family trip. Impressed they had 
veggie sausages on the breakfast but coffee wasn’t great.Read moreReview 
collected in partnership with TravelodgeDate of stay: January 
2020HelpfulShare</t>
  </si>
  <si>
    <t>Christmas holidaysIt was all almost perfect.The hotel was very clean,extremely warm and the 
staff very helpful.Bus station in front of the hotel,2 undergrounds very 
close,mini markets,fast food and coffee shops.The breakfast was very good 
with a lot of options,the dinner very good and a good value for money.The 
bar staff very warm and quick,especially Naser.The only bad things were 
that the toilet had no peagal as we were used to and the room servise when 
we asked to clean up our room,didn't change the toilet basket which was 
already foul.Read moreReview collected in partnership with TravelodgeDate 
of stay: December 2019HelpfulShare</t>
  </si>
  <si>
    <t>https://www.tripadvisor.co.uk/Hotel_Review-g186338-d193057-Reviews-or290-Travelodge_London_Covent_Garden-London_England.html#REVIEWS</t>
  </si>
  <si>
    <t>Emma wrote a review Jan 2020St Andrews, United Kingdom73 contributions24 
helpful votes</t>
  </si>
  <si>
    <t>https://www.tripadvisor.co.uk/Hotel_Review-g186338-d13569031-Reviews-or170-Travelodge_London_City_hotel-London_England.html#REVIEWS</t>
  </si>
  <si>
    <t>Oksana wrote a review Dec 2019Birmingham, United Kingdom11 contributions6 
helpful votes</t>
  </si>
  <si>
    <t>DisappointingHave stayed here on several occasions previous to this visit. Staff on 
check in were as usual courteous and efficient. The left luggage facility 
is a welcome one too. I thought this time that the hotel itself was dirty 
and down at heel. Our bed was clean and fresh but the room itself had not 
been hoovered properly. We were on the third floor and the corridor outside 
was dusty and the carpet very stained. Our bathroom was damp and the shower 
tray starting to separate from the floor. The bathroom smelled very badly 
of damp.Read moreDate of stay: January 20201 Helpful 
voteHelpfulShareResponse from TravelodgeUK, Ben from the Social Media Team 
at Travelodge London Covent GardenResponded 11 Jan 2020Thank you for taking 
the time to write a review about our London Covent Garden hotel. We're 
pleased to hear that you found the team to be courteous and efficient and 
your bed was clean however we are sorry to learn of your disappointment 
with the cleanliness of the room and bathroom. We appreciate all the 
feedback we receive and our Hotel Managers regularly review their 
TripAdvisor reviews in order to fix any issues raised and pass on feedback 
to their team. Thank you once again and we do hope you will stay with us in 
the future.Read more</t>
  </si>
  <si>
    <t>Great Hotel &amp; Superb Breakfast!Stayed one night with my daughter and had the best time. Clean and new 
hotel. Great location! Lovely breakfast staff and breakfast was great 
quality, not too many choices but just whats needed and covered all our 
needs!Read moreDate of stay: December 2019HelpfulShare</t>
  </si>
  <si>
    <t>King Johnson wrote a review Jan 20201 contribution</t>
  </si>
  <si>
    <t>Lovely getawayMy partner and i stayed in covent garden for new years, we arrived at night 
and were exhausted thankfully we were given a quiet room and the bed was so 
comfortable. At dinner the staff were immaculate and the food was 
deliciousRead moreDate of stay: December 2019HelpfulShare</t>
  </si>
  <si>
    <t>K J wrote a review Dec 2019Mount Vernon, New York6 contributions1 helpful 
vote</t>
  </si>
  <si>
    <t>Tayanna Ali Varela wrote a review Jan 20201 contribution</t>
  </si>
  <si>
    <t>No Frills Hotel Hits All The MarksI've now had the pleasure to stay in the hotel twice, each time was just as 
wonderful. This insanely affordable hotel, situated between 2 Tube stations 
(Aldgate &amp; Aldgate East), makes enjoying London an absolute joy! Check-In 
is wonderful and quick. They do have one quirk I'm not crazy about--you can 
reserve a room alone but those funds essentially work as a deposit, as 
you'll be required to provide full payment at check-in. Go with the 
SuperRoom! Yes, the difference between Basic &amp; Super are not grand but they 
make all the difference if you're planning a long stay there. Amenities l 
hairdryers, Irons, additional pillows make all the difference. 24/7 Kitchen 
is a wonderful add-on. London after a certain point during the night 
becomes an abyss of alcohol as most…Read moreDate of stay: December 
2019HelpfulShare</t>
  </si>
  <si>
    <t>Family friendly atmosphere.At first the kids were a bit skeptical but after speaking to some of the 
staff we found they may they were extremely friendly. Especially the 
manager who gave the kids chocolates. Anyway I must say that the food was 
very tasteful.Read moreDate of stay: January 2020HelpfulShare</t>
  </si>
  <si>
    <t>Leirelondon wrote a review Dec 201924 contributions7 helpful votes</t>
  </si>
  <si>
    <t>great value for moneyi stayed in a family room with my son just for one night. The room was 
clean and spacious, good size bathroom with a nice bath and shower. Tea and 
coffee facilities in the room. Bed super confortable, we had a great night 
sleep, no noise at all. The only negative was no views, window could only 
open a little bit . I got the room as part as a offer so it was amazing 
value for the money I paid. Breakfast time was very busy, food was running 
out all the time, didn't manage to try the vegetarian sausages but 
everything else was good.Read moreReview collected in partnership with 
TravelodgeDate of stay: December 2019HelpfulShare</t>
  </si>
  <si>
    <t>https://www.tripadvisor.co.uk/Hotel_Review-g186338-d193057-Reviews-or295-Travelodge_London_Covent_Garden-London_England.html#REVIEWS</t>
  </si>
  <si>
    <t>Coastal293163 wrote a review Dec 20191 contribution</t>
  </si>
  <si>
    <t>Fraggle3567 wrote a review Jan 2020Morecambe, United Kingdom2 contributions</t>
  </si>
  <si>
    <t>Great hotelReally enjoyed our stay here,nice rooms,comfortable bed and excellent 
staff.Loved the variety of tables for eating breakfast,all size groups 
catered for.The breakfast menu was good as was the evening dinner.The bar 
area was relaxing.Read moreReview collected in partnership with 
TravelodgeDate of stay: December 2019HelpfulShare</t>
  </si>
  <si>
    <t>Short theatre stay New Years Day 2020My daughter and I stayed in this hotel for two nights 1st and 2nd Jan 2020. 
We found it to be ideally placed for the theatre district and especially 
the Shaftesbury which is on the same block as one of the hotel sites.It was 
clean and welcoming and both of the reception staff were pleasant and 
friendly. We paid £10 extra for early check in and our room was ready which 
was brilliant after our long train journey from the NW.They had additional 
staff members giving out assistance as well as a well staffed reception and 
Ruth managed to answer our numerous enquiries throughout our stay. Our huge 
room on the 11th floor was quiet and we heard little traffic noise and, 
although the toilet sounded like a rocket landing when flushed, it didn't 
impede on our stay at all. The bed was comfy…Read moreReview collected in 
partnership with TravelodgeDate of stay: January 2020HelpfulShare</t>
  </si>
  <si>
    <t>Cruiser39947946429 wrote a review Jan 20204 contributions</t>
  </si>
  <si>
    <t>https://www.tripadvisor.co.uk/Hotel_Review-g186338-d13569031-Reviews-or175-Travelodge_London_City_hotel-London_England.html#REVIEWS</t>
  </si>
  <si>
    <t>Great location and very helpful staffSuperb central location if wanting to see some shows. Fantastic staff who 
were very helpful and professional. Clean and tidy rooms. The only downside 
would be the water from the shower was not as hot as I would have liked but 
it was warm enough to shower under. Would definitely recommend.Read 
moreReview collected in partnership with TravelodgeDate of stay: January 
2020HelpfulShare</t>
  </si>
  <si>
    <t>shabbagaz wrote a review Dec 2019Preston, United Kingdom110 contributions14 
helpful votes</t>
  </si>
  <si>
    <t>998susan wrote a review Jan 2020East Sussex2 contributions</t>
  </si>
  <si>
    <t>Decent stayStopped here for 3 nights two weeks ago and had a decent stay at this 
fairly new Travelodge. The hotel is in an excellent location - central 
London and right near two tube stations - Aldgate and Aldgate East (Aldgate 
being the closest - literally just round the corner. There is also 
Liverpool Street nearby which is a 10 minute walk away. It's also close to 
Tower Bridge which is only a 10/15 minute walk away. Check in was straight 
forward and thankfully this Travelodge have self check-in machines which 
makes it a breeze (hopefully these will be rolled out to other Travelodge 
hotels). My room was very spacious and came with a decent-sized TV. Despite 
the size of the room, the bathroom was oddly small and despite being 5'10" 
(not exactly a giant!) it was a tight squeeze. I…Read moreDate of stay: 
December 2019HelpfulShare</t>
  </si>
  <si>
    <t>Sue &amp; SteveHad read some bad reviews, but how wrong, Had a lovely stay, room was 
excellent and clean, had a super room well worth the extra price. Staff 
were great and friendly. Breakfast was lovely. Would definitely returnRead 
moreReview collected in partnership with TravelodgeDate of stay: December 
2019HelpfulShare</t>
  </si>
  <si>
    <t>MoMckendrick1 wrote a review Jan 2020Glasgow, United Kingdom52 
contributions28 helpful votes</t>
  </si>
  <si>
    <t>JES wrote a review Dec 20192 contributions</t>
  </si>
  <si>
    <t>Overall, a great stay!Spent four nights here over new year and on the whole it was a great stay! 
We paid extra for a 'super room' and it was really nice. Comfortable bed, 
clean bathroom, and pretty much all the amenities you'd expect in a modern 
hotel room. We would definitely stay in this hotel again. Really friendly 
staff and the location is second to none. A couple of pointers if I may. 
They have a check in system which does not allow staff to check people in 
until dead on two pm. This led to a huge queue at reception and very 
harassed staff (who were lovely, I should say!) Most hotels, if guests 
arrive a little early, will allow you to check in and leave your bag if the 
rooms not ready making life easier for staff and customers alike. Again, at 
check out, there was a massive queue which…Read moreDate of stay: January 
2020HelpfulShare</t>
  </si>
  <si>
    <t>1984 viewA restful stopoverin the heat of London with a view of Thames skyline. 
Great night's sleep and a complimentary coffee, to booy,in the morning. 
Tate and Lyle factory reminds you of the garage scene in the 'Great 
Gatsby.Read moreDate of stay: December 2019HelpfulShare</t>
  </si>
  <si>
    <t>dragon64_49 wrote a review Dec 2019Malta6 contributions2 helpful votes</t>
  </si>
  <si>
    <t>relaxing holidaythe place is well kept, and there is a very good breakfast, and snacks are 
available throughout the day and evening. The rooms are no so big, but big 
enough to go around all the bed. good water pressure, a couple of minutes 
ago from the tube stationRead moreReview collected in partnership with 
TravelodgeDate of stay: December 2019HelpfulShare</t>
  </si>
  <si>
    <t>https://www.tripadvisor.co.uk/Hotel_Review-g186338-d193057-Reviews-or300-Travelodge_London_Covent_Garden-London_England.html#REVIEWS</t>
  </si>
  <si>
    <t>Andrea R wrote a review Dec 2019Legnano, Italy18 contributions7 helpful 
votes</t>
  </si>
  <si>
    <t>Leanne C wrote a review Jan 202040 contributions7 helpful votes</t>
  </si>
  <si>
    <t>Great place to stay in LondonTravelodge in Middlesex Street is a great place to stay in London. We found 
this hotel after a long research online and we choose to stay there hoping 
it'll be a good choice... and so it was! Clean and tidy, good price for the 
value and comfortable! All was ok!Read moreReview collected in partnership 
with TravelodgeDate of stay: December 2019HelpfulShare</t>
  </si>
  <si>
    <t>https://www.tripadvisor.co.uk/Hotel_Review-g186338-d13569031-Reviews-or180-Travelodge_London_City_hotel-London_England.html#REVIEWS</t>
  </si>
  <si>
    <t>New Years 2 night stayStayed for 2 nights for New Year’s Eve, room was very dated and bathroom 
was really grubby with a disgusting shower curtain and a shower that had no 
power, went for breakfast actually looked good but shame about the taste 
beans stone cold hash browns cold too, bacon was like cardboard, my 
children wouldn’t touch it, orange juice was like water and coffee sprayed 
all over me that’s after standing in a queue for 5 mins to get a coffee, 
but there is something I would like to say the staff was very friendly 
especially New Year’s Eve, to spend the same amount as I would normally in 
a premier inn for New Years I will definitely be heading back to premier 
inn WestminsterRead moreDate of stay: January 2020HelpfulShareResponse from 
TravelodgeUK, Ben from the Social Media Team at Travelodge London Covent 
GardenResponded 11 Jan 2020Thank you for taking the time to write a review 
about our London Covent Garden hotel. We're pleased to hear that you found 
the team to be friendly however we are sorry to learn that you found the 
room to be dated and grubby and of your disappointment with the breakfast. 
We have an ongoing refurbishment program and, while we cannot refurbish 
every hotel simultaneously, we are working to make sure that hotels are 
refurbished regularly. We appreciate all the feedback we receive and our 
Hotel Managers regularly review their TripAdvisor reviews in order to fix 
any issues raised and pass on feedback to their team. Thank you once again 
and we do hope you will stay with us in the future.Read more</t>
  </si>
  <si>
    <t>Rachel B wrote a review Jan 2020Daventry, England, United Kingdom2 
contributions1 helpful vote</t>
  </si>
  <si>
    <t>Sherpa55975872304 wrote a review Dec 20192 contributions</t>
  </si>
  <si>
    <t>Worst hotel visit AVOID!Smallest room I’ve ever stayed in (room 721). Struggled to even fit in the 
room. No sleep due to an air vent above the bed blowing in cold air on my 
face. No way of turning it off. Ended up trying to sleep with my hat on. 
Breakfast was overpriced, too crowded, dirty, staff couldn’t keep up with 
demand. Watered down orange juice and apple juice essentially just sugar. 
Poor layout. Never again.Read moreDate of stay: January 
2020HelpfulShareResponse from TravelodgeUK, Ben from the Social Media Team 
at Travelodge London Covent GardenResponded 8 Jan 2020Thank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</si>
  <si>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Great location - excellent price for central LondonLocation is very central - very close to Aldgate &amp; Aldgate East tube 
stations - just a couple of tube stops from my client. The Price is very 
competitive for London. The standard room was a bit small and the bathroom 
was tiny - though I only stayed for one night so it was fine. The room was 
on the front of the building - the road is a cul-de-sac so almost no 
traffic noise but could hear people on the street talking. My room was 
close to the door to the lifts/stairs so I was woken to the sound of that 
door banging shut - Travelodge should install the doors used by their 
rivals Premier Inn!Read moreReview collected in partnership with 
TravelodgeDate of stay: December 2019HelpfulShare</t>
  </si>
  <si>
    <t>Gary O wrote a review Dec 2019Ashington, United Kingdom9 contributions12 
helpful votes</t>
  </si>
  <si>
    <t>Johndon120 wrote a review Jan 2020London, United Kingdom33 contributions34 
helpful votes</t>
  </si>
  <si>
    <t>Lovely StayWhat a lovely Hotel, friendly staff, warm cosy quiet rooms, decent food 
from a wide choice menu. It has been years since I stayed in a Travelodge 
and I have to say, based on this most recent stay I will definately be 
looking at Travelodge again in the future and in particular this Hotel. It 
is literally a stones throw from Aldgate Tube so getting around London was 
made really easy. Ideal location. I had two lovely long nights unbroken 
sleep, which is unheard of for me in a Hotel!Read moreReview collected in 
partnership with TravelodgeDate of stay: December 2019HelpfulShare</t>
  </si>
  <si>
    <t>Ivan wrote a review Dec 2019Bolton, United Kingdom2 contributions</t>
  </si>
  <si>
    <t>Overnight stay.Great location. Just a couple of minutes from covent garden. Room 528. It 
was ok. Small but ok. Duvet had some nasty yellow staining (don't know how 
well it shows in picture). Desk chair was dirty with lots of stains. Hairs 
on floor in bathroom. Could have been cleaner! Communal areas were also 
grubby with litter on floor. Mattress was firm but pillows very very soft 
which made for an uncomfortable sleep. We also found the room very warm and 
turned the thermostat down which resulted in a noisy AC unit coming on. 
Breakfast was absolute carnage. Food was ok but area was packed with long 
queues to get a hot drink and people packed in on tables with not much 
space. Staff trying to clear tables are pushing through with laden trays 
causing even more problems. Every time someone walked…Read moreDate of 
stay: December 2019HelpfulShareResponse from TravelodgeUK, James from the 
Social Media Team at Travelodge London Covent GardenResponded 3 Jan 
2020Thank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</si>
  <si>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Very pleasant stayThis is the cheapest and the best hotel I have ever been! The staff at the 
hotel was absolutely amazing from check-in to check-out. Any time I need 
something they are very receptive. Would highly recommend this hotel to 
everyone!Read moreDate of stay: August 2019HelpfulShare</t>
  </si>
  <si>
    <t>https://www.tripadvisor.co.uk/Hotel_Review-g186338-d193057-Reviews-or305-Travelodge_London_Covent_Garden-London_England.html#REVIEWS</t>
  </si>
  <si>
    <t>crais0n wrote a review Dec 20191 contribution</t>
  </si>
  <si>
    <t>Rachel P wrote a review Jan 2020Marlow, United Kingdom6 contributions3 
helpful votes</t>
  </si>
  <si>
    <t>Travellodge London City AldgateVery Clean and Fresh, good location, easy access to transport across 
London, staff on the front desk were excellent very helpful, friendly and 
pleasant. Had to leave early in the morning so can't comment on breakfast 
but the Travelodge was in good order throughout looks pretty new,Read 
moreReview collected in partnership with TravelodgeDate of stay: December 
2019HelpfulShare</t>
  </si>
  <si>
    <t>https://www.tripadvisor.co.uk/Hotel_Review-g186338-d13569031-Reviews-or185-Travelodge_London_City_hotel-London_England.html#REVIEWS</t>
  </si>
  <si>
    <t>Basic and not properly cleanedWe paid £200 for a standard double room on New Year’s Eve and it is fair to 
say that Travelodge is no competition for Premier Inn. Basics such as a 
hairdryer, a bathmat and a hand towel are not routinely supplied and have 
to be requested and collected from reception. The kettle worked but two 
teabags and no biscuits could never be described as a warm welcome. The bed 
was comfortable but not king sized as described. The bathroom had not been 
properly cleaned and there were residues of hair and dirt in the basin and 
brown splash marks on the surrounding tiles. The soap dispenser by the sink 
was empty on arrival which I ignored, a decision I later regretted when the 
soap dispenser in the shower inconveniently ran out while taking a shower. 
There are no phones in the rooms so the…Read moreDate of stay: December 
2019HelpfulShareResponse from TravelodgeUK, James from the Social Media 
Team at Travelodge London Covent GardenResponded 3 Jan 2020Thank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</si>
  <si>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Daydream42204 wrote a review Dec 20192 contributions</t>
  </si>
  <si>
    <t>Buckingham T wrote a review Jan 20205 contributions</t>
  </si>
  <si>
    <t>Lady alone 73I stayed at London City Travelodge mon-tues, very near Aldgate tube to the 
Southbank. It was a warm comfortable place to come home to after a lot of 
walking and all the staff were kind and helpful. Bed comfy. Buffet 
breakfast very good and included in the price. Evening meal ‘bog-standard ‘ 
but lots of it and there when you need it with lovely bar staff.Read 
moreReview collected in partnership with TravelodgeDate of stay: December 
2019HelpfulShare</t>
  </si>
  <si>
    <t>Henry C wrote a review Dec 2019London, United Kingdom28 contributions14 
helpful votes</t>
  </si>
  <si>
    <t>not greatwe stayed her over the weekend as a base to visit the sights with our 
family. the location was brilliant. thats were the positives end really, we 
had booked 2 family rooms one for 2 adults and 2 children and the other for 
2 adults and a cot for the baby. we checked in and went to our rooms which 
were next to each other which was nice, no cot in my daughters room and 
only 1 childs bed in our room. so we went down to ask for the cot and the 
extra bed we qued for a long time at reception to be told that they would 
be right up and that they were very busy. so we went out and came back 2 
hours later to let the children take a nap no cot or extra bed so my 
daughter went back down and qued again and was told by a very rude lady we 
are too busy to do anything at the minute.so we took…Read moreDate of stay: 
December 2019HelpfulShareResponse from TravelodgeUK, James from the Social 
Media Team at Travelodge London Covent GardenResponded 3 Jan 2020Thank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</si>
  <si>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Andrew B wrote a review Jan 2020Bury St Edmunds, United Kingdom46 
contributions9 helpful votes</t>
  </si>
  <si>
    <t>Mid week rip offPaid £250 for a £40 room. Mid week is a rip off. Very basic and they have 
the cheek to charge for wifi. No proper hotel service for hotel prices. Had 
to use my mobile to call reception (they charge 13p per min for calling 
their number). Total joke.Read moreDate of stay: December 
2019HelpfulShareResponse from TravelodgeUK, Ben from the Social Media Team 
at Travelodge London City hotelResponded 15 Dec 2019Thank you for taking 
the time to write a review about our London City hotel. We are sorry to 
learn that you did not find your room to be of great value, and we are 
sorry to learn of the disappointment caused by other aspects of your stay.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We appreciate all the feedback we receive and our Hotel 
Managers regularly review their TripAdvisor reviews in order to fix any 
issues raised and pass on feedback to their team. Thank you once again and 
we do hope you will stay with us in the future.Read more</t>
  </si>
  <si>
    <t>NickyWalker2018 wrote a review Dec 2019Loughborough, United Kingdom2 
contributions16 helpful votes</t>
  </si>
  <si>
    <t>Excellent customer serviceI would like to commend the staff at this hotel for their warmth and 
professionalism. We booked for one night as we were visiting an attraction 
nearby. The staff went out of their way to help us. Out dinner was slightly 
delayed but the waiter constantly apologised and brought us additional 
drinks whilst we waited. We needed a taxi and the usual firm used said none 
were available. A member of staff walked down to the main road and flagged 
one down for us. I have stayed at many (much more expensive) hotels in 
London and have been disappointed the staff attitude and lack of customer 
service, the staff here outdid them all. Thank youRead moreDate of stay: 
December 2019HelpfulShare</t>
  </si>
  <si>
    <t>KAREN W wrote a review Dec 20191 contribution</t>
  </si>
  <si>
    <t>Excellant LocationClose to Algate Station 10min walk to Tower Bridge Close to christmas 
market stalls Petticoat lane market on the door step, even though clothes 
looked bit dated :) Bus stop 10min walk into centre of London, with shops 
bars cafes restaurants on the wayRead moreReview collected in partnership 
with TravelodgeDate of stay: December 2019HelpfulShare</t>
  </si>
  <si>
    <t>New Year's Eve stayWe have stayed at this hotel a couple of times, and we always find the 
rooms sparse compared to some other budget brandss. The bathroom looked a 
little tired, with missing screws from the peeling bath panel and a sink 
which had lost its sheen and had numerous scratches in it. The bath taps 
could have done with industrial descaler too. The amount of tea, coffee, 
milk and sweetners is not enough for an overnight stay (certainly no more 
than two drinks per person). There are also no drinking glasses in the 
room, and it would seem that two large bath towels are deemed sufficient 
for bathing, showeing and hair drying. And there was no bath mat for the 
floor - far from ideal when setting out of the bath/shower. That said, the 
room was quiet and comfortable for what we needed,…Read moreReview 
collected in partnership with TravelodgeDate of stay: January 
2020HelpfulShare</t>
  </si>
  <si>
    <t>Mike B wrote a review Jan 2020Oxford, United Kingdom6 contributions4 
helpful votes</t>
  </si>
  <si>
    <t>https://www.tripadvisor.co.uk/Hotel_Review-g186338-d13569031-Reviews-or190-Travelodge_London_City_hotel-London_England.html#REVIEWS</t>
  </si>
  <si>
    <t>£200 per night I expect a room Clean and not Needing maintenance£200 for 1 night I expect a room Clean and not Needing maintenance , tiles 
and flooring coming off in bathroom , when there’s no enough sockets in 
room and one is already broke , need to invest in usb sockets , double bed 
suffered roll together and single beds were too hard to sleep . If your 
going to charge £200 for 1 night Make it a hotel not a squat Room 469Read 
moreReview collected in partnership with TravelodgeDate of stay: December 
2019HelpfulShareResponse from TravelodgeUK, James from the Social Media 
Team at Travelodge London Covent GardenResponded 3 Jan 2020Thank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</si>
  <si>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https://www.tripadvisor.co.uk/Hotel_Review-g186338-d1812157-Reviews-or45</t>
  </si>
  <si>
    <t>shelley137 wrote a review Jan 2020Johannesburg South, South Africa1 
contribution</t>
  </si>
  <si>
    <t>Travelodge covent gardenVery friendly staff &amp; alot of staff so no waiting in ques if you have a 
query. Rooms were clean, coffee and tea supplied with kettle, beds 
comfortable with extra pillows, breakfast good, luggage lockers available &amp; 
we had an enjoyable stay.Read moreReview collected in partnership with 
TravelodgeDate of stay: December 2019HelpfulShare</t>
  </si>
  <si>
    <t>markgiles2019 wrote a review Dec 2019Leeds, United Kingdom1 contribution</t>
  </si>
  <si>
    <t>Great locaton, comfortable and value for moneyVery nice place and the location was fantastic being next to the tube 
station. Friendly staff, clear, comfortable, tidy and value for money. The 
rooms looked modern, clean bedding and the shower was hot and powerful. 
Pleasant stay all round.Read moreReview collected in partnership with 
TravelodgeDate of stay: December 2019HelpfulShare</t>
  </si>
  <si>
    <t>https://www.tripadvisor.co.uk/Hotel_Review-g186338-d193057-Reviews-or310-Travelodge_London_Covent_Garden-London_England.html#REVIEWS</t>
  </si>
  <si>
    <t>Hannah C wrote a review Dec 2019Totnes, United Kingdom21 contributions6 
helpful votes</t>
  </si>
  <si>
    <t>Comfortable and caringWe stayed here for one night while meeting as a family on London. For just 
over £100 we weren’t expecting much but we were pleasantly surprised. It 
was clean, comfortable and in a great location. Staff couldn’t have been 
more helpful (even when we lost our case!) they were incredibly friendly 
and efficient and in what was a very busy hotel. Thank you for making our 
stay. Would certainly recommend.Read moreDate of stay: December 
2019HelpfulShare</t>
  </si>
  <si>
    <t>AR29499 wrote a review Jan 2020Bath, United Kingdom33 contributions13 
helpful votes</t>
  </si>
  <si>
    <t>Laura T wrote a review Dec 2019Middlesbrough, United Kingdom2,645 
contributions373 helpful votes</t>
  </si>
  <si>
    <t>AverageStayed here just before Christmas for a night and was just ok. A great 
location but felt it lacked basic facilities and manners from staff. 
Luckily we only used the room to sleep in so we didn't really have any 
complaints, it was also fairly cheap for a night in December.Read moreDate 
of stay: December 2019HelpfulShare</t>
  </si>
  <si>
    <t>x1975 wrote a review Jan 202055 contributions15 helpful votes</t>
  </si>
  <si>
    <t>excellent location, friendly staff and clean roomsThe staff at the front desk were very friendly and helpful during our stay, 
from check in to check out. It appears to be this hotel’s policy that they 
charge for early access to the room regardless of whether there is actually 
any availability or not! But they were happy to store our luggage for us, 
so we could go off and explore. It is very strange how Travelodge policies 
differ from hotel to hotel. Most hotels seem to allocate specific rooms for 
pets and the rest are designated to be pet free. This hotel however appears 
to allow pets in all rooms. Although I was told that whenever a pet stays 
over the room is then deep cleaned, I was concerned due to my allergies. We 
were told pets generally stay on lower floors, so we were kindly allocated 
a room on the fourth floor to…Read moreDate of stay: November 
2019HelpfulShare</t>
  </si>
  <si>
    <t>New year celebrationsStayed in this hotel 2 yrs ago and was very pleased but this time there 
were so many things I didn't like. The room was on the ground floor and was 
so dark and dismal the bathroom light was ridiculous the shower was like a 
machine gun going off and other showers sounded the same. The noise inside 
and outside the hotel was awful and made for a couple of sleepless nights. 
The pillows were so hard and the towels were so thin I stay in a lot of 
travelodges and never had such thin old towels. The room was very small and 
cramped.We were given wrong info from staff about the carpark as ncp would 
not accept the code but the travelodge around the corner gave us a discount 
card to use and were very helpful, I know this is only a budget hotel but 
we did pay £334 for 2 nights so did at…Read moreDate of stay: December 
2019HelpfulShareResponse from TravelodgeUK, Ben from the Social Media Team 
at Travelodge London Covent GardenResponded 9 Jan 2020Thank you for taking 
the time to write a review about our London Covent Garden hotel. We're 
pleased to hear that you liked the hotels location and you found the team 
to be pleasant however we are sorry to learn of your disappointment with 
the room and facilities and that your stay was affected by external noise 
and noise from other guests. If customers are causing noise that may 
disrupt other guests our hotel teams will ensure that they politely ask 
them to lower the noise levels. We strive to make our customers as 
comfortable as possible and we would like to apologise if on this occasion 
we were not able to offer you a good night's sleep.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</si>
  <si>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https://www.tripadvisor.co.uk/Hotel_Review-g186338-d13569031-Reviews-or195-Travelodge_London_City_hotel-London_England.html#REVIEWS</t>
  </si>
  <si>
    <t>Yannis Ouzounidis wrote a review Jan 2020Rhodes, Greece1 contribution</t>
  </si>
  <si>
    <t>Peter C wrote a review Dec 20191 contribution</t>
  </si>
  <si>
    <t>Last minute business tripVery welcoming and friendly reception. Very helpful especially when I 
needed an iron and the stock were all out, one once found and brought to 
me. Then once I'd departed I found I had left my phone charger in the room 
so I phoned through and the lovely receptionist (Abeda) went to the room, 
collected it and posted it on to me. Fantastic service. Hotel was very 
clean and comfortable. Thank you.Read moreDate of stay: November 
2019HelpfulShare</t>
  </si>
  <si>
    <t>Not good at all.The location was very good. I do not recommend this hotel in overall. The 
main area and the restaurant was awful. The service was not good at all. 
Also the rooms wan not in new condition. Very old. Needs renovating. I will 
not choose this kind of hotel again..Read moreReview collected in 
partnership with TravelodgeDate of stay: December 2019HelpfulShareResponse 
from TravelodgeUK, Shaf from the Social Media Team. at Travelodge London 
Covent GardenResponded 2 Jan 2020Thank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</si>
  <si>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Cameron M wrote a review Dec 2019Ipswich, United Kingdom7 contributions</t>
  </si>
  <si>
    <t>Joanne P wrote a review Jan 2020Alicante, Spain264 contributions98 helpful 
votes</t>
  </si>
  <si>
    <t>Amazing!Great place, very friendly, enthusiastic staff who make it more enjoyable, 
everything worked well and it’s ideal if you’re staying in London for a few 
nights as it’s just 10 seconds (literally) round the corner from Aldgate 
Station. Overall a pleasant experience.Read moreDate of stay: December 
2019HelpfulShare</t>
  </si>
  <si>
    <t>Hen Party Weekend 28th DecCannot speak highly enough of this hotel. Whilst basic which is normal for 
travel lodges, you had everything you needed in the room and it was very 
clean. Check in staff were exceptional at all times, nothing was too much 
trouble. Breakfast was amazing too, will definitely be back when in 
London!Read moreDate of stay: January 2020HelpfulShare</t>
  </si>
  <si>
    <t>Liz F wrote a review Dec 20191 contribution</t>
  </si>
  <si>
    <t>Amazing serviceI was saved today by one of the women on reception when I ran into 
technical difficulty (she know's who she is) She went above and beyond 
meaning I didnt need to leave the hotel and could get on with working! I've 
stayed here a few times now for work and will 100% be back with the great 
service I received. Thank you so much :)Read moreDate of stay: December 
2019HelpfulShare</t>
  </si>
  <si>
    <t>https://www.tripadvisor.co.uk/Hotel_Review-g186338-d193057-Reviews-or315-Travelodge_London_Covent_Garden-London_England.html#REVIEWS</t>
  </si>
  <si>
    <t>Gary B wrote a review Jan 2020Dublin, Ireland22 contributions7 helpful votes</t>
  </si>
  <si>
    <t>Jess C wrote a review Dec 2019Aberdeen26 contributions9 helpful votes</t>
  </si>
  <si>
    <t>Great locationFirst all all this hotel is not down a dodgy street at all and we felt very 
safe in the area. Few minutes from two tube stations and a few cafes and a 
Tesco not far away. Nice powerful shower and clean. We didn't eat in the 
restaurant so can't comment on this. Staff are very friendly and helpful. 
We had a quiet room (313).Read moreDate of stay: December 2019HelpfulShare</t>
  </si>
  <si>
    <t>Covent Garden stay.Great location for stay and the staff we encountered were very friendly. 
But the room we stayed in needs updating. Window was broken and needed to 
call for maintenance at 11.30 pm. Other bits that could be changed to make 
the room look tidy would be fix the curtain rail back into the ceiling, 
Replaced the grubby kettle, replace the water stained ceiling tile and 
replace the dirty lamp shades. We did complain and was given some 
compassion and my partner has stayed in this hotel before and said it was 
very tidy in her room on previous visit.Read moreDate of stay: January 
2020HelpfulShareResponse from TravelodgeUK, James from the Social Media 
Team at Travelodge London Covent GardenResponded 3 Jan 2020Thank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</si>
  <si>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caz277 wrote a review Dec 20192 contributions</t>
  </si>
  <si>
    <t>Julioc72 wrote a review Dec 20192 contributions</t>
  </si>
  <si>
    <t>Very helpful staffA large family group of us stayed here, needing 4 standard family rooms. I 
have stayed in Travelodges elsewhere and this new hotel is definitely much 
better. Rooms were clean, big enough to accommodate a double and two single 
beds, and very quiet at night. Best thing about the hotel was the staff - 
everyone was friendly and incredibly helpful, e.g. moving tables and chairs 
in the cafe bar without being asked to allow us all to sit together. Good 
location with easy transport links. Excellent buffet breakfast. Would stay 
again.Read moreDate of stay: November 2019HelpfulShare</t>
  </si>
  <si>
    <t>Good valueSuperb location, reasonable price, very good breakfast. However air 
conditioning/heating did not work and we were given a portable heater, 
which solved the problem. Would stay there again when I travel to London in 
the future.Read moreReview collected in partnership with TravelodgeDate of 
stay: December 2019HelpfulShare</t>
  </si>
  <si>
    <t>https://www.tripadvisor.co.uk/Hotel_Review-g186338-d13569031-Reviews-or200-Travelodge_London_City_hotel-London_England.html#REVIEWS</t>
  </si>
  <si>
    <t>Dave L wrote a review Dec 2019Cranfield, United Kingdom27 contributions9 
helpful votes</t>
  </si>
  <si>
    <t>Very niceWas that good in April, so we returned in November for a 1 night. It is 
also very close to an Underground, so not far to walk either. So that made 
it alot easier. I would certainly return to this Travelodge again.Read 
moreDate of stay: April 2019HelpfulShare</t>
  </si>
  <si>
    <t>RSG65 wrote a review Dec 2019Plymouth, United Kingdom21 contributions5 
helpful votes</t>
  </si>
  <si>
    <t>Great location within the square mileThis Travelodge is a great place to stay, only a couple of minutes walk 
from two tube stations Aldgate and Aldgate East, it’s also very close to 
Fernchurch street and the iconic skyscrapers nearby making a fantastic 
skyline, there are also lots of restaurants and pubs close by. The hotel it 
self is new, clean, and comes with very attentive staff, we had a super 
room which was worth the small amount of extra money, in my opinion very 
good value. In conclusion, I thoroughly recommend this Travelodge.Read 
moreDate of stay: November 2019HelpfulShare</t>
  </si>
  <si>
    <t>https://www.tripadvisor.co.uk/Hotel_Review-g186338-d193057-Reviews-or320-Travelodge_London_Covent_Garden-London_England.html#REVIEWS</t>
  </si>
  <si>
    <t>Katharine B wrote a review Nov 2019Glasgow, United Kingdom15 contributions2 
helpful votes</t>
  </si>
  <si>
    <t>ocean276 wrote a review Dec 2019Derby, United Kingdom90 contributions43 
helpful votes</t>
  </si>
  <si>
    <t>Adequate -justBooked in advance to for a theatre trip just after Christmas. Our stay was 
just about adequate. Pros - good location &amp; easy to get to from tube 
stations. Staff friendly. Good value when booked in advance for a central 
London hotel. Comfy bed. Public areas in reception were bright. Cons - poor 
maintenance in rooms. Light didn’t work properly, tap lose, bathroom not 
that clean. Carpets in hallways are stained. Think the hotel needs an 
overhaul - very tired and worn. Stayed in Travelodges before but this one 
didn’t really live up to the mark except for the friendly staff and good 
location.Read moreDate of stay: December 2019HelpfulShare</t>
  </si>
  <si>
    <t>Really disappointedWas wary booking a travelodge but the good reviews of this one convinced me 
that this one would be okay. I was really annoyed at myself as it was very 
poor. I booked well in advance but despite this was given an awful room on 
the 1st Floor. The room had a tiny window in the corner which backed 
straight onto another building and had frosted glass. This meant that the 
room was extremely dark and claustrophobic. There was a mirror by the 
window but no lights nearby so you couldn’t actually see yourself in it. 
The bathroom was average, pretty small with an ineffective shower curtain 
which disgustingly clung to you during your shower and the floor ended up 
flooded and didn’t dry for the full 3 days we were there Location is okay - 
nearish a couple of tube stations but down a…Read moreDate of stay: 
November 20191 Helpful voteHelpfulShareResponse from TravelodgeUK, Zack 
from The Social Media Team at Travelodge London City hotelResponded 28 Nov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</si>
  <si>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ushasundaram wrote a review Dec 2019Las Vegas, Nevada22 contributions7 
helpful votes</t>
  </si>
  <si>
    <t>JaneyB wrote a review Nov 2019Edinburgh, United Kingdom6 contributions4 
helpful votes</t>
  </si>
  <si>
    <t>sub-par maintenance and cleanlinessConveniently located for Covent Garden and Piccadilly. Room was somewhat 
cramped. Maintenance and cleanliness were below par. Wastepaper basket had 
not been cleared from previous occupant. Shower gel dispenser was 
broken.Read moreReview collected in partnership with TravelodgeDate of 
stay: December 2019HelpfulShare</t>
  </si>
  <si>
    <t>Great base for a weekend in LondonDefinitely a step up from a standard Travelodge. Super room was excellent. 
Great location and reception staff were professional, friendly and helpful. 
Special praise for Sergio who was excellent on our arrivalRead moreReview 
collected in partnership with TravelodgeDate of stay: November 
2019HelpfulShare</t>
  </si>
  <si>
    <t>ellouisechampion wrote a review Dec 2019Thurrock, United Kingdom26 
contributions9 helpful votes</t>
  </si>
  <si>
    <t>https://www.tripadvisor.co.uk/Hotel_Review-g186338-d13569031-Reviews-or205-Travelodge_London_City_hotel-London_England.html#REVIEWS</t>
  </si>
  <si>
    <t>Work Christmas PartyGreat location!! Very easy to get to Covent Garden and local tubes. 
Friendly staff and easy to check in. However, the bathroom in the room was 
not to the cleaning standards I am use to from the travel lodge - I am 
unsure if my bathroom had been cleaned at all from the last guess due to 
stains and simple to clean mess! It was a shame that my bathroom let my 
stay down due to the bed being very comfortable and as I say the staff 
being very helpful and friendly! Should our business venture to this 
location again we would stay but would have to inform staff of the basic 
standards which is a real shame for the price - and amount of rooms we 
booked!Read moreDate of stay: December 2019HelpfulShare</t>
  </si>
  <si>
    <t>Mouse wrote a review Nov 2019Lancashire, United Kingdom5 contributions</t>
  </si>
  <si>
    <t>LauraTitley wrote a review Dec 2019Birmingham, United Kingdom130 
contributions37 helpful votes</t>
  </si>
  <si>
    <t>Location location locationFabulous Travelodge, excellent price for the location. Within walking 
distance of many attractions &amp; transport links just around the corner. 
Would definitely stay again. Very clean room that smelt lovely &amp; new. Very 
quiet considering it is fairly close to everything. Staff friendly &amp; 
helpful.Read moreReview collected in partnership with TravelodgeDate of 
stay: November 2019HelpfulShare</t>
  </si>
  <si>
    <t>Great budget hotel in good locationStayed the weekend before Christmas for some festive fun. Stayed in one of 
the saver rooms which gives you bit of extra space and few extras which 
make the stay more comfortable. I’m the hotel was clean and modern. The 
location is great just 5 minutes to Covent Garden square. Great place would 
recommendRead moreDate of stay: December 2019HelpfulShare</t>
  </si>
  <si>
    <t>Hexhamambyth wrote a review Nov 2019Hexham, United Kingdom77 
contributions35 helpful votes</t>
  </si>
  <si>
    <t>https://www.tripadvisor.co.uk/Hotel_Review-g186338-d193057-Reviews-or325-Travelodge_London_Covent_Garden-London_England.html#REVIEWS</t>
  </si>
  <si>
    <t>great quality bargain hotelreally easy to find - just 100 metres from Aldgate tube - but requested a 
quiet room - and it was very quiet (for central London). a newish hotel 
with great comfortable rooms &amp; good shower facilities. 2 mile walk back to 
central London, through really interesting areas with great 
architectureRead moreReview collected in partnership with TravelodgeDate of 
stay: November 20191 Helpful voteHelpfulShare</t>
  </si>
  <si>
    <t>Rebecca W wrote a review Dec 20191 contribution</t>
  </si>
  <si>
    <t>Emma B wrote a review Nov 2019Chandler’s Ford, United Kingdom37 
contributions8 helpful votes</t>
  </si>
  <si>
    <t>Will be staying againWe have stayed in many Travelodge’s and this one is was the best one we 
stayed in staff so friendly and helpful. It was my daughters birthday and 
she was given chocolate and her brother when we checked in ���� which was 
lovely. Room really clean and very comfy and the location just perfect 2 
min walk to the underground and best bit no noise only room doors closing 
but we only heard twice! Thank you for a great night and we will recommend 
and stay again which we’re all ready planning ����Read moreDate of stay: 
November 2019HelpfulShare</t>
  </si>
  <si>
    <t>Rock hard bed felt like cementThe service team at the hotel was great. The bed and pillows, however were 
EXTREMELY uncomfortable. The bed felt like sleeping on cement. The room was 
fairly clean but could have been a bit better in that respect. The location 
was very convenient to train stations and places to eat but the diminished 
quality of sleep due to the bed and pillows would be cause for me not to 
stay there again.Read moreReview collected in partnership with 
TravelodgeDate of stay: December 2019HelpfulShareResponse from 
TravelodgeUK, Zack from The Social Media Team at Travelodge London Covent 
GardenResponded 30 Dec 2019May we thank you for sharing your review of our 
London Covent Garden Travelodge. We would like to apologise that you did 
not enjoy our king size Dreamer bed, please rest assured we will pass your 
feedback to the support centre for you. On a brighter note, we are pleased 
to hear that you found our staff to be kind and helpful during your stay 
and that the location of the hotel was ideal. Thank you for posting your 
invaluable comments that will enable us to improve the service we offer. We 
hope to see you again soonRead more</t>
  </si>
  <si>
    <t>martinsnos wrote a review Nov 2019Bristol, United Kingdom333 
contributions49 helpful votes</t>
  </si>
  <si>
    <t>Fully recommend stayingNot my first review but this place is consistently good. I think it is 
summed up in that you leave and looking back there is nothing to fault and 
indeed a lot to praise. However - note that this is a budget hotel - there 
is (as expected) no luxury. That said: Great location for City and central 
tourists spots (and close to tube for more outlying places). Easy 
check-in/out (shake it all about!!!). Friendly staff. Lifts frequent and 
work! Comfortable room (mine didn’t have a bath - so ask if you need 1). 
For those unsure you get all bedding, tv, liquid soap, towels and coffee 
and tea making. Breakfast has a good choice (I can’t comment on the cooked 
breakfast as have not had). Dinner is basic but a reasonable price for a 
London hotel. I had pizza (nice) and chips and pudding -…Read moreDate of 
stay: November 20191 Helpful voteHelpfulShare</t>
  </si>
  <si>
    <t>Vidya M wrote a review Dec 2019Uttoxeter, United Kingdom1 contribution</t>
  </si>
  <si>
    <t>https://www.tripadvisor.co.uk/Hotel_Review-g186338-d13569031-Reviews-or210-Travelodge_London_City_hotel-London_England.html#REVIEWS</t>
  </si>
  <si>
    <t>Disturbed nightThe fire alarm kept going off all night and being a 35 week pregnant lady 
doesn't make it easy. The bathroom floor had not been cleaned and was 
sticky. Hope to hear a response from the management regarding all the 
inconvenience caused!Read moreDate of stay: December 
2019HelpfulShareResponse from TravelodgeUK, Zack from The Social Media Team 
at Travelodge London Covent GardenResponded 29 Dec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</si>
  <si>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Experience664152 wrote a review Nov 20191 contribution</t>
  </si>
  <si>
    <t>https://www.tripadvisor.co.uk/Hotel_Review-g186338-d193057-Reviews-or330-Travelodge_London_Covent_Garden-London_England.html#REVIEWS</t>
  </si>
  <si>
    <t>kairo12019 wrote a review Dec 2019Bergen, Norway1 contribution</t>
  </si>
  <si>
    <t>Used to be great value for money but prices increasingStay here on regular basis and used to be good value if booking in advance. 
Now for a flexible room the price is often £170 per night which is way too 
expensive when just want somewhere to crash for a few hours. Other much 
better boutique hotels available for cheaper / same ratesRead moreReview 
collected in partnership with TravelodgeDate of stay: November 
2019HelpfulShareResponse from TravelodgeUK, Ben from the Social Media Team 
at Travelodge London City hotelResponded 18 Nov 2019Thank you for taking 
the time to write a review about our London City hotel. We're pleased to 
hear that you have enjoyed previous stays at this hotel however we are 
sorry to learn that you did not find your room to be of great value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</si>
  <si>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Pellegrino7 wrote a review Nov 20191 contribution</t>
  </si>
  <si>
    <t>RecomendGreat location. Great price for hotelroom. Stayed here 2 times now, for our 
yearly London trip for myself and my daughter. About 100 meter to walk, to 
bus nr 55, wich take you to Oxford Street, OR, you can walk there in about 
12 min. Also easy to walk to Novello Theatre, Picadelly Circus. Recomend 
this hotel to all my friends in Norway that ask my wich hotel to choose in 
London. We'll choose this hotel when we will travel for a new shopping-trip 
to London. Great rooms, friendly people working there, thats serviceminded, 
and CLEAN place.Read moreReview collected in partnership with 
TravelodgeDate of stay: December 2019HelpfulShare</t>
  </si>
  <si>
    <t>Value for MoneyLocation: perfect Room: value for money Employees: polite and willing to 
assist when asked Environment: pleasant Bar &amp; Restaurant: did not use 
either and consequently we cannot make any comment Overall: 4.8 out of 
5Read moreDate of stay: November 2019HelpfulShare</t>
  </si>
  <si>
    <t>Magic Entertain... C wrote a review Dec 2019London, United Kingdom5 
contributions1 helpful vote</t>
  </si>
  <si>
    <t>https://www.tripadvisor.co.uk/Hotel_Review-g186338-d1812157-Reviews-or50</t>
  </si>
  <si>
    <t>Robert R wrote a review Nov 2019Bristol, United Kingdom2 contributions1 
helpful vote</t>
  </si>
  <si>
    <t>another great stayThis Travelodge met all our requirements and was possibly the best i have 
stayed in . Very comfortable stay,perfect heating at night and nice sleep 
on a medium new looking mattress. Very clean and no odours or dust etc, 
good shower and all the usual things you would need for your stay. situated 
mins from East Aldgate station and shops within walking distance, Bus stop 
to London center is just almost across the road, Staff are friendly and one 
printed off a timetable and what bus stop and bus to catch so yes a easy 
happy stay.Read moreReview collected in partnership with TravelodgeDate of 
stay: November 2019HelpfulShare</t>
  </si>
  <si>
    <t>Worst and worstI book since 3 years in this hotel every 2 weeks I come in London for my 
company... I have spent about 17.000 pound but did they think I am a good 
client? No they don't care about you... They are lucky because the 
emplacement is good... But since 6 months ago it's start... Get a room not 
cleaning... Always problem with the either normal room or super room the 
same fight...noise all the night... Either cold air impossible to sleep... 
Sheet destroyed... Bed not so good old one not changer... So many small 
problem, but when you paid they must give you for what you have paid... But 
not there yesterday 26 December 2019... I have changed 3 times a room to 
get a very small room ground floor very noisy and I go to the desk office 3 
time more no remote control TV, I get it it was broken…Read moreDate of 
stay: September 2019HelpfulShareResponse from TravelodgeUK, Shaf from the 
Social Media Team. at Travelodge London Covent GardenResponded 29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</si>
  <si>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rjd14 wrote a review Dec 2019Belfast, United Kingdom28 contributions10 
helpful votes</t>
  </si>
  <si>
    <t>Good value for moneyStayed here for 2 days in a family room at the High Holborn site. Staff 
were really friendly, got a travel cot in the room within minutes of 
arrival and the room was very spacious. The price was really good value 
considering the location of the hotel. The room had everything you’d need 
for a city break and was quiet even though it was on a busy street. The 
selection at breakfast was great and fresh food brought out regularly.Read 
moreDate of stay: December 2019HelpfulShare</t>
  </si>
  <si>
    <t>gaylesimmons90 wrote a review Dec 20191 contribution</t>
  </si>
  <si>
    <t>https://www.tripadvisor.co.uk/Hotel_Review-g186338-d13569031-Reviews-or215-Travelodge_London_City_hotel-London_England.html#REVIEWS</t>
  </si>
  <si>
    <t>ssstiles2019 wrote a review Nov 20191 contribution</t>
  </si>
  <si>
    <t>Not what I payed for !!!!Went to Covent garden Travelodge to check in too be told I'm in a family 
room down the road in an different hotel , this is not what I payed for , 
The other hotel is basic , the rooms need updating,bedding was old and 
needs throwing away , the bar didn't have beer on tap so had to walk back 
to Covent garden my original choice for a decent beer as they only sold 
beer in a bottle , all in all this was not a good experience . Will not be 
booking again 1*Read moreReview collected in partnership with 
TravelodgeDate of stay: December 2019HelpfulShareResponse from 
TravelodgeUK, Zack from The Social Media Team at Travelodge London Covent 
GardenResponded 26 Dec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</si>
  <si>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Amazing stayMe and my friend had an amazing experience at this hotel. The staff are so 
welcoming an very helpful. Omar and Gizelle were both very attentive at the 
bar, i will definitely be staying again. Thank you Travelodge LondonRead 
moreReview collected in partnership with this hotelDate of stay: October 
2019HelpfulShare</t>
  </si>
  <si>
    <t>UkBritAbroad wrote a review Nov 2019Uk250 contributions84 helpful votes</t>
  </si>
  <si>
    <t>https://www.tripadvisor.co.uk/Hotel_Review-g186338-d193057-Reviews-or335-Travelodge_London_Covent_Garden-London_England.html#REVIEWS</t>
  </si>
  <si>
    <t>tomcatt_uk wrote a review Dec 2019Cardiff, United Kingdom4 contributions</t>
  </si>
  <si>
    <t>Great stayGreat newish Travelodge hotel. Room was clean and spacious, bathroom quite 
tiny but had everything you need including an excellent shower.. Bed was 
very comfortable and did not hear a sound from other rooms, outside or 
corridor noise. Breakfast was perfectly adequate and items were replenished 
constantly. The Aldgate East tube station is a 5 minute walk and Petticoat 
Lane Sunday Market is on the doorstep. This hotel has 7 floors but plenty 
of lifts to cope with all the guests. It also offers a left luggage 
service. The hotel offers food but also has good restaurants across the 
road and a traditional pub just a 3 minute walk (The Hoop and Grapes) All 
staff were excellent but special mention to the reception staff who were 
kind and helpful. We will be returning to this excellent…Read moreDate of 
stay: November 2019HelpfulShare</t>
  </si>
  <si>
    <t>Louise B wrote a review Nov 20196 contributions7 helpful votes</t>
  </si>
  <si>
    <t>Travelodge Covent Garden, High Holburn Site.My partner and I decided we would visit London to see the Christmas lights 
a cupple of days ago, we managed to get some cheap train ticket for a 
family of 4. We thought we would not find anywhere to stay, lucky for us 
Travelodge still had room for the 4 of us. After reading some not so good 
reviews and some good reviews, we took the gamble and it paid off, The 
staff were very helpful, the room was to a good standard. We where on the 
9th floor but could still hear some road noise but not to the extent that 
we could not sleep. This is not the hotel's fault, the breakfast was at a 
good standard, the location was perfect for what we where after. We would 
definitely stay here again. We are already talking of coming back next year 
to see the Christmas lights again........ Thanks for…Read moreDate of stay: 
December 2019HelpfulShare</t>
  </si>
  <si>
    <t>1 night business statI stay in travelodges, in London, a lot and this one often comes up in 
budget. So often I was a bit nervous about staying there. My fears were 
unfounded. It is really good. New, clean, contemporary and when I asked for 
a quiet floor the very kindly upgraded me to a super room. These rooms are 
very good, especially if you're a coffee fan. Comfortable bed and pillow, 
quiet (as in no street noise) and friendly staff. On top of that its just 
around the corner from the tube station, which is just within zone 1. In 
the words of Arnie, I will be back.Read moreDate of stay: November 20192 
Helpful votesHelpfulShare</t>
  </si>
  <si>
    <t>Extraordinary61181 wrote a review Dec 20191 contribution</t>
  </si>
  <si>
    <t>Central great for family'sWe had a great stay the room was clean, staff was polite and helpful we 
didn't pre book breakfast but did pay on the morning, breakfast was great 
one thing, the children would of liked was Pancakes. Overall we had a 
fanatic stay.ThanksRead moreReview collected in partnership with 
TravelodgeDate of stay: December 2019HelpfulShare</t>
  </si>
  <si>
    <t>claudiu20192019 wrote a review Dec 20191 contribution</t>
  </si>
  <si>
    <t>https://www.tripadvisor.co.uk/Hotel_Review-g186338-d13569031-Reviews-or220-Travelodge_London_City_hotel-London_England.html#REVIEWS</t>
  </si>
  <si>
    <t>Very goodVery central, good value for the money, the room was clean, the bed was 
very comfortable, only problem was with the heating trough the Air 
Conditioner (made a lot of noise, so we had to turn it off, which made the 
room extremely cold over night).Read moreReview collected in partnership 
with TravelodgeDate of stay: December 2019HelpfulShare</t>
  </si>
  <si>
    <t>jlry71 wrote a review Dec 2019Cardiff, United Kingdom16 contributions13 
helpful votes</t>
  </si>
  <si>
    <t>cthvdb wrote a review Nov 20192 contributions</t>
  </si>
  <si>
    <t>AVOID HOTEL : IF DISABLED AND NEED TO USE THE DISABLED ACCESS: SEXUAL ACT 
HAPPENING ON RAMPAvoid this hotel if you are disabled as you need to us the disabled ramp. 
We needed to use the ramp as i disabled. My wife and i had to walk past , 
people in the middle of a sexual act one day and a man urinating the next 
day on the ramp. Informed staff only to be told they are aware of the 
issues on the ramp. Head office reply said it happened outside the hotel. 
The ramp is still their property. Disabled people safety, doesnt matter 
which is obvious by the travelodge reply. very disappointed.Read moreDate 
of stay: December 2019HelpfulShareResponse from TravelodgeUK, Zack from The 
Social Media Team at Travelodge London Covent GardenResponded 26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</si>
  <si>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good hotel in a good locationVery good hotel situated in an easy access location. Only 4 underground 
stops from King's cross rail station. Easy access to London city center. 
Large and comfortable room. Very nice staff ; very nice restaurant too. A 
lot of shops nearbyRead moreReview collected in partnership with 
TravelodgeDate of stay: November 2019HelpfulShare</t>
  </si>
  <si>
    <t>ScottishTraveller_10 wrote a review Nov 2019Glasgow, United Kingdom2 
contributions2 helpful votes</t>
  </si>
  <si>
    <t>https://www.tripadvisor.co.uk/Hotel_Review-g186338-d193057-Reviews-or340-Travelodge_London_Covent_Garden-London_England.html#REVIEWS</t>
  </si>
  <si>
    <t>BusinessHotel well situated and near underground station. No traffic heard in the 
room which resulted in a good evenings rest. The only negative was the 
quality of the evening meal which was very poor. No hesitation recommending 
for a stay but would recommend eating elsewhere in the evening.Read 
moreReview collected in partnership with TravelodgeDate of stay: November 
2019HelpfulShare</t>
  </si>
  <si>
    <t>Sarahcheev1 wrote a review Dec 201922 contributions10 helpful votes</t>
  </si>
  <si>
    <t>Smartie101053 wrote a review Nov 2019London, United Kingdom5 contributions</t>
  </si>
  <si>
    <t>not the beststayed sat eve for 1 night hotel pretty much dated very noisey area was 
kept awake from outside noise. Breakfast was luke warm beans state heinz 
they definitely are not they were watery and sweet #cheapbeans Rooms are 
comfortable clean but dated Staff were polite and helpful would i stay 
again no would pay the extra and stay at the premiere inn the hubRead 
moreDate of stay: December 2019HelpfulShare</t>
  </si>
  <si>
    <t>Best Hotel in the CityReception staff very, very helpful and polite. Room was beautiful clean. 
Bar staff were excellent and provided a great service. It's an ideal 
location and Hotel is quiet meaning a good nights sleep was 
experienced.Read moreReview collected in partnership with TravelodgeDate of 
stay: October 2019HelpfulShare</t>
  </si>
  <si>
    <t>Dean S wrote a review Dec 2019168 contributions99 helpful votes</t>
  </si>
  <si>
    <t>https://www.tripadvisor.co.uk/Hotel_Review-g186338-d13569031-Reviews-or225-Travelodge_London_City_hotel-London_England.html#REVIEWS</t>
  </si>
  <si>
    <t>Olivier F wrote a review Nov 2019Compiegne, France1 contribution</t>
  </si>
  <si>
    <t>.........and the winner is......!!!I have travelled all over Europe and Noth America. Top notch hotels. 
Quality establishments. The winner of the best shower in my 61 years on the 
planet goes to this hotel. OMG!.... this is a shower so incredibly powerful 
that my wife thought if she had stayed in the shower any longer her hair 
would be ripped out from its roots! Would it simply take away her skin and 
leave her in a near skeletal state in the shower tray??!! This ladies and 
gents is a shower what dreams are made of for those like me who need the 
invigorating experience of a power shower. I've had my car washed by weaker 
jet washes. Bed was comfy, room was very clean. Ideal location. Perfect and 
very reasonable. ......did I mention the shower???Read moreDate of stay: 
December 2019HelpfulShare</t>
  </si>
  <si>
    <t>Valueable hotelGood for a family of 4 if children share the parent room. Free and 
real/good english breakfast for chidren up to 15. Close to underground. Air 
conditionning easy to adjust. Clean bathroom with bath (small). Missing : 
tolet brush, fridgeRead moreReview collected in partnership with 
TravelodgeDate of stay: October 2019HelpfulShare</t>
  </si>
  <si>
    <t>watermarkhomes wrote a review Nov 2019beaufort, SC70 contributions28 
helpful votes</t>
  </si>
  <si>
    <t>https://www.tripadvisor.co.uk/Hotel_Review-g186338-d193057-Reviews-or345-Travelodge_London_Covent_Garden-London_England.html#REVIEWS</t>
  </si>
  <si>
    <t>Excellent Family Hotel in Great LocationRecently stayed here with our two teenagers. The "family" room option with 
additional beds worked great. Everyone had there own bed and the "cots" 
were remarkably comfortable and well appointed. Plenty of room to spread 
out. Would definitely stay here on future visits! The staff is extremely 
friendly and I don't think I've ever stayed in a quieter hotel.Read 
moreReview collected in partnership with TravelodgeDate of stay: October 
2019HelpfulShare</t>
  </si>
  <si>
    <t>jerrymoist wrote a review Dec 2019Exmouth, United Kingdom7 contributions4 
helpful votes</t>
  </si>
  <si>
    <t>Sharon A wrote a review Nov 20192 contributions</t>
  </si>
  <si>
    <t>Great find!Loved the location of this hotel. In between two underground stations. Very 
clean, Lovely staff, Great room with a very comfortable bed and everthing 
you would need in a hotel room. Overall loved it and would definitely stay 
there again.Read moreReview collected in partnership with TravelodgeDate of 
stay: October 2019HelpfulShare</t>
  </si>
  <si>
    <t>Three Nights in London !Location is very good actually , not far from the main square of Convent 
Garden . Good value because hotels in center are so expensive in December . 
There are some good bars and restaurants in immediate area ! The breakfast 
buffet was rather good as well ! Go for the super room but room basic and 
small bathroom but quite adequate . Bar better than I thought it would be 
and bar staff rather good as well ! Reception staff were very good and 
helpful . If you want quick trip to London you cant go wrong for location, 
value and service ! They have button on reception to call taxi which is 
excellent idea especially in center of London !Read moreDate of stay: 
December 2019HelpfulShareResponse from TravelodgeUK, Zack from The Social 
Media Team at Travelodge London Covent GardenResponded 19 Dec 2019Thank you 
for leaving your review. We are pleased to hear that you were happy with 
the location of the hotel and the service provided at the hotel, and that 
your overall experience within our hotel was a positive one. Please be 
assured the hotel managers check Tripadvisor reviews of their hotels so 
your comments will be reviewed by the hotel's team. Thank you again for 
leaving this review and we do hope that you choose to stay with us again in 
the future.Read more</t>
  </si>
  <si>
    <t>Rich L wrote a review Nov 20192 contributions</t>
  </si>
  <si>
    <t>HolidayReviews wrote a review Dec 2019Liverpool, United Kingdom22 
contributions2 helpful votes</t>
  </si>
  <si>
    <t>PerfectI stayed here for 3 nights at the end of October 2019 for a sight seeing 
tour with my 4 year old daughter. We both loved it... Was surprisingly 
cheap for it's location (just a 10 minute walk from the Tower of London). 
The room was immaculately clean, (as was the rest of the building) and 
quiet, with a comfy bed and good wifi connection. The staff were very 
friendly/helpful and kept handing Kit Kats to my daughter which she thought 
was fab. Breakfast was hot and tasty with a good selection of things to 
choose from. All in all I was very impressed and will defo stop here again 
if I ever go back to London.Read moreDate of stay: October 2019HelpfulShare</t>
  </si>
  <si>
    <t>Great locationGreat value for money. This was in a very central location. I know with 
Travelodge I’ll get a good size clean room with comfortable bed. We did 
encounter a problem with the room temperature but it was resolved in 
minutes by the helpful staff. Plenty of choice for breakfast. Would highly 
recommend.Read moreDate of stay: December 2019HelpfulShare</t>
  </si>
  <si>
    <t>Dirk V wrote a review Dec 20192 contributions4 helpful votes</t>
  </si>
  <si>
    <t>https://www.tripadvisor.co.uk/Hotel_Review-g186338-d13569031-Reviews-or230-Travelodge_London_City_hotel-London_England.html#REVIEWS</t>
  </si>
  <si>
    <t>Steve R wrote a review Nov 2019Worldwide155 contributions73 helpful votes</t>
  </si>
  <si>
    <t>Cannot recommend, badroom leaks into the bedroom, caused by shoddy and 
cheap workmanship.At first glance my room seemed to be okay. But i discovered some major 
problems in the bathroom. the flooring was made out of vinyl. Nothing wrong 
with that, if it is laid professionally. But here at the shower it was just 
bend upwards and glued fixed , badly at that. The shower only has a shower 
curtain so any water that spills would seep between the vinyl into the 
floor. Hotel guest are usually not very caring about infrastructure , and 
surely at the opposite site of the bathroom i could see moisture at the 
door-seem. I can only assume that the entire flooring under the bathroom 
was soaked with water and seeping into the bedroom. Soundproofing towards 
the street was bad. Staff : While i was there there was a problem with the 
automatic in-check machines so i guess there was…Read moreDate of stay: 
December 20191 Helpful voteHelpfulShareResponse from TravelodgeUK, Ben from 
the Social Media Team at Travelodge London Covent GardenResponded 19 Dec 
2019Thank you for taking the time to write a review about our London Covent 
Garden hotel. We are sorry to learn of your disappointment with the room 
provided and the services from the hotel team. We appreciate all the 
feedback we receive and our Hotel Managers regularly review their 
TripAdvisor reviews in order to fix any issues raised and pass on feedback 
to their team. Thank you once again and we do hope you will stay with us in 
the future.Read more</t>
  </si>
  <si>
    <t>Outstanding visit!We usually stay in a different part of London when we visit, but decided to 
have a change. From our arrival, ALL members of staff were courteous and 
very helpful. Our (Super) room was comfortable, seemed brand new, and there 
was no noise at all. Our room was on the 7th floor but this was never a 
problem with three lifts always working. There is a large, airy and light 
dining room/bar area and the breakfast on offer was plentiful with lots of 
choice of both hot and cold items. We would return to this hotel without a 
second thought. Nearest Tube is Aldgate East, about 50m round the corner, 
although Liverpool Street is only a short distance further.Read moreDate of 
stay: November 2019HelpfulShare</t>
  </si>
  <si>
    <t>https://www.tripadvisor.co.uk/Hotel_Review-g186338-d193057-Reviews-or350-Travelodge_London_Covent_Garden-London_England.html#REVIEWS</t>
  </si>
  <si>
    <t>Nikita A wrote a review Nov 201958 contributions5 helpful votes</t>
  </si>
  <si>
    <t>achsut wrote a review Dec 2019Doncaster, United Kingdom2 contributions</t>
  </si>
  <si>
    <t>Birthday getawayCame here for a 2 day break for my birthday which we did mainly lots of 
sightseeing didn’t spend a lot of time in the hotel. Checked in on desk 
very polite woman served us and card swipe key which was really good and 
impressive. Our room (215) was ideal for the two of us very clean, modern 
and well presented. Did saw a red mark on the floor whilst I was walking 
into the bathroom didn’t bother me one bit Had dinner here which the food 
was okay felt the fish and chips food I had the batter was over cooked 
otherwise excellent. Pudding for the chocolate cake is excellent. Had 
breakfast here this morning a woman with glasses checked us in I felt she 
wasn’t as friendly and looked like she didn’t want to be there and didn’t 
tell us it’s self service (as I work in waitressing myself in…Read moreDate 
of stay: November 2019HelpfulShare</t>
  </si>
  <si>
    <t>Tired roomRoom needs a lift, furniture and fittings need updating and better 
cleaning. Bathroom- poor flush to toilet and 2 large chips in bath, bedroom 
quilt badly stained ( noticed when quilt fell out of cover). Window catch 
would not lock fully. Top of wardrobe covered in dust.Read moreReview 
collected in partnership with TravelodgeDate of stay: December 
2019HelpfulShareResponse from TravelodgeUK, Zack from The Social Media Team 
at Travelodge London Covent GardenResponded 19 Dec 2019Thank you for 
submitting your review of our London Covent Garden Travelodge. Your 
feedback is greatly appreciated and we would like to apologise that your 
room was not cleaned to our usual high standard. We will be sure to pass 
your valuable comments to the hotel to ensure that the service we provide 
improves. May we thank you again for your feedback and hope you stay with 
us soon.Read more</t>
  </si>
  <si>
    <t>ClaireeeD wrote a review Nov 2019Aylesbury, United Kingdom49 
contributions17 helpful votes</t>
  </si>
  <si>
    <t>kokomia wrote a review Dec 2019Nottingham, United Kingdom32 contributions25 
helpful votes</t>
  </si>
  <si>
    <t>Travelodge but not as you know it!So this is a Travelodge but wow, not as you expect it’s another level its 
fantastic, seriously for the money in a fantastic location in London you 
absolutely can’t go wrong......ok the rooms are small but what more do you 
need, what makes this such a special Travelodge is the STAFF, they are 
absolutely fantastic every single one I came across was different class! 
They all seem to absolutely love their jobs and are a credit to the 
industry Travelodge should be very proud, couldn’t be more friendly or 
helpful! Don’t think twice about staying here!!Read moreDate of stay: 
November 20191 Helpful voteHelpfulShare</t>
  </si>
  <si>
    <t>MySloeLink wrote a review Nov 2019United Kingdom284 contributions104 
helpful votes</t>
  </si>
  <si>
    <t>Poor and poorBooked a superoom but not told they started on the 4th floor So each time I 
have 8 flights of stairs each way as I’m unable to use lifts Very little 
storage shelf or hanging space - we booked 5 days so had luggage No TV 
remote control asked for one and were given a battery less remote so had to 
ask again Came back to our room at 2.30 no room service -unmade bed bins 
full of rubbish no replacement T bags etc If this is a superoom they can 
shove itRead moreDate of stay: December 2019HelpfulShareResponse from 
TravelodgeUK, James from the Social Media Team at Travelodge London Covent 
GardenResponded 18 Dec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</si>
  <si>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Shiny new TravelodgeIt's a newish hotel so still shiny and sparkly! Staff are very friendly and 
helpful. Very good value for a central London hotel, even a 'budget' one. 
Very comfortable night's sleep, room a little 'compact' but it was only for 
one night so not important.Read moreDate of stay: November 2019HelpfulShare</t>
  </si>
  <si>
    <t>KateTim wrote a review Dec 2019Northampton, United Kingdom8 contributions1 
helpful vote</t>
  </si>
  <si>
    <t>PoorPaid for a superior room for myself and my husband. One large towel between 
2 of us. No hand soap to wash hands after using toilet. Shower gel/ hair 
wash dispenser empty. Signs send you to a second lift which when the other 
lift is busy is handy - but after walking the corridors to get to it you 
find it’s out of order. A staff member even told us after we’d been waiting 
a while but no sign put up for the length of our stay. Always stay at a 
Travelodge’s but this time was very disappointed.Read moreDate of stay: 
December 2019HelpfulShareResponse from TravelodgeUK, Ben from the Social 
Media Team at Travelodge London Covent GardenResponded 16 Dec 2019Thank you 
for taking the time to write a review about our London Covent Garden hotel. 
We are sorry to learn that your room was not set up correctly and we are 
sorry to learn of the disappointment caused by other aspects of your stay. 
We appreciate all the feedback we receive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</si>
  <si>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https://www.tripadvisor.co.uk/Hotel_Review-g186338-d13569031-Reviews-or235-Travelodge_London_City_hotel-London_England.html#REVIEWS</t>
  </si>
  <si>
    <t>Kim B wrote a review Nov 2019Lincoln, United Kingdom7 contributions1 
helpful vote</t>
  </si>
  <si>
    <t>beverleybeal wrote a review Dec 20191 contribution</t>
  </si>
  <si>
    <t>Great Staff &amp; LocationGood value in the City, great staff &amp; excellent location. Would stay again 
at the same hotel. Nice lounge bar area and a new clean hotel. 3 minutes 
from the tube (Aldgate) and 5 minutes from Aldgate East.Read moreReview 
collected in partnership with TravelodgeDate of stay: October 
2019HelpfulShare</t>
  </si>
  <si>
    <t>tuomosihvola wrote a review Oct 20191 contribution</t>
  </si>
  <si>
    <t>Excellent stayThoroughly recommend this hotel. Clean, larger than expected room great 
service and good food. Centrally located for our stay. The service was 
exceptional as I was travelling with my guide dog and the staff took his 
needs into account. Will definitely return again.Read moreReview collected 
in partnership with TravelodgeDate of stay: December 2019HelpfulShare</t>
  </si>
  <si>
    <t>Definte stay in London if you want new clean hotel with reasonable cost in 
very good locationHotel picture sums it up pretty well: pretty new, clean and well positioned 
hotel with surprisingly "un-Londonese" pricing. Rooms were good size, well 
equipped, clean and very silent, bed was very good, good airconditioning 
(you could really set the temp to warm/cold). Extra points from actually 
very nice and functional bathroom. Short walking distance to Tower and just 
"few meters" from Aldgate metro station. Bar downstairs had staff which 
managed to create warm/relaxed and active atmosphere at the same.Read 
moreReview collected in partnership with TravelodgeDate of stay: October 
2019HelpfulShare</t>
  </si>
  <si>
    <t>https://www.tripadvisor.co.uk/Hotel_Review-g186338-d193057-Reviews-or355-Travelodge_London_Covent_Garden-London_England.html#REVIEWS</t>
  </si>
  <si>
    <t>stolzy71 wrote a review Dec 2019Cardiff, United Kingdom2 contributions</t>
  </si>
  <si>
    <t>54marleen wrote a review Oct 2019Amsterdam, The Netherlands2 contributions</t>
  </si>
  <si>
    <t>Covent gardenStayed only for one night. The room was cold and staff were very 
disinterested when concerns were raised. Staff eventually brought an 
electric heater/ radiator after complaining twice which was welcome but not 
ideal. The room remained cool. The hotel guests were very noisy albeit it 
was Christmas with lots of parties going on but to be woken at 03.45 was a 
bit of a pain.Read moreReview collected in partnership with TravelodgeDate 
of stay: December 2019HelpfulShare</t>
  </si>
  <si>
    <t>Great stay!I had been looking for a nice, affordable and central hotel in London for a 
bit. Without any luck. Most affordable hotels had horrible reviews. Then I 
stumbled upon Travelodge London City. It looked really good, but I was 
skeptic about the real-life situation. Arriving there I was very surprised. 
It's just like the pictures or even better. I was also very happy with the 
USB ports in the sockets (packed light). I took an upgrade to have coffee 
(Lavazza), a better shower and iron for 6 pounds and that was so worth it 
as well. I have been told that this Travelodge is the newest, meaning also 
the nicest at the moment. I'd definitely go back, to this location. It was 
great staying there!Read moreDate of stay: October 2019HelpfulShare</t>
  </si>
  <si>
    <t>Carol S wrote a review Dec 2019Southminster, United Kingdom23 
contributions10 helpful votes</t>
  </si>
  <si>
    <t>howardalston wrote a review Oct 20191 contribution</t>
  </si>
  <si>
    <t>Excellent new hotelA very well situated hotel for a weekend in London. Very close to Aldgate 
station for the Circle and Metropolitan lines. Friendly staff and a very 
clean room and hotel in general. We now feel we have a hotel we can return 
to wherever we wish to go in central London.Read moreReview collected in 
partnership with TravelodgeDate of stay: October 2019HelpfulShare</t>
  </si>
  <si>
    <t>Dont be put off by exteriorGood location. Clean rooms. Great staff Cheapest bar in central London. 
Travelling alone and felt quite safe. Needs a revamp but passable. Bathroom 
has a n over used shower curtain which is unnecessary.Read moreDate of 
stay: December 2019HelpfulShare</t>
  </si>
  <si>
    <t>https://www.tripadvisor.co.uk/Hotel_Review-g186338-d13569031-Reviews-or240-Travelodge_London_City_hotel-London_England.html#REVIEWS</t>
  </si>
  <si>
    <t>Lureason wrote a review Oct 2019Rochester, United Kingdom1 contribution</t>
  </si>
  <si>
    <t>Darryl G wrote a review Dec 20191 contribution1 helpful vote</t>
  </si>
  <si>
    <t>Lovely stay!The room was very comfortable, the hotel was very clean, and the staff were 
friendly. I loved my stay and I definitely plan on staying there again. I 
also paid for the WiFi, it was cheap to use and it worked very well.Read 
moreReview collected in partnership with this hotelDate of stay: October 
2019HelpfulShare</t>
  </si>
  <si>
    <t>amazing atmospherei have never experienced something like this hotel, to see the way they 
really embraced Christmas they even had some delicious mulled wine at the 
bar. the rooms were also really nice. after the journey i had it was great 
to get such a good nights sleep, nevertheless i must say it can be a busy 
hotel but they cater to everyone. would highly recommendRead moreDate of 
stay: December 20191 Helpful voteHelpfulShare</t>
  </si>
  <si>
    <t>davidalban wrote a review Dec 2019Worcester, United Kingdom1 contribution</t>
  </si>
  <si>
    <t>https://www.tripadvisor.co.uk/Hotel_Review-g186338-d1812157-Reviews-or55</t>
  </si>
  <si>
    <t>Business trip Dec2019Excellent service from Ruth at reception to the guys on the bar and 
breakfast service I was able to access my room 3hrs early to leave luggage 
and get changed for only £10 additional cost which was really usefulRead 
moreReview collected in partnership with this hotelDate of stay: December 
2019HelpfulShare</t>
  </si>
  <si>
    <t>Tea and Giraffes wrote a review Oct 201929 contributions1 helpful vote</t>
  </si>
  <si>
    <t>https://www.tripadvisor.co.uk/Hotel_Review-g186338-d193057-Reviews-or360-Travelodge_London_Covent_Garden-London_England.html#REVIEWS</t>
  </si>
  <si>
    <t>Does what you need it toWe stayed here for a couple of nights, mostly due to price, as the area is 
generally fairly expensive. You know what you're getting with a Travelodge, 
and it did everything we needed it to. The hotel is very close to Aldgate 
Tube station, and Old Spitalfields Market was only a 10-minute walk away. 
The staff were friendly and efficient, and the bed was comfortable. The 
room wasn't huge, but ours was perfectly adequate for the two of us. The 
bathroom felt a bit like it could be on a plane, but again it did the job. 
It was fairly quiet for a London hotel. If you're after something 
luxurious, this isn't the right hotel for you, but I would recommend it if 
it's in the right location for you and you don't want to break the 
bank.Read moreDate of stay: October 2019HelpfulShare</t>
  </si>
  <si>
    <t>1980Bolton wrote a review Dec 20196 contributions</t>
  </si>
  <si>
    <t>Jacqueline C wrote a review Oct 2019Polperro, null, United Kingdom4 
contributions3 helpful votes</t>
  </si>
  <si>
    <t>Avoid - DisgustingMould in the bathroom on the ceiling fan, toilet dirty, bin full with waste 
from prior customer. Raised all this at the time, and staff did not seem 
bothered Also sent 2 emais to travelodge and had no responseRead moreReview 
collected in partnership with TravelodgeDate of stay: December 
2019HelpfulShareResponse from TravelodgeUK, Shaf from the Social Media 
Team. at Travelodge London Covent GardenResponded 15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</si>
  <si>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Very comfortableWell situated and very comfortable hotel. Friendly staff and lovely 
breakfast. Shower also very good and bathroom clean. Stayed with my young 
daughter and staff were very friendly Would definitely recommend this hotel 
and will be returningRead moreReview collected in partnership with 
TravelodgeDate of stay: October 2019HelpfulShare</t>
  </si>
  <si>
    <t>Liyah D wrote a review Dec 20191 contribution</t>
  </si>
  <si>
    <t>Greg P wrote a review Oct 2019Barnstaple, United Kingdom6 contributions3 
helpful votes</t>
  </si>
  <si>
    <t>just a wonderful all round hotelthe location of the hotel was already a big hit right in the middle of some 
great tourist attractions and places to entertain the kids. when we got to 
the room it was exceptional. the beds were so comfortable so we got a 
really good nights sleep. and to follow up with breakfast we were full 
until about midafternoonRead moreDate of stay: November 2019HelpfulShare</t>
  </si>
  <si>
    <t>Ideal London Room for FamilyRoom was clean and had a double and 2 single beds. Breakfast was excellent. 
A very tidy hotel and well maintained. Bar not too expensive and served 
snacks late for a reasonable price. I would stay here again. It is 
no-frills but that is fine as long as everything is clean and doesn't 
smell. Wifi limited to 30 minutes hence the loss of a star.Read moreReview 
collected in partnership with TravelodgeDate of stay: October 
2019HelpfulShare</t>
  </si>
  <si>
    <t>Paul-Antony Street wrote a review Dec 201916 contributions2 helpful votes</t>
  </si>
  <si>
    <t>Great location for Leicester SquareIdeal if you are on a shopping trip to London and want to stay over, or a 
theatre evening. Tottenham Court Road and Leicester Square are less than 10 
minutes away. The hotel is split in two, one in Drury Lane and the other 
around the corner in High Holborn. I stayed in Drury Lane on the Business 
Floor, which I would recommend. The hotel is split over 9 floors, so there 
should always be a room available. The hotel is a 'modern' Travelodge, with 
air conditioned rooms and a bar/cafe, ideal if you want an evening drink or 
breakfast in the morning. Highly recommended.Read moreDate of stay: 
December 2019HelpfulShare</t>
  </si>
  <si>
    <t>https://www.tripadvisor.co.uk/Hotel_Review-g186338-d13569031-Reviews-or245-Travelodge_London_City_hotel-London_England.html#REVIEWS</t>
  </si>
  <si>
    <t>Roving56796866178 wrote a review Dec 20191 contribution</t>
  </si>
  <si>
    <t>Rikke D wrote a review Oct 2019Naestved, Denmark1 contribution</t>
  </si>
  <si>
    <t>A nice stay in LondonNice hotel, nice staff, nice breakfast - close to several underground 
stations that made it easy to see the city. Only thing not satisfaction was 
the food (dinner) bought in the restaurant on the hotel.Read moreReview 
collected in partnership with TravelodgeDate of stay: October 
2019HelpfulShare</t>
  </si>
  <si>
    <t>Decent for price(some nights)I stayed twice on my trip, both Sunday nights as the price was good, I paid 
less then 90 pounds and was happy for the price.. I would not pay more tho. 
The rooms are more spacious than most london budget hotels, the bar and 
restaurant are a nice touch and priced well, the location couldnt be 
better. However both times there were issues. First time the temp 
adjustment on the heater was not working and it was warmer then I like, and 
the room had a strong chemical smell, I was on the 2nd floor and it was 
very loud in the morning. The second time I was on 6th floor, but right by 
elevator so still pretty loud, but more at night. This time the soap 
dispenser was broken, luckily i had my own soap.. and the room had a moldy 
smell. Again, for less than 90 pounds I would stay, but some…Read 
moreReview collected in partnership with TravelodgeDate of stay: December 
2019HelpfulShareResponse from TravelodgeUK, Zack from The Social Media Team 
at Travelodge London Covent GardenResponded 12 Dec 2019Thank you for 
leaving your review of our London Covent Garden hotel. We are happy to 
learn you were pleased with the Hotels location, however we are sorry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</si>
  <si>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SDUT609 wrote a review Oct 2019Southampton, United Kingdom1 contribution</t>
  </si>
  <si>
    <t>samira57 wrote a review Dec 2019London, United Kingdom1 contribution</t>
  </si>
  <si>
    <t>well locatedthe hotel was basically our place just to sleep. the bars and clubs were 
literally just a stroll from the hotel. so we were able to have multiple 
nights out. i must say when we were sober we did visit the british museum 
and had lunch back at the hotel. my compliments to the chef.Read moreDate 
of stay: December 2019HelpfulShare</t>
  </si>
  <si>
    <t>Great place to stay in East LondonVery convenient to tube - The staff were exceptional! Very helpful even 
offered to print us a map to help us find our way to meet our daughter - 
great place to stay if visiting East London with good connectionsRead 
moreReview collected in partnership with this hotelDate of stay: October 
2019HelpfulShare</t>
  </si>
  <si>
    <t>theenglishmagi wrote a review Oct 2019Wokingham, United Kingdom8 
contributions2 helpful votes</t>
  </si>
  <si>
    <t>https://www.tripadvisor.co.uk/Hotel_Review-g186338-d193057-Reviews-or365-Travelodge_London_Covent_Garden-London_England.html#REVIEWS</t>
  </si>
  <si>
    <t>Simona A wrote a review Dec 20191 contribution</t>
  </si>
  <si>
    <t>Comfortable siteFor a 40th the bed was comfortable, place looked clean and location easily 
accessed (though I was expecting it to be Liverpool St not Aldgate end - my 
bad!) with so much to hand and a greasy spoon cafe a road or two away that 
did great breakfasts!Read moreReview collected in partnership with 
TravelodgeDate of stay: October 2019HelpfulShare</t>
  </si>
  <si>
    <t>lovely roomsi felt that the staff were genuine in their kindness and the room was more 
than adequately clean. one thing that i found really neat was that the 
british museum was literally down the road, along with some clubs. i loves 
the hotelRead moreDate of stay: December 2019HelpfulShare</t>
  </si>
  <si>
    <t>Jamie wrote a review Oct 2019Aylesbury, United Kingdom46 contributions7 
helpful votes</t>
  </si>
  <si>
    <t>Central and comfortableClose to train, comfortable room and reasonable price for central London 
compared with other alternatives. The room was quiet, the nespresso machine 
was a nice addition. Like all Travelodge slept well in comfortable bed.Read 
moreReview collected in partnership with TravelodgeDate of stay: October 
2019HelpfulShare</t>
  </si>
  <si>
    <t>Ethan G wrote a review Dec 20191 contribution</t>
  </si>
  <si>
    <t>p9898 wrote a review Oct 2019Leicester, United Kingdom5 contributions8 
helpful votes</t>
  </si>
  <si>
    <t>well situatedon my arrival i had asked for a quiet room and to my surprise the room was 
extremely quiet and so i was pleased. at breakfast i was offered a choice 
of a hot english breakfast or a more common lighter breakfast, i literally 
only had to leave the hotel 5 minutes before my conference as the hotel was 
so well located.Read moreDate of stay: December 2019HelpfulShare</t>
  </si>
  <si>
    <t>Great staffThe rooms are very small and basic The bathroom had good shower and was 
clean The breakfast was really good Great location close to shoreditch 
petticoat lane market Tower Hill and London Bridge Staff were great ��Read 
moreReview collected in partnership with TravelodgeDate of stay: October 
2019HelpfulShare</t>
  </si>
  <si>
    <t>gazzer7 wrote a review Dec 2019Belfast N Ireland48 contributions78 helpful 
votes</t>
  </si>
  <si>
    <t>https://www.tripadvisor.co.uk/Hotel_Review-g186338-d13569031-Reviews-or250-Travelodge_London_City_hotel-London_England.html#REVIEWS</t>
  </si>
  <si>
    <t>Another great visit to Travelodge Covent GardenThis hotel would our best Travelodge and when staying in London, this is 
always our first choice. We had booked a weekend stay at the hotel and paid 
for the early checkin as we arrived at 1pm and know from past experience 
that they do not let you checkin early(this proved to be a great choice). 
Having arrived early most rooms were not available so we were offered a 
room on the 2nd or 7th floor of the family block across the road. We choose 
to be allocated a room on the 2nd floor above the main entrance looking 
onto the road. At first glance, we thought this could be noisy do to the 
traffic noise but this was not the case, it was very quite at nighttime. 
The room it’s self was large with a good size bed and space to hang your 
belongings. The breakfast/bar area in the hotel is…Read moreDate of stay: 
December 2019HelpfulShare</t>
  </si>
  <si>
    <t>LightPacker612952 wrote a review Oct 20193 contributions</t>
  </si>
  <si>
    <t>BayswaterW2 wrote a review Dec 2019Lisbon, Portugal258 contributions98 
helpful votes</t>
  </si>
  <si>
    <t>Nice and clean, comfy and quiet in a central location.The Travelodge London City hotel hotel was nice and clean. We chose the 
newer Super Room which included an iron and ironing board which was very 
useful, a coffee machine (no instructions) and a decent shower. The 
shower/WC/sink was also spotless. The bed and pillows were lovely and 
comfy. W were extremely surprised how quiet the Travelodge London City 
hotel was for such a central location.Read moreReview collected in 
partnership with TravelodgeDate of stay: October 2019HelpfulShare</t>
  </si>
  <si>
    <t>Good ValueHotel situated at Drury Lane and convenient central location to explore 
central London. Short walk to Holborn or Oxford Circus Tube stations. 
Friendly staff on arrival and efficient check in. Hotel now offers two 
types of room basic and enhanced. The basic had all usual types of 
amenities and was excellent value for money. Rooms clean , bed comfortable 
ideal for overnight stay when visiting central London.Read moreDate of 
stay: November 2019HelpfulShare</t>
  </si>
  <si>
    <t>https://www.tripadvisor.co.uk/Hotel_Review-g186338-d193057-Reviews-or370-Travelodge_London_Covent_Garden-London_England.html#REVIEWS</t>
  </si>
  <si>
    <t>kerstinseidel2019 wrote a review Oct 2019Grabenstaett, Germany1 contribution</t>
  </si>
  <si>
    <t>CityKate wrote a review Dec 2019London, United Kingdom51 contributions55 
helpful votes</t>
  </si>
  <si>
    <t>Perfect hotel for a short stay!Perfect Location, Perfect for a Sightseeing-Trip! Very reasonable prices 
and very friendly staff! We were there for a 3 night stay for a football 
game and would like to Go there again! Breakfast is Cheap and Good!Read 
moreReview collected in partnership with this hotelDate of stay: October 
2019HelpfulShare</t>
  </si>
  <si>
    <t>JulieP952 wrote a review Oct 2019England, United Kingdom106 contributions44 
helpful votes</t>
  </si>
  <si>
    <t>Excellent locationWell you know what you’re getting with a Travelodge room! For the first 
time, I booked a Super room and got a coffee machine, Kit Kat, iron and 
ironing board and a hairdryer. I was about to go and complain about the 
horrendous hissing noise in my room when I read the reviews on here and 
realised it was the extremely noisy air con! I turned it off and the room 
was restored to beautiful peace and quiet! You can’t beat this hotel if you 
want to be in central London and have easy access to the city and the west 
end. It’s busy and queues can be long to check in at peak times, especially 
when their check in machines don’t work which is often but you will 
struggle to find a better room for the price with such a good location.Read 
moreDate of stay: December 2019HelpfulShare</t>
  </si>
  <si>
    <t>Great Place To StayThis Flagship Travelodge is in a fantastic location 3 minutes walk from 
Aldgate tube station. The hotel is spotlessly clean everywhere. We had a 
Super-room &amp; it was great, comfortable bed &amp; pillows A/C Fabulous shower, 
couldn’t fault anything. The staff were all very helpful and courteous, the 
Breakfast was one of the best I’ve had in a while. Great hotel &amp; location - 
would highly recommend - we will be backRead moreReview collected in 
partnership with this hotelDate of stay: October 2019HelpfulShare</t>
  </si>
  <si>
    <t>Scott S wrote a review Oct 2019Howell, Michigan4 contributions4 helpful 
votes</t>
  </si>
  <si>
    <t>Amina Ibrahim wrote a review Dec 20191 contribution</t>
  </si>
  <si>
    <t>Nice Location/Fresh hotelTravel lodge City is close to the tube and Tower of London. Rooms are ultra 
modern and clean. The bathroom is unique in that it is entirely formed from 
one piece of fiberglass. Kinda weird that hand towels and wash cloths are 
not included. Room is small, but, typical for Europe. Bar has a great 2 for 
1 special for happy hour. Awesome hotel breakfast selection! Staff all were 
stellar! Especially Nasa in the bar.Read moreReview collected in 
partnership with TravelodgeDate of stay: October 2019HelpfulShare</t>
  </si>
  <si>
    <t>Amazing atmospherewhen i checked in the staff were extremely welcoming and friendly. The room 
was spotless and very quiet. The location was ideal and just down the road 
from my meetings. I must say the food in the restaurant was more than 
adequate, the waiters handled the busy periods so well, i didnt have to 
wait very long for my food. overall I will he sure to return and definitely 
recommend to my colleagues.Read moreDate of stay: October 2019HelpfulShare</t>
  </si>
  <si>
    <t>https://www.tripadvisor.co.uk/Hotel_Review-g186338-d13569031-Reviews-or255-Travelodge_London_City_hotel-London_England.html#REVIEWS</t>
  </si>
  <si>
    <t>Rebecca S wrote a review Dec 2019Wisbech, United Kingdom915 contributions88 
helpful votes</t>
  </si>
  <si>
    <t>terrymurphy2019 wrote a review Oct 2019Coventry, United Kingdom1 
contribution</t>
  </si>
  <si>
    <t>Christmas Weekend Theatre Show breakAs always you know what your getting with Travelodge. Clean basic room with 
fresh bedding and towels. Arrived early so left bags in the luggage store 
which was great as we could then get off exploring. Check in was easy and 
staff were polite. Breakfast the following morning was like feeding time at 
a zoo. Not very organised unfortunately. Needs to be so everyone goes the 
same way when getting breakfast which would make life much easier. Heating 
didn’t work in our room either but coped for the two nights as we only 
slept in the room and it wasn’t freezing. Great location would definitely 
recommend and go back!Read moreDate of stay: December 2019HelpfulShare</t>
  </si>
  <si>
    <t>Weekend stayModern clean hotel. Good food, good room, good central location, very 
helpful staff. Definitely would stay here again for our next trip to 
London. Only three minutes walk from two local tube stations.Read 
moreReview collected in partnership with this hotelDate of stay: October 
2019HelpfulShare</t>
  </si>
  <si>
    <t>D2771LId wrote a review Oct 2019Nottingham, United Kingdom2 contributions</t>
  </si>
  <si>
    <t>A very good TravelodgeThis is a well placed, good looking, clean and tidy Travelodge. It's a new 
build so the facilities are good; rooms and restaurant are both nice. It's 
quiet, not much in the way of noise from outside in your rooms and it's 
reasonably quiet inside the hotel. My main negative point would be that the 
beds are a little hard and therefore slightly uncomfortable for my 
liking.Read moreReview collected in partnership with TravelodgeDate of 
stay: October 2019HelpfulShare</t>
  </si>
  <si>
    <t>https://www.tripadvisor.co.uk/Hotel_Review-g186338-d193057-Reviews-or375-Travelodge_London_Covent_Garden-London_England.html#REVIEWS</t>
  </si>
  <si>
    <t>Lynne W wrote a review Dec 2019Barnsley, United Kingdom9 contributions6 
helpful votes</t>
  </si>
  <si>
    <t>Christmas BreakThis hotel is ideally placed for a visit to London. We have stayed here 
previously. I feel the hotel is looking tired but I could see evidence that 
it is being refurbished. I will definitely stay here again as it's in such 
a good location.Read moreReview collected in partnership with 
TravelodgeDate of stay: December 2019HelpfulShare</t>
  </si>
  <si>
    <t>https://www.tripadvisor.co.uk/Hotel_Review-g186338-d13569031-Reviews-or260-Travelodge_London_City_hotel-London_England.html#REVIEWS</t>
  </si>
  <si>
    <t>Kaylizzy wrote a review Dec 2019Sheffield32 contributions22 helpful votes</t>
  </si>
  <si>
    <t>Bring your own hairdryer....The hotel is in a great location. A good English breakfast is provided, 
fruit, yoghourt, croissants, cereal, full English. Rooms are adequate. Bed 
comfy. No toiletries just basic shower gel in container on the shower wall 
and sink. My one bug bear was NO HAIRDRYER provided and there wasn't one 
available at reception. We booked in Friday at 2pm and I couldn't get one 
until 11am Sunday. Cannot imagine if you were going to a do on the Saturday 
night. When I finally got one from reception, after having to ask numerous 
times, they didn't take my name or room number so I could have quite easily 
have kept it. If they took room numbers they could also contact them to see 
if they had finished with said hairdryer as most people would probably hang 
onto them until they were leaving. …Read moreDate of stay: December 
2019HelpfulShareResponse from TravelodgeUK, James from the Social Media 
Team at Travelodge London Covent GardenResponded 9 Dec 2019Thank you for 
reviewing our Travelodge London Covent Garden Hotel. We're happy to hear 
you were pleased with the location of the hotel during this stay with us as 
well as with the comfort of your bed but we're sorry to hear you weren't 
pleased with the facilities offered during your stay and with the service 
from the hotel's team. Please rest assured the hotel managers check 
Tripadvisor reviews of their hotels so your comments will be reviewed by 
the hotel's team. Thank you again for leaving this review and we do hope 
that you choose to stay with us again in the future.Read more</t>
  </si>
  <si>
    <t>Daydream64681647072 wrote a review Oct 2019Maidstone, United Kingdom3 
contributions</t>
  </si>
  <si>
    <t>Excellent value for MoneyThis was much better than expected and excellent value for Money great 
Location. Staff exceptional and rooms much better than more expensive 
hotels I have stayed in. The hotel was very comfortable and an ideal 
location for city locationRead moreReview collected in partnership with 
TravelodgeDate of stay: October 2019HelpfulShare</t>
  </si>
  <si>
    <t>MarieLou wrote a review Dec 2019Hamilton, United Kingdom2 contributions</t>
  </si>
  <si>
    <t>Good location but poor hotelThis hotel is in Drury Lane so very handy if you are going to the theatre. 
We were in a so called super room. However, it was very small and the 
en-suite shower was tiny. There was a horrible smell in the en-suite. The 
coffee machine didn’t work. I asked twice for a new one but nobody bothered 
to send one. The staff at reception were dreadful. Their work rate is 
incredibly slow. The service in the bar is also very slow. One night we 
decided to eat in the hotel. The food was absolutely tasteless. Will never 
stay here again and I don’t recommend it.Read moreDate of stay: December 
2019HelpfulShareResponse from TravelodgeUK, James from the Social Media 
Team at Travelodge London Covent GardenResponded 5 Dec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</si>
  <si>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https://www.tripadvisor.co.uk/Hotel_Review-g186338-d13569031-Reviews-or265-Travelodge_London_City_hotel-London_England.html#REVIEWS</t>
  </si>
  <si>
    <t>https://www.tripadvisor.co.uk/Hotel_Review-g186338-d193057-Reviews-or380-Travelodge_London_Covent_Garden-London_England.html#REVIEWS</t>
  </si>
  <si>
    <t>ClaudiaBelgium wrote a review Oct 2019Grobbendonk, Belgium64 
contributions10 helpful votes</t>
  </si>
  <si>
    <t>Hayndan wrote a review Dec 2019Witham, United Kingdom14 contributions4 
helpful votes</t>
  </si>
  <si>
    <t>good value for money hotelFriendly staff, nice and new rooms (I did not like the shower curtain 
though), smaal bathroom, very quit room, very noisy breakfast with stressed 
staff, breakfast a little bit too basic english breakfast for me (thank god 
at least for the sugar free yoghurt and fruit). The hotel is located near 
Tower Bridge, but a long distance to Bond street, Harrods and the shops... 
London is overall VERY busy even on sundays... did not like that at all, 
but the hotel was really ok for that price in center London.Read moreReview 
collected in partnership with TravelodgeDate of stay: September 
2019HelpfulShare</t>
  </si>
  <si>
    <t>Phill G wrote a review Oct 2019Peekskill, New York130 contributions94 
helpful votes</t>
  </si>
  <si>
    <t>Injured due to losing bathroom fittings freezing cold due to no heating, 
poor cheap bedding, rude staff avoidThe issue that I have experienced was: Whilst staying at the hotel having 
come out of the shower and walking out of the bathroom I cut my foot badly 
on the door bar which came away from the frame as I stood on it the very 
shape plastic sliced through the ball of my foot and big toe. Which caused 
two large cuts to my foot that bleed and required first aid which my 
partner conducted as there was no phone in the room to call reception for 
help. This was at approx 11:25 04/11/2019. Lucky enough I had a small first 
aid kit with me which I used to clean the wounds and apply a dressing and 
bandage. This has left me with a lip due to the pain and discomfort. We 
checked out of the hotel approx 20 mins later where I advised the staff 
member of the problem. Eventually after a while after…Read moreReview 
collected in partnership with TravelodgeDate of stay: December 
2019HelpfulShareResponse from TravelodgeUK, James from the Social Media 
Team at Travelodge London Covent GardenResponded 5 Dec 2019Thank you for 
reviewing our Travelodge London Central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</si>
  <si>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Still Quite Good, Showing a Bit of WearI’ve stayed three times, about six or nine months apart . The location is 
terrific - tube and busses, DLR, even the Thames Clippers. Short walking 
distance to major attractions and your choice of shops. The hotel is still 
super clean, rooms are sparking, and beds are *terrific.* The staff was 
generally pleasant (as always), the bar and cafe have a great selection, 
and the food is quite good. There’s a bit of a slip in quality here and 
there. The previous two times I visited, I really felt the hotel (and 
staff) was above the standards of even a far more expensive hotel. Some of 
the upholstery in the bar/cafe is far more than a little worn. A staff 
member at the breakfast buffet seemed quite harried and flustered (the 
whole week). The front desk, while still friendly and…Read moreDate of 
stay: September 2019HelpfulShareResponse from TravelodgeUK, James from the 
Social Media Team at Travelodge London City hotelResponded 10 Oct 2019Thank 
you for reviewing our Travelodge London City Hotel. We're happy to hear you 
were pleased with the location of the hotel during your stay with us as 
well as with the service from the hotel's team and the cleanliness of your 
room but we're very sorry to hear of the issues experienced in the 
bar/cafe. Please rest assured the hotel managers check Tripadvisor reviews 
of their hotels so your comments will be reviewed by the hotel's team. 
Thank you again for leaving this review and we do hope that you choose to 
stay with us again in the future.Read more</t>
  </si>
  <si>
    <t>KarenMcCa wrote a review Oct 2019Barcelona, Spain8 contributions3 helpful 
votes</t>
  </si>
  <si>
    <t>Chloe Louise wrote a review Dec 20191 contribution</t>
  </si>
  <si>
    <t>Not Well Maintained for a New HotelConsidering this is supposed to be a new Travelodge, the bedroom I stayed 
in had not been well maintained. There was a green substance (possibly 
mould?) on the drain in the shower. The hotel had also been poorly designed 
and built to not create a great guest experience and not let in a lot of 
natural light in the rooms. There was a corner window, which looked out 
onto a building site, with no net curtain to protect privacy. You either 
had to let everyone see in or be in darkness the whole time. I've stayed in 
quite a few Travelodges in different parts of London and this has been the 
worst so far in terms of quality of room and facilities. The location is 
good and it wasn't too noisy considering it's central London, but either I 
just got stuck in a dud room, or Travelodge has…Read moreReview collected 
in partnership with TravelodgeDate of stay: September 2019HelpfulShare</t>
  </si>
  <si>
    <t>What a tripFirst of all can I just say how much I loved staying here. The service here 
is amazing not to mention the girl by the bar Bruna every time me and my 
partner come and stay here she’s always there and speaks to us for a while 
delivering amazing customer service and always smiling. Such a nice face to 
see when we go here. The food is gorgeous. Couldn’t recommend any place 
more.Read moreDate of stay: December 2019HelpfulShare</t>
  </si>
  <si>
    <t>Shaun P wrote a review Oct 2019Bradley Stoke, United Kingdom2 contributions</t>
  </si>
  <si>
    <t>https://www.tripadvisor.co.uk/Hotel_Review-g186338-d193057-Reviews-or385-Travelodge_London_Covent_Garden-London_England.html#REVIEWS</t>
  </si>
  <si>
    <t>Great HotelWe stayed for 2 nights in October and this was a great hotel! Convenient 
location for all the sights of London. Friendly welcoming staff The 
breakfast was terrific with a vast choice to suit almost everyone.Read 
moreReview collected in partnership with this hotelDate of stay: October 
2019HelpfulShare</t>
  </si>
  <si>
    <t>David wrote a review Dec 2019West Kirby, United Kingdom4 contributions1 
helpful vote</t>
  </si>
  <si>
    <t>DO NOT LET THEM PUT YOU IN ROOM 422Very good, centrally located hotel but do not let the put you in room 422. 
Air conditioner is very noisy and obviously broken, so will keep you awake. 
Unless you turn it off, in which case, on a very chilly December evening, 
you will be cold in your super room, which turn out not to be quite as 
super as you'd hoped.Read moreDate of stay: December 2019HelpfulShare</t>
  </si>
  <si>
    <t>https://www.tripadvisor.co.uk/Hotel_Review-g186338-d13569031-Reviews-or270-Travelodge_London_City_hotel-London_England.html#REVIEWS</t>
  </si>
  <si>
    <t>https://www.tripadvisor.co.uk/Hotel_Review-g186338-d1812157-Reviews-or60</t>
  </si>
  <si>
    <t>Yvonne R wrote a review Dec 2019Southern Wales, United Kingdom1 contribution</t>
  </si>
  <si>
    <t>johncm666 wrote a review Oct 2019Portsmouth, United Kingdom5 contributions1 
helpful vote</t>
  </si>
  <si>
    <t>west end showgreat hotel that is so central to everything. especially if you are going 
to see a west end show which are all walking distance. Good breakfast and 
reasonable priced bar. Will be back in the new year.Read moreReview 
collected in partnership with TravelodgeDate of stay: November 
2019HelpfulShare</t>
  </si>
  <si>
    <t>kathryn e wrote a review Dec 20191 contribution</t>
  </si>
  <si>
    <t>Excellent stayFrom arrival to leaving staff were friendly and helpful, from to the 
reception to bar to reception. I stayed with my fiancee in the deluxe 
room,. It was clean and very well maintained ( I've stayed in some 
Travelodge's that have rooms that have been tired and lacked maintenance), 
the bed was comfortable, with just the right pillows. From the moment I put 
my head on the pillow I was undisturbed by outside noise, despite the place 
being full. Had a filling breakfast worth the extra when booking. On check 
out were asked if we had been happy and we're given a cherry goodbye. 
Overall a very satisfactory stay. Also to add it Is only a short walk from 
Aldgate underground station, excellent for getting into central London and 
the theatre we were attending. And the next day a short walk…Read 
moreReview collected in partnership with this hotelDate of stay: October 
2019HelpfulShare</t>
  </si>
  <si>
    <t>jrc20122019 wrote a review Oct 20191 contribution</t>
  </si>
  <si>
    <t>Wonderful overnight stay in London.We stayed at the travel lodge @ Covent Garden, the staff were very 
welcoming on arrival and we were booked in very swiftly. We booked to have 
breakfast before we travelled home and were extremely surprised by the 
variety and how well the food was cooked and presented. We will certainly 
be using this hotel againRead moreReview collected in partnership with 
TravelodgeDate of stay: November 2019HelpfulShare</t>
  </si>
  <si>
    <t>meowmeow_8 wrote a review Dec 2019Hong Kong11 contributions4 helpful votes</t>
  </si>
  <si>
    <t>TravellerOutstanding for a Travelodge, lovely room super cheap price walking 
distance from tube and Tower bridge etc breakfast lovely lots of choice and 
all hot kids eat free too so it was a bargain stay.room was clean and newly 
fitted out had tv desk shower roomRead moreReview collected in partnership 
with TravelodgeDate of stay: October 2019HelpfulShare</t>
  </si>
  <si>
    <t>John G wrote a review Oct 2019Bracknell, United Kingdom4 contributions3 
helpful votes</t>
  </si>
  <si>
    <t>Good value for moneyPros: Right in the centre of London Near shops, eateries, theatres. 5 min 
walk to Tube. Surprisingly big room for the price Clean Friendly service 
Not too noisy, given the location Breakfast is filling &amp; hot -- a good 
deal, given the cost of eating out in London. Included: Towels, pillows, 
blankets - extras if you need Tea kettle, tea &amp; instant coffee Not 
included: Unlimited Wifi (the room only comes with 30 min. You have to pay 
for more) As this is a mid-range hotel, don't expect luxury services &amp; 
amenities like room service, nice toiletries Con: One thing rooms could * 
really* use is a safety box, so foreign visitors don't need to carry 
passports, etc, on them all the time.Read moreDate of stay: November 
2019HelpfulShare</t>
  </si>
  <si>
    <t>Perfect for what we neededBar food was very reasonable and was available late In the evening. 
Property has only recently opened so everything is new Coffee machine is 
provided within room as well as kettle. Couldn’t fault it for what we 
neededRead moreReview collected in partnership with this hotelDate of stay: 
October 2019HelpfulShare</t>
  </si>
  <si>
    <t>juliew00d wrote a review Dec 20191 contribution</t>
  </si>
  <si>
    <t>djhall1 wrote a review Oct 2019bolton320 contributions80 helpful votes</t>
  </si>
  <si>
    <t>Great Location / Lovely HotelYou cannot beat the hotel for its location, it is positioned within a short 
distance of Theatre land, restaurants and bars. The hotel staff were 
friendly and helpful. Great to be able to store luggage after check 
out.Read moreReview collected in partnership with TravelodgeDate of stay: 
November 2019HelpfulShare</t>
  </si>
  <si>
    <t>Great stayIdeal hotel for a London stay with excellent transport links.It is a new 
hotel so all mod cons.Coffee machine in room was nice touch.Bathroom was 
modern and room warm and comfortable. I would suggest to Travelodge to 
provide free Wi-fi instead of the 30 minute free and £3 a day - I would 
have settled for £3 over the whole of my stay,rather than just a 24 hour 
day erode.Read moreDate of stay: October 2019HelpfulShare</t>
  </si>
  <si>
    <t>https://www.tripadvisor.co.uk/Hotel_Review-g186338-d193057-Reviews-or390-Travelodge_London_Covent_Garden-London_England.html#REVIEWS</t>
  </si>
  <si>
    <t>Pete G wrote a review Oct 20192 contributions1 helpful vote</t>
  </si>
  <si>
    <t>Stay at London CityExcellent service and great staff, friendly and attentive service. Rooms 
and amenities were all spotlessly clean and well presented. Location made 
for a very easy way to go sightseeing and shopping. Superb restaurants and 
bars very close by too.Read moreReview collected in partnership with 
TravelodgeDate of stay: October 2019HelpfulShare</t>
  </si>
  <si>
    <t>markblades wrote a review Dec 2019Wednesbury, United Kingdom23 
contributions1 helpful vote</t>
  </si>
  <si>
    <t>https://www.tripadvisor.co.uk/Hotel_Review-g186338-d13569031-Reviews-or275-Travelodge_London_City_hotel-London_England.html#REVIEWS</t>
  </si>
  <si>
    <t>Birthday tripVery enjoyable, breakfast was value for money , was a bonus that luggage 
could be stored on the last day fee of charge to save carrying around, try 
Joys Chinese restaurant which is 2 minutes away, great foodRead moreReview 
collected in partnership with this hotelDate of stay: November 
2019HelpfulShare</t>
  </si>
  <si>
    <t>sweetservice wrote a review Dec 2019Lincoln, United Kingdom82 
contributions16 helpful votes</t>
  </si>
  <si>
    <t>Elizabeth c wrote a review Oct 2019Evesham, United Kingdom33 contributions6 
helpful votes</t>
  </si>
  <si>
    <t>PoorNoisy room which was absolutely tiny. Literally you scraped your arse on 
the wall coming out of the bathroom!! Fans on the roof ran all night and it 
was horrific noise wise. Complained to be told to leave belongings in an 
unsecured area all day whilst an alternative ‘would try to be found’ 
Thankfully, manager Marina was a lot more useful that the front desk staff 
and sorted us out (thank you Marina - you are a gem), have stayed here for 
years but it’s tired and won’t be back for a bit till they sort this out. 
Better value places on offer in surrounding area.Read moreDate of stay: 
November 2019HelpfulShareResponse from TravelodgeUK, Niki from The Social 
Media Team at Travelodge London Covent GardenResponded 2 Dec 2019Your 
feedback is very important to us and thank you for submitting your review. 
We strive to offer our guests a good night’s sleep and an enjoyable 
experience whilst staying with us. That is why we are sorry to hear that 
you were not positively impressed by your last stay in our London Covent 
Garden hotel. We will make the most of your comments to continue improving 
the service we offer. We hope to welcome you again in the near future.Read 
more</t>
  </si>
  <si>
    <t>Great room and locationThe room was a good size and very clean with comfortable bed. The lcoation 
for Liverpool st was good and also Shoreditch. Didn't have breakfast so 
cannot comment on this. Room was quiet apart from noise in the ceiling one 
night. The Air con worked well and the window opens for a small amount 
which is nice for fresh air. I stayed in a super room on the 6th floor.Read 
moreReview collected in partnership with TravelodgeDate of stay: October 
2019HelpfulShare</t>
  </si>
  <si>
    <t>Luna wrote a review Dec 2019Watford, Hertfordshire, England108 
contributions19 helpful votes</t>
  </si>
  <si>
    <t>Anne W wrote a review Oct 2019Southampton, United Kingdom116 
contributions22 helpful votes</t>
  </si>
  <si>
    <t>PoorGood location but the place is really showing it's age. L shaped room with 
the TV about half a mile away. Bathroom was worn out. As it's the centre of 
London you also pay top dollar for the privilege of stying here. Wouldn't 
recommend.Read moreDate of stay: November 2019HelpfulShareResponse from 
TravelodgeUK, Niki from The Social Media Team at Travelodge London Covent 
GardenResponded 2 Dec 2019Your feedback is very important to us and thank 
you for submitting your review. We strive to offer our guests a good 
night’s sleep and an enjoyable experience whilst staying with us. That is 
why we are sorry to hear that you were not positively impressed by your 
last stay in our London Covent Garden hotel. We will make the most of your 
comments to continue improving the service we offer. We hope to welcome you 
again in the near future.Read more</t>
  </si>
  <si>
    <t>GreatNewish hotel - only open 12 months I believe. Very handy for Brick Lane and 
Aldgate Tube Station. Very clean rooms and lovely welcoming staff. Great 
shower, comfy bed, good breakfast and great late night pizzas.Read moreDate 
of stay: October 2019HelpfulShare</t>
  </si>
  <si>
    <t>Climber667097 wrote a review Dec 20191 contribution</t>
  </si>
  <si>
    <t>Excellent locationWithin easy walking distance of the theatres and Covent Garden, this hotel 
is in a great location. Clean, comfortable and surprisingly quiet. Although 
we didn't eat breakfast it looked and smelled appetising. Well priced for 
it's central location. We will certainly stay again.Read moreReview 
collected in partnership with TravelodgeDate of stay: November 
2019HelpfulShare</t>
  </si>
  <si>
    <t>Richsalsbury wrote a review Oct 2019Bromley, United Kingdom5 contributions8 
helpful votes</t>
  </si>
  <si>
    <t>SuperbReally impressed, comfortable rooms and friendly staff. Really really good 
- I would highly recommend this Travelodge - great connection to London, 
lovely restaurants opposite. Breakfast was great. It was easy to book 
online via the website.Read moreReview collected in partnership with 
TravelodgeDate of stay: October 2019HelpfulShare</t>
  </si>
  <si>
    <t>https://www.tripadvisor.co.uk/Hotel_Review-g186338-d193057-Reviews-or395-Travelodge_London_Covent_Garden-London_England.html#REVIEWS</t>
  </si>
  <si>
    <t>Tripsgallore wrote a review Nov 2019England66 contributions33 helpful votes</t>
  </si>
  <si>
    <t>https://www.tripadvisor.co.uk/Hotel_Review-g186338-d13569031-Reviews-or280-Travelodge_London_City_hotel-London_England.html#REVIEWS</t>
  </si>
  <si>
    <t>judithhut2n wrote a review Oct 20191 contribution</t>
  </si>
  <si>
    <t>Back of the hotel, noisy roomUnfortunately although I have stayed in this hotel before, we were put in 
an awful room, in middle of hotel, window blinds closed because view was 
internal, noisy from other guests and building noises, didn't feel clean 
and felt old and tired. Would not recommend this - there are better 
upmarket hotels in London at same price as Travelodge charge just because 
they are centre of London.Read moreReview collected in partnership with 
TravelodgeDate of stay: November 2019HelpfulShareResponse from 
TravelodgeUK, Zack from The Social Media Team at Travelodge London Covent 
GardenResponded 2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</si>
  <si>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glenth0mas wrote a review Nov 2019London, United Kingdom4 contributions1 
helpful vote</t>
  </si>
  <si>
    <t>Travelodge Covent Garden - good location and value for moneyStayed for a business trip. From check in to the stay was all excellent and 
I would have no hesitation in staying here again. On floor 6 - no wait for 
lifts - room very quiet - staff could not have been more helpful 
(especially the Assistant Manager who checked me in)Read moreReview 
collected in partnership with TravelodgeDate of stay: November 
2019HelpfulShare</t>
  </si>
  <si>
    <t>Good value for moneyClean, modern hotel close to Aldgate &amp; Aldgate East tube stations. 
Welcoming, friendly staff. Great shower &amp; very comfortable bed. Room was at 
back of hotel so quiet and private. Although the hotel was busy the staff 
had plenty time to chat &amp; were always available to help. No hairdryers in 
the rooms so ask at reception if you need one.Read moreReview collected in 
partnership with TravelodgeDate of stay: October 2019HelpfulShare</t>
  </si>
  <si>
    <t>ann wrote a review Nov 20195 contributions1 helpful vote</t>
  </si>
  <si>
    <t>elenanaborri wrote a review Oct 2019Milan, Italy1 contribution</t>
  </si>
  <si>
    <t>Very good experienceVery nice and professional staff. Room clear and tidy.The location is 
perfect. The right hotel for business and leisure travel. The service has 
been very good. The cost is worth the service received !Read moreReview 
collected in partnership with TravelodgeDate of stay: September 
2019HelpfulShare</t>
  </si>
  <si>
    <t>Not good valueI think for £180 a night there should at least be a hair dryer in the room, 
a box of tissues and a bath mat. Main light not working and bathroom 
grubby. The staff were very pleasant and helpful. Location is the only 
plus.Read moreDate of stay: November 2019HelpfulShareResponse from 
TravelodgeUK, Zack from The Social Media Team at Travelodge London Covent 
GardenResponded 28 Nov 2019Thank you for submitting your review. We are 
pleased to hear you were happy with the location of the hotel and found the 
staff to be pleasant and helpful, however we are sorry to hear of your 
disappointment with the facilities provided in the room. Please be assured 
the hotel managers check Tripadvisor reviews of their hotels so your 
comments will be reviewed by the hotel's team. Thank you again for leaving 
this review and we do hope that you choose to stay with us again in the 
future.Read more</t>
  </si>
  <si>
    <t>eddoria wrote a review Sep 2019Allambie Heights, Australia31 contributions9 
helpful votes</t>
  </si>
  <si>
    <t>Great location and price in a modern TravelodgeStayed for two weeks and found the cost great value for money. There is a 
bar and a restaurant underneath the hotel. The service was great and would 
highly recommend this hotel. Easy access to Aldgate, Aldgate East and 
Liverpool Street stations. Many places to eat in the neighbourhood. Also 
there are markets in the streets around the hotel.Read moreDate of stay: 
August 2019HelpfulShare</t>
  </si>
  <si>
    <t>rosebug wrote a review Sep 2019beds3,209 contributions300 helpful votes</t>
  </si>
  <si>
    <t>https://www.tripadvisor.co.uk/Hotel_Review-g186338-d193057-Reviews-or400-Travelodge_London_Covent_Garden-London_England.html#REVIEWS</t>
  </si>
  <si>
    <t>Dogwalkertwo wrote a review Nov 2019Aylesford, United Kingdom49 
contributions16 helpful votes</t>
  </si>
  <si>
    <t>https://www.tripadvisor.co.uk/Hotel_Review-g186338-d13569031-Reviews-or285-Travelodge_London_City_hotel-London_England.html#REVIEWS</t>
  </si>
  <si>
    <t>Not unless you are drunk!There are two sites for this hotel. The cab dropped us outside the one in 
Drury lane. I'm disabled and we were dismayed to find there were steps to 
the entrance, not just a few but about 50, possibly more. My friend went to 
enquire how I would get into the building and was directed to the side of 
the building. So we walked along a grotty side road and found a very 
unwelcoming ramp with thick concrete sides. As we walked up the ramp, then 
the next it looked like a Russian bunker from the cold War. There actually 
was a bulk head light with Russian wife written on it! I kid you not. Then 
we reached a tall black gate that was locked. We rang the bell and a man 
appeared out of a shed! To buzz us in to a concrete area. Who were they 
trying to keep out?! We went across to a door to…Read moreDate of stay: 
November 2019HelpfulShareResponse from TravelodgeUK, Zack from The Social 
Media Team at Travelodge London Covent GardenResponded 28 Nov 2019Thank you 
for taking the time to review our hotel. We are really sorry to hear that 
you encountered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</si>
  <si>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Eric C wrote a review Sep 20194 contributions1 helpful vote</t>
  </si>
  <si>
    <t>Liv M wrote a review Nov 20197 contributions1 helpful vote</t>
  </si>
  <si>
    <t>A little pricey for a Travelodge, but new and nice.Stayed 2 nights in London at this hotel. It's a Travelodge, so you don't 
get a phone, the room is fairly no-frills, and the bathroom is small. Still 
the location is very good, and everything is new and clean, room was quiet. 
Staff was very friendly. Restaurant looked good, but I'm not going to pay 
almost 10 pounds for breakfast. Wifi was good. There is another (older) 
Travelodge just 2 blocks away, which is where our Taxi accidentally brought 
us. Other than that no issues.Read moreDate of stay: September 
2019HelpfulShare</t>
  </si>
  <si>
    <t>djMallyClark wrote a review Sep 2019Rotterdam, The Netherlands3 
contributions</t>
  </si>
  <si>
    <t>London hotelSmart quality hotel. Excellent room with great shower and comfortable bed. 
Convenient and great location, shops and restaurants nearby, two tubes 
stations at walking distance. Polite and friendly staff.Read moreReview 
collected in partnership with TravelodgeDate of stay: September 
2019HelpfulShare</t>
  </si>
  <si>
    <t>nednaylor wrote a review Nov 2019Portsmouth, United Kingdom11 
contributions2 helpful votes</t>
  </si>
  <si>
    <t>https://www.tripadvisor.co.uk/Hotel_Review-g186338-d13569031-Reviews-or290-Travelodge_London_City_hotel-London_England.html#REVIEWS</t>
  </si>
  <si>
    <t>Great location.Right by Covent Garden and Leicester Square. Big hotel but courtesy and 
care taken to ensure customers enjoy their stay. Clean rooms and helpful 
staff. We were allocated a room with a good view. Most satisfied with our 
stay.Read moreReview collected in partnership with TravelodgeDate of stay: 
November 2019HelpfulShare</t>
  </si>
  <si>
    <t>Raff_Paul wrote a review Sep 2019Sydney2 contributions</t>
  </si>
  <si>
    <t>johnlime wrote a review Nov 2019Essex8 contributions4 helpful votes</t>
  </si>
  <si>
    <t>Londrina for 3 days.3days in London. Awesome location for all we needed. Close to fast 
transportation, tube. Clean, confortable, well priced. Good breakfast, 
great staff. Easy check in and check out. Would return in future if need 
be. Paul.Read moreReview collected in partnership with TravelodgeDate of 
stay: September 2019HelpfulShare</t>
  </si>
  <si>
    <t>https://www.tripadvisor.co.uk/Hotel_Review-g186338-d193057-Reviews-or405-Travelodge_London_Covent_Garden-London_England.html#REVIEWS</t>
  </si>
  <si>
    <t>Richard P wrote a review Nov 2019Shrewsbury, United Kingdom38 
contributions9 helpful votes</t>
  </si>
  <si>
    <t>siobmc12 wrote a review Sep 2019Limerick, Ireland18 contributions42 helpful 
votes</t>
  </si>
  <si>
    <t>Value for money. Excellent central location.We have used this hotel now on several occasions and have always found it 
to be clean. Its location close to Leicester Square's "theatreland" and 
Covent Garden is excellent. We have always found the staff to be friendly, 
pleasant and helpful and the breakfast to be good - all for a very 
reasonable price for Central London.Read moreReview collected in 
partnership with TravelodgeDate of stay: November 2019HelpfulShare</t>
  </si>
  <si>
    <t>Fantastic location, friendly staff and spotless hotelI stayed here for 3 nights- the location is perfect just a stroll away from 
many tube stations. The hotel itself was absolutely spotless, the checkin 
process was flawless- the kept my bag behind reception for a few hours as I 
arrived off an early flight. My room was immaculate and the bed was 
amazing, along with the shower. Every member of staff was friendly, helpful 
and made me feel completely comfortable. The travelodge brand is great 
value for money- it clearly advertises and provides a basic service ie no 
hairdryer or toiletries, but it’s cleanliness and customer service more 
than make up for it. First time ever staying with travelodge and won’t be 
the lastRead moreDate of stay: September 2019HelpfulShare</t>
  </si>
  <si>
    <t>GehGJ wrote a review Sep 2019Frederick, Maryland8 contributions</t>
  </si>
  <si>
    <t>Perfect locationThe room was clean and comfortable. The staff was friendly, helpful and 
answered our many questions. The lobby was also comfortable. It was a 
perfect place to relax and have a cappuccino. We would stay here again and 
recommend it to anyone traveling to London.Read moreDate of stay: September 
2019HelpfulShare</t>
  </si>
  <si>
    <t>https://www.tripadvisor.co.uk/Hotel_Review-g186338-d13569031-Reviews-or295-Travelodge_London_City_hotel-London_England.html#REVIEWS</t>
  </si>
  <si>
    <t>HKDChicago wrote a review Sep 2019Chicago, Illinois3 contributions</t>
  </si>
  <si>
    <t>PaulSBarber wrote a review Nov 2019UK5 contributions2 helpful votes</t>
  </si>
  <si>
    <t>Great London Hotel!Stayed at Travelodge London City. Great location-near tube and eateries. 
Great value! Loved it was a new hotel. Spend a little extra for the super 
room, worth it for the extra amenities. Completely surpassed what I knew of 
Travelodge brand.Read moreReview collected in partnership with 
TravelodgeDate of stay: September 2019HelpfulShare</t>
  </si>
  <si>
    <t>Great Location for central London and easy from EustonStayed in London for work many times. Like somewhere near Euston as I like 
to walk. Not used travel lodge in London before as I usually use 
booking.com which mixed results. Paid slightly more than I would usually 
have done, but you know what you are getting with Travel Lodge and will use 
again. Check in facilities need improvingRead moreReview collected in 
partnership with TravelodgeDate of stay: November 2019HelpfulShare</t>
  </si>
  <si>
    <t>FCimaloner wrote a review Sep 2019Derby, United Kingdom91 contributions48 
helpful votes</t>
  </si>
  <si>
    <t>GSan335 wrote a review Nov 2019Edinburgh, United Kingdom52 contributions17 
helpful votes</t>
  </si>
  <si>
    <t>Decent, clean hotelJust got back from staying here for 2 nights. It's a new hotel so is clean 
and looks fresh. We booked one of the Super Rooms as the price was quite 
competitive when compared to similar hotels and I fancied a change from the 
Premier Inn Hub Hotels I'd been staying in. Check in was quick and easy 
though the self check in kiosks were all out of order for some reason. Room 
was up on the 6th floor, all the corridors are nice and clean, the room 
also looked nearly new. There's plenty of space in these rooms for two 
people. There's a desk, clothes storage area, TV on the wall and a little 
tray of refreshments. The bathroom was also nice, new and clean and 
crucially there is a hair dryer fixed to the wall just outside the bathroom 
as well. Everything was absolutely fine and I wouldn't…Read moreDate of 
stay: September 2019HelpfulShare</t>
  </si>
  <si>
    <t>Harriet-H wrote a review Sep 201913 contributions</t>
  </si>
  <si>
    <t>So soCheck in was fairly quick We were given a ‘super room’ on the 9th (top) 
floor. It turned out to be a disabled room, which I thought was odd. Why 
put it in the top floor?? Anyway the room was comfy enough but just had a 
general uncared for feel. The bathroom was grubby (see photos). The next 
morning I put a ‘please make up my room’ card on the door. Unfortunately it 
wasn’t made up, nor was our friends room next door. This meant no teabags, 
no clean of the bathroom that was grubby before we arrived and no loo roll! 
They do offer a very handy luggage storage facility when you check out and 
the location is brilliant but not somewhere I’d rush back to.Read moreDate 
of stay: November 2019HelpfulShareResponse from TravelodgeUK, Niki from The 
Social Media Team at Travelodge London Covent GardenResponded 26 Nov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</si>
  <si>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All round good hotelFriendly helpful staff, clean and tidy very good location with easy access 
to London Liverpool pool Tower Hill and the underground, comfy beds nice 
breakfast some items a little cold and need to be fresher but in general 
worth the money and would definitely stay againRead moreReview collected in 
partnership with TravelodgeDate of stay: September 2019HelpfulShare</t>
  </si>
  <si>
    <t>Lisa wrote a review Nov 2019Manchester, United Kingdom291 contributions60 
helpful votes</t>
  </si>
  <si>
    <t>Ria C wrote a review Sep 2019Southampton, United Kingdom20 contributions4 
helpful votes</t>
  </si>
  <si>
    <t>Great locationHotel , very good price, very central, easy access too all parts of london, 
hotel very clean, rooms good size and proper beds in family room. Breakfast 
good, Reception staff very knowledgeable and will definitely return.Read 
moreDate of stay: September 2019HelpfulShare</t>
  </si>
  <si>
    <t>Vomit on the bathroom floorChecked into my room to find vomit on the floor. I should say the reception 
staff were very friendly and helpful however the rooms were a disaster. I 
had one super room booked. The first room I couldn't get into with the key 
card and after being sent up to the 4th floor 4 times with different key 
cards each time I was told the battery must have died in the door and was 
given a different room. The second room i got into without issue but found 
vomit on the bathroom floor (see photo) and clearly the toilet was also in 
need of a clean. I took the photo ands went back down to reception for a 
5th time and I was then given a third room on the ninth floor which was 
fine. The whole check in took 40 minutes. The staff were very apologetic 
but I did not receive any remuneration or…Read moreDate of stay: September 
2019HelpfulShareResponse from TravelodgeUK, Ben from the Social Media Team 
at Travelodge London Covent GardenResponded 25 Nov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</si>
  <si>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Crapscreenname wrote a review Sep 20191 contribution</t>
  </si>
  <si>
    <t>Clean pleasant chain hotelExactly what you would want from a chain hotel. Room was very clean, no 
grime in the bathroom and shower. Sheets where pure white and fresh. Cups 
and coffee station clean. Breakfast was a pretty good buffet style 
arrangement, everything appeared fresh. Two minutes walk to underground 
station. I wasn’t able to sign into the WiFi but as I had a good 4G signal 
I didn’t bother to complain.Read moreReview collected in partnership with 
TravelodgeDate of stay: September 2019HelpfulShare</t>
  </si>
  <si>
    <t>https://www.tripadvisor.co.uk/Hotel_Review-g186338-d193057-Reviews-or410-Travelodge_London_Covent_Garden-London_England.html#REVIEWS</t>
  </si>
  <si>
    <t>franklynalouishus wrote a review Nov 2019swansea262 contributions159 
helpful votes</t>
  </si>
  <si>
    <t>https://www.tripadvisor.co.uk/Hotel_Review-g186338-d1812157-Reviews-or65</t>
  </si>
  <si>
    <t>https://www.tripadvisor.co.uk/Hotel_Review-g186338-d13569031-Reviews-or300-Travelodge_London_City_hotel-London_England.html#REVIEWS</t>
  </si>
  <si>
    <t>Excellent locationStayed in the Drury Lane hotel, but you can check in at the reception area 
of either hotel. Room was a decent size, and the bed and linens were good, 
I am a light sleeper and enjoyed a great night sleep. We were able to walk 
to the hotel easily from Holborn tube station, and then it's so easy to get 
to the theatres , China Town, Covent Garden from there. The bar and 
restaurant are a bit open and basic, but this is the style of the Travel 
Lodge chain , so no frills, but it works. Check in and out are very quick 
and simple, with self check also available We would definitely stay again 
for the great location.Read moreDate of stay: November 2019HelpfulShare</t>
  </si>
  <si>
    <t>Emmajgreen86 wrote a review Sep 20191 contribution</t>
  </si>
  <si>
    <t>george m wrote a review Nov 20191 contribution</t>
  </si>
  <si>
    <t>Fab stay and great location!Hotel was fab, room clean, tidy and in a great location with tube stations 
very well sign posted. When we checked in we were able to leave our bags in 
the luggage room until our room was ready so we could go out and explore 
London freely. When we returned later to check into our room the lovely 
lady gave my son a kit kat which was a nice touch. Check in was speedy and 
straight forward. All staff we encountered during our stay were friendly 
and always greeted us with a smile. Breakfast was lovely with plenty choice 
and quickly being replenished when running low. I would definitley stay at 
this travel lodge again if we visit London in the future. Thanks again for 
a great stay!Read moreReview collected in partnership with this hotelDate 
of stay: September 2019HelpfulShare</t>
  </si>
  <si>
    <t>travellodgre covent gardenbar and restaurant need refurbishing, room was clean and tidy and 
functional, great location for covent garden and the west end, would have 
liked to get access to the rooms before 3.00pm, breakfast was great xRead 
moreReview collected in partnership with TravelodgeDate of stay: November 
2019HelpfulShare</t>
  </si>
  <si>
    <t>Stephen H wrote a review Sep 2019Devon, England103 contributions61 helpful 
votes</t>
  </si>
  <si>
    <t>MarkSmalleyNL wrote a review Nov 2019Ouderkerk aan de Amstel, The 
Netherlands168 contributions27 helpful votes</t>
  </si>
  <si>
    <t>Cheap ... and feels itThe main reason for staying at this hotel was the price, at less than £100 
it was certainly cheap especially considering the location. Room was OK 
space-wise, however I cannot understand the reluctance to have any real 
shelving as there was space for it. Bathroom was grotty, stained toilet, 
bits missing around the shower, and flaking paint on the roof. Biggest 
problem was noise and the temperature, no aircon and leaving the window 
open let in all the noise from the adjacent rail lines. With the window 
closed it got very hot ...... So a case of you get what you pay for 
.....Read moreDate of stay: September 2019HelpfulShareResponse from 
TravelodgeUK, Zack from The Social Media Team at Travelodge London City 
hotelResponded 19 Sep 2019Thank you for reviewing our London City hotel. We 
are sorry to learn of your disappointment with your stay. Our hotel team 
have confirmed with us that our hotel does have air conditioning and that 
the hotel is not situated near any rail lines, therefore we believe you may 
have posted this to the wrong business. If you wish to post this review to 
a new hotel, you are able to do this via the same method. Thanks again for 
your review.Read more</t>
  </si>
  <si>
    <t>DisappointingI stay at Travelodge a lot. Good value for money and a decent bed. The rest 
is nothing special but is usually tolerable. This property is borderline. 
Big room (1073) and quiet, but in need of some care. Hot water took about 5 
minutes to get up to the tenth floor - I almost gave up on it. Poor service 
in the restaurant (had to give my room number 3 times and the order twice) 
and the so-called fish and chips was one of the worst I've had. The peas 
were good, the chips OK, but the fish was covered in a very strange chewy 
substance. Not batter. Not fried. Still don't know what it was. I extracted 
the fish but there was hardly any to speak of. Quite weird. I've had other 
items from the menu which were good but this was terrible. Read moreDate of 
stay: November 2019HelpfulShareResponse from TravelodgeUK, Niki from The 
Social Media Team at Travelodge London Covent GardenResponded 24 Nov 
2019Thank you for taking the time to write a review regarding your stay at 
our London Covent Garden hotel. We want our customers to enjoy their 
experience in our café so we are sorry to hear that you were not positively 
impressed by your last stay in our hotel. We aim to provide a high level of 
service from our staff in our bar cafes and we do apologise that you did 
not receive this on this occasion. We will make the most of your comments 
to continue improving the service we offer and we hope to welcome you again 
in the near future.Read more</t>
  </si>
  <si>
    <t>Florentina P wrote a review Nov 20191 contribution</t>
  </si>
  <si>
    <t>https://www.tripadvisor.co.uk/Hotel_Review-g186338-d13569031-Reviews-or305-Travelodge_London_City_hotel-London_England.html#REVIEWS</t>
  </si>
  <si>
    <t>ExcellentWonderful hotel in a great locations.the hotel stay was very pleasant and 
comfortable, with good food. The most important was the fact that the staff 
are very polite and helpful.we had adriana, one member of the staff who was 
taking care of all our needs. Many thanks. We will be back againRead 
moreDate of stay: November 2019HelpfulShare</t>
  </si>
  <si>
    <t>https://www.tripadvisor.co.uk/Hotel_Review-g186338-d193057-Reviews-or415-Travelodge_London_Covent_Garden-London_England.html#REVIEWS</t>
  </si>
  <si>
    <t>Paul G wrote a review Sep 2019Southampton, United Kingdom21 contributions2 
helpful votes</t>
  </si>
  <si>
    <t>Great stayExcellent clean hotel with good facilities. Great walking distance from 
Tower of London. Good breakfast and well looked after by the staff who were 
quick to tidy and replenish food during a busy time.Read moreDate of stay: 
September 2019HelpfulShare</t>
  </si>
  <si>
    <t>brianm0rrissey wrote a review Sep 20191 contribution</t>
  </si>
  <si>
    <t>Michael wrote a review Nov 20191 contribution</t>
  </si>
  <si>
    <t>London TripModern hotel, well equipped and excellent service in a good location, 
enjoyed the breakfast and the super room was large enough and comfortable 
bed, shower was a bit slow but overall would recommend this place, wifi 
only free for 30 minutes - should be free at all timesRead moreReview 
collected in partnership with TravelodgeDate of stay: September 
2019HelpfulShare</t>
  </si>
  <si>
    <t>Good location and great customer serviceLovely and spacious room. Most impressed with super room and shower 
massage. Fantastic customer service(was checked in by Adriana,who I believe 
was the supervisor. At the same time she was dealing with other 
customers(very demanding) but she kept calm and kept smiling! Happy to 
return for another stay.Read moreDate of stay: October 2019HelpfulShare</t>
  </si>
  <si>
    <t>Janem0205 wrote a review Sep 2019Melbourne, Australia447 contributions113 
helpful votes</t>
  </si>
  <si>
    <t>Fernandez wrote a review Nov 20191 contribution</t>
  </si>
  <si>
    <t>Great Customer serviceAwesome stay! Adriana, was an extremely friendly, welcoming and helpful 
member of the team. High standards of customer care and service. Highly 
recommend the stay. Thank you so much should be more like her.Read moreDate 
of stay: October 2019HelpfulShare</t>
  </si>
  <si>
    <t>Comfortable and convenientWe stayed six nights at this Travelodge and found it clean and well 
located, particularly in the up and coming east end of London. The hotel is 
only a couple of years old, so not too worn yet and the rooms were small, 
but comfortable. Breakfast was a buffet, with plenty of choice and we tried 
the evening restaurant once - not great. Bar staff were civil, but front 
office staff were grumpy and unhelpful.Read moreDate of stay: July 
2019HelpfulShare</t>
  </si>
  <si>
    <t>LisaScott1969 wrote a review Sep 2019Christchurch, New Zealand1 contribution</t>
  </si>
  <si>
    <t>grimanesa dara wrote a review Nov 2019Las Palmas de Gran Canaria, Spain5 
contributions2 helpful votes</t>
  </si>
  <si>
    <t>Awesome!This Travelodge was easy to get to from the tube, it was clean and tidy and 
the staff were fantastic and helpful! What more can I say! I will 
definitely stay there next time I am in London! And I will be telling all 
my friends about my experience.Read moreReview collected in partnership 
with this hotelDate of stay: August 2019HelpfulShare</t>
  </si>
  <si>
    <t>Great experience and serviceAs soon as I arrived I was greeted by one of the supervisor's called 
Adriana. She was so well mannered and calm, took the time to answer my 
question and it was obvious that she knows her job. I booked a small room 
on a night out. Good accommodation for the amount of money I paidRead 
moreDate of stay: October 2019HelpfulShare</t>
  </si>
  <si>
    <t>Chez wrote a review Nov 2019Cowdenbeath, United Kingdom206 contributions175 
helpful votes</t>
  </si>
  <si>
    <t>https://www.tripadvisor.co.uk/Hotel_Review-g186338-d13569031-Reviews-or310-Travelodge_London_City_hotel-London_England.html#REVIEWS</t>
  </si>
  <si>
    <t>everlastindavey wrote a review Sep 20191 contribution</t>
  </si>
  <si>
    <t>Repeat bisitWe have been several times to hotel. I always choose here as you cannot get 
a better London location. Rooms are clean, bright. Showed great power, and 
great temperature, a,so Bath too. Breakfasts are great, good selection, 
cheery welcome each morning. Great free left luggage, I will always stay 
here in LondonRead moreDate of stay: November 2019HelpfulShare</t>
  </si>
  <si>
    <t>Great stayGreat stay. Didn’t take much to walk from Liverpool Street station. Was 
very impressed. Room was great comfortable bed, shower good. But did find 
the bathroom a little small. Only problem was room service menu at night 
very minimalRead moreReview collected in partnership with TravelodgeDate of 
stay: August 2019HelpfulShare</t>
  </si>
  <si>
    <t>https://www.tripadvisor.co.uk/Hotel_Review-g186338-d193057-Reviews-or420-Travelodge_London_Covent_Garden-London_England.html#REVIEWS</t>
  </si>
  <si>
    <t>Sandra T wrote a review Nov 2019Liverpool, United Kingdom1 contribution</t>
  </si>
  <si>
    <t>Happiness37777198448 wrote a review Sep 2019Lancaster, United Kingdom2 
contributions1 helpful vote</t>
  </si>
  <si>
    <t>RestaurantI spent two nights at the hotel and ate in the restaurant. The staff were 
excellent and made us feel very welcome. In particular I would like to 
thank Bruna, Marlene and Vanessa who provided a fantastic service whilst 
they served our food and drinks.Read moreDate of stay: November 
2019HelpfulShare</t>
  </si>
  <si>
    <t>London cityGood area to stay close to the shard, gherkin and monument, but it was too 
far to walk to the city, but Aldgate tube station was just around the 
corner. Staff very friendly and helpful and the hotel was cleanRead 
moreReview collected in partnership with TravelodgeDate of stay: September 
2019HelpfulShare</t>
  </si>
  <si>
    <t>Harris wrote a review Nov 2019London, United Kingdom3 contributions</t>
  </si>
  <si>
    <t>paulmarkides2019 wrote a review Sep 20191 contribution</t>
  </si>
  <si>
    <t>Great locationOn a night out great location, room was ok, clean,tidy,and basic but got a 
good night sleep, the hotel was extremely busy and all the staff seemed to 
be rushed, it seemed that they just wanted to do what they had to very 
quickly. If I am in central again would stay,but would like the human 
touchRead moreDate of stay: October 2019HelpfulShare</t>
  </si>
  <si>
    <t>London City TravelodgeExcellent in all respects. Very professional staff who looked after me very 
well. Nothing too much trouble. I tried to extend my stay but unfortunately 
hotel was fully booked and the prices were excessive during the week as 
opposed to weekend rates.Read moreReview collected in partnership with 
TravelodgeDate of stay: September 2019HelpfulShare</t>
  </si>
  <si>
    <t>AngelJude54 wrote a review Nov 2019North west33 contributions51 helpful 
votes</t>
  </si>
  <si>
    <t>Geoffrey C wrote a review Sep 2019New York City, New York19 contributions10 
helpful votes</t>
  </si>
  <si>
    <t>My best hotel stay in London. Ever.This place is phenominal from the entry desk to the bedroom to the 
breakfast room. Seamless booking on-line (in train from airport). Well 
informed friendly staff, everywhere clean and the mattress was the best 
that I've slept on. What more can Isay.Read moreReview collected in 
partnership with TravelodgeDate of stay: August 2019HelpfulShare</t>
  </si>
  <si>
    <t>DirtyWrong bedroom not accessible as booked only given a key for one night not 3 
as booked. Bathroom was filthy told the manager and no one came to clean it 
as expected got the impression i was a nuisance by mentioning these things, 
also the cleaners took the towels everyday despite me hanging them up a 
complete wasteRead moreReview collected in partnership with TravelodgeDate 
of stay: November 2019HelpfulShareResponse from TravelodgeUK, Niki from The 
Social Media Team at Travelodge London Covent GardenResponded 24 Nov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</si>
  <si>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bilbocroft wrote a review Nov 2019Milton Keynes, United Kingdom10 
contributions3 helpful votes</t>
  </si>
  <si>
    <t>https://www.tripadvisor.co.uk/Hotel_Review-g186338-d13569031-Reviews-or315-Travelodge_London_City_hotel-London_England.html#REVIEWS</t>
  </si>
  <si>
    <t>Jorge C wrote a review Sep 2019Bilbao, Spain14 contributions7 helpful votes</t>
  </si>
  <si>
    <t>Super (small) rooms but location, location, location.Superooms too snug for real comfort (I’m 6 feet tall) but clean and all 
basic requirements catered for. Good bed but not the quietest rooms and the 
breakfasts leave a lot to be desired - quantity not quality and the coffee 
was grim. The shower curtains are far too short so brace yourself for a 
flooded floor. That said this hotel is all about location - unbeatable. 
Staff very good especially the charming lady manning the bar area at night 
and early in the morning - an absolute gem.Read moreDate of stay: November 
2019HelpfulShareResponse from TravelodgeUK, Niki from The Social Media Team 
at Travelodge London Covent GardenResponded 24 Nov 2019Thank you for taking 
the time to review our London Covent Garden hotel. We're pleased that you 
found the staff to be helpful and friendly during your stay with us. We 
strive to offer our guests a good night’s sleep and an enjoyable experience 
whilst staying with us. That is why we are sorry to hear that you were not 
positively impressed by your stay. We will make the most of your comments 
to continue improving the service we offer. We hope to welcome you again in 
the near future.Read more</t>
  </si>
  <si>
    <t>Family tripOur stay at the hotel has been very good. The hotel is new and is in very 
good condition. The hotel communications are very good with 2 metro 
stations nearby. All staff has shown a lot of professionalismRead 
moreReview collected in partnership with TravelodgeDate of stay: September 
2019HelpfulShare</t>
  </si>
  <si>
    <t>Yvonne C wrote a review Sep 20191 contribution</t>
  </si>
  <si>
    <t>alanmullarkey wrote a review Nov 2019Manchester, United Kingdom1 
contribution</t>
  </si>
  <si>
    <t>One night stayThe hotel was very clean and all the staff that I encountered were very 
friendly and helpful. My room was lovely and clean and I especially liked 
the Bath sheet towels!! I would have no hesitation in recommending this 
hotel.Read moreReview collected in partnership with TravelodgeDate of stay: 
September 2019HelpfulShare</t>
  </si>
  <si>
    <t>London TravelodgeWe always stay in this hotel when visiting London which is a couple of 
times each year. Its in an ideal central location close to Covent Garden 
and the West End Theartre District. The staff have always been friendly and 
helpful. There is no problem leaving your bags after you checkout if you 
still have a few hours to kill.Read moreReview collected in partnership 
with this hotelDate of stay: August 2019HelpfulShare</t>
  </si>
  <si>
    <t>ahmedkhan1981 wrote a review Sep 2019London, United Kingdom1 contribution</t>
  </si>
  <si>
    <t>https://www.tripadvisor.co.uk/Hotel_Review-g186338-d193057-Reviews-or425-Travelodge_London_Covent_Garden-London_England.html#REVIEWS</t>
  </si>
  <si>
    <t>London CityGreat new feel Hotel good value for money, easy to get to form 2 easy 
stations on the district line, reception staff are friendly and 
professional and the room itself is quality, I did pick a super roomRead 
moreReview collected in partnership with TravelodgeDate of stay: August 
2019HelpfulShare</t>
  </si>
  <si>
    <t>rdjackson2019 wrote a review Nov 20191 contribution</t>
  </si>
  <si>
    <t>HPLondon wrote a review Sep 2019London, United Kingdom84 contributions14 
helpful votes</t>
  </si>
  <si>
    <t>overnight staywe were very pleased with our stay very comfy &amp; clean bed .Lovely staff .We 
eat here before going to the theatre good offers on a meal deal. very quiet 
at night.It does have a lot of steps at entrance but does have a disabled 
entrance at side.Read moreReview collected in partnership with 
TravelodgeDate of stay: November 2019HelpfulShare</t>
  </si>
  <si>
    <t>Standard travelodge hotelRoom clean, no character at all, very basic amenities. No gym. Staff fine, 
quick check in despite a queue. No glass in room. Room heated up very 
quickly. No bedside table. Cheap for London city however.Read moreDate of 
stay: September 2019HelpfulShare</t>
  </si>
  <si>
    <t>eric140253 wrote a review Nov 2019Weston-super-Mare, United Kingdom2 
contributions</t>
  </si>
  <si>
    <t>Good budget hotel in ideal positionEverything was 'okay', not great, just satisfactory for a budget hotel. 
It's location made it an ideal stop-over for a few days in Covent garden. 
Rooms were adequate, a bit spartan which more furniture would have 
resolved. Had a major issue with getting the room cleaned.Read moreReview 
collected in partnership with TravelodgeDate of stay: November 
2019HelpfulShareResponse from TravelodgeUK, Ben from the Social Media Team 
at Travelodge London Covent GardenResponded 12 Dec 2019Thank you for taking 
the time to share your experience of your stay at our London Covent Garden 
Travelodge with us. We're pleased to hear that you liked the hotels 
location however we are sorry to learn of your disappointment with the 
facilities in the room and the problems with housekeeping.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</si>
  <si>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https://www.tripadvisor.co.uk/Hotel_Review-g186338-d13569031-Reviews-or320-Travelodge_London_City_hotel-London_England.html#REVIEWS</t>
  </si>
  <si>
    <t>Nicnat2018 wrote a review Nov 201936 contributions5 helpful votes</t>
  </si>
  <si>
    <t>FlavioSuf wrote a review Sep 2019Savona, Italy2 contributions</t>
  </si>
  <si>
    <t>One week at the London City TravelodgeTravelodge London City a new hotel of a large hotel chain in central London 
in a quiet and handy area with all services. The hotel is: comfortable, 
clean, near 4 metro stations; has welcoming friendly staff and a great 
breakfast.Read moreReview collected in partnership with TravelodgeDate of 
stay: September 2019HelpfulShare</t>
  </si>
  <si>
    <t>Great staff BUT dirty old hotelI recently stayed at the Travelodge in Covent Garden for business. As 
mentioned in the title, the staff were lovely - majority of them were 
pretty young and inexperienced but still friendly and helpful. When 
entering the hotel, it looks okay - big reception and bar area. The closer 
I got to my room, I realised how old and scruffy the hotel was. The lift 
was rickety, the carpets looked extremely tired and most walls had chips or 
scuffs out of them. My room: I was put in a family room, so I can't 
complain on size but the cleanliness was terrible! The toilet had brown 
marks in like it needed a good scrub. The bath was dirty The tiles were 
filthy and streaked as though the last guest was a woman who wore fake tan. 
The worst out of all was the sink. There was a thick layer of…Read moreDate 
of stay: November 2019HelpfulShareResponse from TravelodgeUK, Zack from The 
Social Media Team at Travelodge London Covent GardenResponded 21 Nov 
2019Thank you for leaving your review of our London Covent Garden hotel. We 
are pleased to hear that the staff provided good service during your stay, 
however we are so sorry to hear of your disappointment with the food at our 
hotel and also the cleanliness of your room.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</si>
  <si>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stressedoutmama wrote a review Sep 2019Sheffield, England90 contributions36 
helpful votes</t>
  </si>
  <si>
    <t>thejones14 wrote a review Nov 2019West Yorkshire, United Kingdom22 
contributions6 helpful votes</t>
  </si>
  <si>
    <t>A Great StayMy usual go to budget hotel chain in England has always been Premier Inn 
however they’re out of my price range for business travel to London, which 
turned out to be a good thing. Travelodge have really narrowed the gap with 
this new hotel. Room standards (at least in the superior rooms) are 
comparable. Dining facilities are also comparable with the cafe providing 
meals to eat in (some to take back to your room) and a hot and cold buffet 
breakfast. Cleanliness of the rooms was good, location excellent being a 
couple of mins from both Aldgate and Aldgate East tube stations and well 
serviced by buses. Lots of bars, restaurants and convenience supermarkets 
in close distance. I came for work but would come back again for a leisure 
stay in London.Read moreDate of stay: September 2019HelpfulShare</t>
  </si>
  <si>
    <t>Excellent locationMuch better than expected, updated room, very friendly and helpful staff, 
efficient check in, basic but tasty breakfast with plenty of choice. 
Facility to leave luggage after check out. The bar served a variety of gin 
and tonics/ beers at competitive prices.Read moreReview collected in 
partnership with this hotelDate of stay: August 2019HelpfulShare</t>
  </si>
  <si>
    <t>CallySuidAfrika wrote a review Sep 2019Vereeniging, South Africa4 
contributions</t>
  </si>
  <si>
    <t>https://www.tripadvisor.co.uk/Hotel_Review-g186338-d193057-Reviews-or430-Travelodge_London_Covent_Garden-London_England.html#REVIEWS</t>
  </si>
  <si>
    <t>Great value and location for your money!Great location. Staff extremely friendly and helpful! Great atmosphere in 
the morning and evening in the café/bar area. Little bit more care to 
cleaning bathroom and removing dirty glasses from room but general 
cleanliness very good! Had a great time and will definitely be returning to 
Travelodge London City Hotel! Thank you to all the staff...Read moreReview 
collected in partnership with TravelodgeDate of stay: August 
2019HelpfulShare</t>
  </si>
  <si>
    <t>https://www.tripadvisor.co.uk/Hotel_Review-g186338-d13569031-Reviews-or325-Travelodge_London_City_hotel-London_England.html#REVIEWS</t>
  </si>
  <si>
    <t>Jonp37 wrote a review Sep 2019Norwich47 contributions15 helpful votes</t>
  </si>
  <si>
    <t>742sallye wrote a review Nov 2019London, United Kingdom2 contributions</t>
  </si>
  <si>
    <t>Perfect locationNice clean hotel with air con in rooms. Perfect central location with 
Liverpool st station nearby and Aldgate just around the corner. Plenty of 
bars in the area to choose from. Will stay here again as great value for 
money.Read moreDate of stay: September 2019HelpfulShare</t>
  </si>
  <si>
    <t>Dawn T wrote a review Sep 20191 contribution</t>
  </si>
  <si>
    <t>A very comfortable night at the Covent Garden TravelodgeThe new super rooms are spacious, well equiped and good value for money. 
All the staff were friendly and extremely helpful. An extremely hearty 
breakfast which was well organised allowing people to be in and out quickly 
or to take their time if so wished.Read moreReview collected in partnership 
with TravelodgeDate of stay: November 2019HelpfulShare</t>
  </si>
  <si>
    <t>Great place to stay!Couldn't fault this hotel. Reception staff were lovely and check in was 
quick. The hotel and the room were very clean and well pressented. Great 
value for money considering the hotel is in the city. Slept very soundly 
and the room was a good size. Will be staying again!Read moreReview 
collected in partnership with TravelodgeDate of stay: September 
2019HelpfulShare</t>
  </si>
  <si>
    <t>Duncan P wrote a review Sep 2019Devon, United Kingdom11 contributions7 
helpful votes</t>
  </si>
  <si>
    <t>https://www.tripadvisor.co.uk/Hotel_Review-g186338-d193057-Reviews-or435-Travelodge_London_Covent_Garden-London_England.html#REVIEWS</t>
  </si>
  <si>
    <t>Really, Really Good!!!I wouldn't normally review a Travelodge, as it is... A Travelodge... 
However, stayed at this brand new London City Middx Street one over the 
weekend, along with six other guests, from New Zealand, Texas, San 
Francisco etc. (in separate rooms I might add) and it was exceptionally 
good. Room was immaculately clean, shower powerful and HOT, (usual 
Travelodge fayre,) but what made it special was the staff at this location. 
I REALLY hope the management team read these reviews, as the staff there 
made it feel anything but a chain budget hotel, the bar staff, (put up with 
all of our shenanigans with a smile, wit, intelligence and massive courtesy 
into the early hours) Breakfast team, evening and night shift were awesome, 
great people. Travelodge need to be very grateful to these…Read moreDate of 
stay: September 2019HelpfulShare</t>
  </si>
  <si>
    <t>Graham J J wrote a review Nov 2019St Albans, United Kingdom4 contributions2 
helpful votes</t>
  </si>
  <si>
    <t>GoPlaces32549734633 wrote a review Sep 20193 contributions</t>
  </si>
  <si>
    <t>Bad start - good endingUpon arrival our early check in room was not made up and we played yo-yo up 
and down in the lift. The duty manager called Marina, was very apologetic 
and extremely helpful, she gave us a better room and free drinks and 
breakfast vouchers - this more than made up for the inconvenience. There is 
only one lift at this hotel and it can be bothersome !!Read moreReview 
collected in partnership with TravelodgeDate of stay: November 
2019HelpfulShare</t>
  </si>
  <si>
    <t>Stay in londonGood hotel , good location for all trips in London. Near to Aldgate , 
Aldgate east and Liverpool street underground stations , but far enough 
away to still be quiet. Only about 10 minute walk away. Don't bother about 
Pettycoat lane market as its nothing like it used to be.Read moreReview 
collected in partnership with TravelodgeDate of stay: September 
2019HelpfulShare</t>
  </si>
  <si>
    <t>RJW1973 wrote a review Sep 2019Dublin7 contributions2 helpful votes</t>
  </si>
  <si>
    <t>lc1990 wrote a review Nov 2019Manchester, United Kingdom5 contributions</t>
  </si>
  <si>
    <t>Good locationWe’ve stopped at this hotel several times, mainly because the location is 
so ideal. Walking distance to the theatres, Leicester Square, Trafalgar 
Square, all the tourist spots. The hotel is always clean and exactly what 
you’d expect. It can get noisy and we were woken up several times with 
drunken people in the hallways, but nothing unbearable. Staff are lovely 
and always happy to help, I’d definitely recommend for the location and 
reasonable prices.Read moreDate of stay: November 2019HelpfulShare</t>
  </si>
  <si>
    <t>Lovely London Holiday WeekendOur family (2 adults, 2 teenagers, 2 kids) stayed in this lovely new 
Travelodge for 2 nights at end of August for our London weekend break. 
Walking distance from Liverpool St. so convenient for Ryanair from Dublin 
to Stansted. This is a lovely, clean, new and modern hotel that is 
reasonably priced. Family rooms could take 4 but we needed two of these and 
asked for these next door to each other (no adjoining rooms). Rooms were 
very clean, beds comfortable, buffet breakfast was perfect for our family. 
Foyer is bright and modern with different seating options. Staff were 
young, professional and helpful. Two negatives - trying to charge us €10 
for early check-in when we arrived before 3:00, when it was obvious the 
rooms were ready, we just wanted to get into room briefly before…Read 
moreDate of stay: August 20191 Helpful voteHelpfulShare</t>
  </si>
  <si>
    <t>Katie-Fenton wrote a review Nov 2019Grantown-on-Spey, United Kingdom86 
contributions39 helpful votes</t>
  </si>
  <si>
    <t>https://www.tripadvisor.co.uk/Hotel_Review-g186338-d13569031-Reviews-or330-Travelodge_London_City_hotel-London_England.html#REVIEWS</t>
  </si>
  <si>
    <t>riazmanjra wrote a review Sep 2019Birmingham, United Kingdom1 contribution</t>
  </si>
  <si>
    <t>Family rooms in separate buildingPublic spaces look ok and to be fair our room was clean but it was old and 
tired very tired. If a chair has chunks out of the arms you should remove 
it imo buy to be fair the beds were comfortable and clean although knowing 
there are 4 people staying in the room you'd make sure there were enough 
towels without being having to be asked twice. It was a great location and 
the price was fair but the family rooms which are in a separate location to 
the main hotel need stripping out and starting again.Read moreDate of stay: 
November 20191 Helpful voteHelpfulShareResponse from TravelodgeUK, Ben from 
the Social Media Team at Travelodge London Covent GardenResponded 18 Nov 
2019Thank you for taking the time to write a review about our London Covent 
Garden hotel. We're pleased to hear that you liked the hotels location and 
you found your room to be clean and comfortable however we are sorry to 
learn that you felt the room was tired. We have an ongoing refurbishment 
program and, while we cannot refurbish every hotel simultaneously, we are 
working to make sure that hotels are refurbished regularly. We appreciate 
all the feedback we receive and our Hotel Managers regularly review their 
TripAdvisor reviews in order to fix any issues raised and pass on feedback 
to their team. Thank you once again and we do hope you will stay with us in 
the future.Read more</t>
  </si>
  <si>
    <t>Perfect!A great hotel, fantastic location and the staff were amazing especially 
Yasmin. I will definitely stay here again and strongly recommend. All the 
facilities were as expected and all the staff are always willing to go out 
of their way for you.Read moreReview collected in partnership with 
TravelodgeDate of stay: August 2019HelpfulShare</t>
  </si>
  <si>
    <t>jojowoolybak wrote a review Nov 2019Sheffield, United Kingdom73 
contributions19 helpful votes</t>
  </si>
  <si>
    <t>miffythevampirebat wrote a review Sep 2019Nottingham, United Kingdom122 
contributions37 helpful votes</t>
  </si>
  <si>
    <t>Visited numerous timesI have been here about 2/3 times as it is close to work. It is nice and 
modern, rooms are always clean and have never had an issue with the food. 
Nice and near the tube stations as well. Will continue to useRead moreDate 
of stay: June 2019HelpfulShare</t>
  </si>
  <si>
    <t>Great locationStayed 2 nights over a weekend in the Drury Lane building, we had a 
superior room, not the largest room by any means but it was lovely &amp; clean. 
When we checked in, the lady on reception was welcoming &amp; friendly. I would 
definitely stay here again.Read moreDate of stay: November 2019HelpfulShare</t>
  </si>
  <si>
    <t>PollyCanada wrote a review Sep 2019Canada5 contributions4 helpful votes</t>
  </si>
  <si>
    <t>stephenchristiner wrote a review Nov 2019Doncaster, United Kingdom7 
contributions6 helpful votes</t>
  </si>
  <si>
    <t>Great hotel - modern and cleanStayed in a family room for over a week while we explored London. Hotel is 
in a great location that is very close to Aldgate or Aldgate East 
Underground stations. As the hotel is a new building everything was very 
clean and modern. Rooms are small but the beds are very comfy and the room 
was quiet. Lots of charging plugs in the room too. Excellent breakfast and 
good menu if you want/need to eat in the hotel at night. Would definitely 
recommend the hotel to friends and would definitely stay there again. My 
only quibble is that the back of our bathroom door was missing a hook to 
hang our wet towels. My sister’s room had hooks so somehow our room had 
been skipped.Read moreDate of stay: August 2019HelpfulShare</t>
  </si>
  <si>
    <t>Quite expensive for what you getThe hotel is in a good position quite expensive for what you get (£560.00 
for 3 nights and cleaned my own room),you have to ask for your rooms to be 
cleaned, no hand towels had to ask reception for toilet paper (this was 
after the room was cleaned)Read moreReview collected in partnership with 
TravelodgeDate of stay: November 2019HelpfulShare</t>
  </si>
  <si>
    <t>EveryOtherYear wrote a review Sep 2019Melbourne, Australia104 
contributions55 helpful votes</t>
  </si>
  <si>
    <t>https://www.tripadvisor.co.uk/Hotel_Review-g186338-d193057-Reviews-or440-Travelodge_London_Covent_Garden-London_England.html#REVIEWS</t>
  </si>
  <si>
    <t>Nice hotel in a great locationThe location of this hotel is great. A short walk to many London sights and 
an easy walk to Brick Lane if you feel like a curry. The rooms are clean 
and modern - not brilliant but absolutely great value for money for a hotel 
in central London.Read moreDate of stay: September 2019HelpfulShare</t>
  </si>
  <si>
    <t>https://www.tripadvisor.co.uk/Hotel_Review-g186338-d13569031-Reviews-or335-Travelodge_London_City_hotel-London_England.html#REVIEWS</t>
  </si>
  <si>
    <t>Papa francesco wrote a review Nov 20191 contribution</t>
  </si>
  <si>
    <t>Tom wrote a review Aug 2019London5 contributions3 helpful votes</t>
  </si>
  <si>
    <t>https://www.tripadvisor.co.uk/Hotel_Review-g186338-d1812157-Reviews-or70</t>
  </si>
  <si>
    <t>Super roomI saw a room on a good deal then decided to pay £10 extra to try out a 
Super Room. It was worth it. The standard of decor and lighting was better 
and the power shower was great to use, plus you get a hair dryer, iron and 
ironing board and a real coffee machine and a couple of Kit Kat biscuits. 
Despite it being 32 degrees in the noisy traffic filled street outside, the 
room was cool and very quiet. I got a great night's sleep. The only thing 
that would make it better would be a larger TV with a better tuned picture. 
The staff were friendly and helpful.Read moreReview collected in 
partnership with this hotelDate of stay: August 2019HelpfulShare</t>
  </si>
  <si>
    <t>Terrible room, terrible organisationBooked in on Monday and asked if i wanted a high up or low down room (nice 
touch) so said I would like a high up room. Was put on third floor (later 
realised this was 3rd out of 8 floors so f**k knows why i was asked). Put 
in corner room with noisy aircon no space to move. Curtains were broke so 
did not close fully. Had to use shoes to ensure they stayer closed and 
apartment across the street could not see me. Breakfast was ok no 
complaints here. Went to work Tuesday and came back to my room uncleaned. 
Still had one towel left and some toilet roll so never complained. Came 
back Thursday evening and room still untidy. I had no towels left at this 
point. Flagged this to reception who advised my room will not be tidied 
unless I put a sign on saying I want my room tidied. No…Read moreDate of 
stay: November 2019HelpfulShareResponse from TravelodgeUK, Shaf from the 
Social Media Team. at Travelodge London Covent GardenResponded 14 Nov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</si>
  <si>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Notanotherreviewer wrote a review Nov 20194 contributions2 helpful votes</t>
  </si>
  <si>
    <t>nicolawilliams9 wrote a review Aug 2019Chepstow, United Kingdom1 
contribution</t>
  </si>
  <si>
    <t>Great location for visiting East EndGreat location 5 min walk from choice of 2 Aldgate stations, 10-15 min walk 
to Tower of London &amp; Thames cruises. Petticoat lane market is at end of 
street on a Sunday Spitalfields Market also on a Sunday has great street 
food &amp; street entertainers. Recommend curry in Brick Lane 15 min walk away. 
10 min tube ride to city centre, had a great time exploring the East 
End.Read moreReview collected in partnership with TravelodgeDate of stay: 
August 2019HelpfulShare</t>
  </si>
  <si>
    <t>Utter disgraceRocked up at 11pm to book into my ‘super’ room. Got given my key, and 
headed to the room. Opened the door to find some fella lying on the bed 
watching TV! Went back to reception, and got a semi apology (didn’t really 
mean it, and felt like I was inconveniencing him). So go given a new room 
key. Had to then LEAVE the hotel, and walk to another version of the same 
place about a minute away. Went up to my room to find out it was a BOG 
STANDARD ROOM. Went downstairs and asked to speak to the manager. They 
couldn’t have been less interested if they tried. No apology, no offer to 
put things right. Just blaming it on a system glitch and that there was 
nothing to be done. Again, no apology, not even an offer of a drink or free 
breakfast or anything. It just totally felt like I…Read moreDate of stay: 
November 20191 Helpful voteHelpfulShareResponse from TravelodgeUK, Shaf 
from the Social Media Team. at Travelodge London Covent GardenResponded 14 
Nov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</si>
  <si>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fmupambireyi wrote a review Aug 20191 contribution</t>
  </si>
  <si>
    <t>59maria2013 wrote a review Nov 2019Rugby, United Kingdom24 contributions11 
helpful votes</t>
  </si>
  <si>
    <t>good experienceGreat location, 3 minute walk from Aldgate tube station, reasonably close 
and commutable distance to London Bridge and other tourist places. Newish 
clean hotel, kids loved the pizza and burgers served here, very helpful, 
accomodating staff.Read moreReview collected in partnership with 
TravelodgeDate of stay: August 2019HelpfulShare</t>
  </si>
  <si>
    <t>jreviewer2018521 wrote a review Aug 2019Wirral, United Kingdom2 
contributions</t>
  </si>
  <si>
    <t>Great base in LondonStayed here for one night with friend on retail and museum trip. Great 
location for restaurants and entertainment. Near to trains and tube. On the 
last day we were able to leave our bags for a few hours whilst we did some 
extra galleries.Read moreReview collected in partnership with this 
hotelDate of stay: September 2019HelpfulShare</t>
  </si>
  <si>
    <t>Great hotel for a family stayWe stayed here for 2 nights &amp; couldn't fault it. We also ate at the 
restaurant both nights in the evening and the food was very nice. Breakfast 
was also delicious and set us up for the day. The staff were always very 
helpful &amp; friendly.Read moreReview collected in partnership with 
TravelodgeDate of stay: August 2019HelpfulShare</t>
  </si>
  <si>
    <t>X5994NDjanetj wrote a review Nov 2019Lancaster, United Kingdom1 contribution</t>
  </si>
  <si>
    <t>https://www.tripadvisor.co.uk/Hotel_Review-g186338-d13569031-Reviews-or340-Travelodge_London_City_hotel-London_England.html#REVIEWS</t>
  </si>
  <si>
    <t>Frequent hotel stayerHotel reception was ok and looked respectable. Room awful, bed clean, 
bathroom not clean a layer of dust on the toilet roll holder. taps 
disgusting. the corridor on the 3rd floor smelt damp and musty. All paint 
work looked scuffed and dirty.Read moreReview collected in partnership with 
TravelodgeDate of stay: November 2019HelpfulShareResponse from 
TravelodgeUK, Shaf from the Social Media Team. at Travelodge London Covent 
GardenResponded 14 Nov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</si>
  <si>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ArthurBlue wrote a review Aug 20191 contribution</t>
  </si>
  <si>
    <t>https://www.tripadvisor.co.uk/Hotel_Review-g186338-d193057-Reviews-or445-Travelodge_London_Covent_Garden-London_England.html#REVIEWS</t>
  </si>
  <si>
    <t>Excellent short breakThis hotel is perfectly located in the middle of 2 tube stations, we didn't 
travel long to get anywhere in London. It was also very clean and staff are 
lovely, very friendly with some going out of their way for people. THEY 
ACTUALLY HAD VEGGIE SAUSAGES AT BREAKFAST this is a big deal as usually at 
other travelodges and similar they are on the menu but you have to ask and 
they either don't have any or they can cook them especially but it takes 
half hour. We also ate at the bar one evening and food was incredibly 
reasonably priced and not bad at all. Would definitely stay again if we 
came back to London.Read moreReview collected in partnership with this 
hotelDate of stay: August 2019HelpfulShare</t>
  </si>
  <si>
    <t>Darren W wrote a review Nov 2019Minster on Sea, United Kingdom95 
contributions32 helpful votes</t>
  </si>
  <si>
    <t>emilykM939WH wrote a review Aug 20191 contribution</t>
  </si>
  <si>
    <t>Great location, very cleanThis place was great for the price and on such short notice. The shower was 
amazing, amazing breakfast (not included), the hotel was quiet, and staff 
was phenomenal. I would recommend this place to anyone. It’s very new as 
well.Read moreReview collected in partnership with TravelodgeDate of stay: 
August 2019HelpfulShare</t>
  </si>
  <si>
    <t>Birthday visit to London -unpleasant staff - AVOID!!!!Very disappointed with staff at this hotel and by the customer service 
team. The room we were given was for someone with disabilities and as we 
didn’t specify this when booking we tried to get the room changed but the 
female member of staff at reception was rude and obnoxious. Apparently the 
system was down and there was no way of checking if a different room was 
available. The coffee machine only made warm drinks and not hot!! Very very 
disappointed with staff on site and by the handling of my complaint by the 
customer service team after who have made it as hard as possible to take 
this matter further.Read moreDate of stay: November 20191 Helpful 
voteHelpfulShareResponse from TravelodgeUK, Shaf from the Social Media 
Team. at Travelodge London Covent GardenResponded 14 Nov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</si>
  <si>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katie wrote a review Aug 2019Carterton, United Kingdom120 contributions22 
helpful votes</t>
  </si>
  <si>
    <t>Claire W wrote a review Nov 20191 contribution</t>
  </si>
  <si>
    <t>Husbands birgdayTreated my husband to a night away in London for his birthday. As we all 
know London can be very expensive, booked the hotel back in June £47 for 
the night, bargain! The hotel was clean, quiet and comfortable, on arrival 
we popped into the restaurant down stairs for a quick snack, we shared a 
pizza, freshly made and good value for money. Would defiantly consider 
booking this place again. Staff all friendly also especially the bar staff, 
lovely people.Read moreDate of stay: August 2019HelpfulShare</t>
  </si>
  <si>
    <t>Family stayOne night family stay, chose this hotel as it was ideally located for 
theatres, shopping and attractions and was an extremely good price. Basic 
accommodation, but was clean, tidy and the beds were comfortable.Read 
moreReview collected in partnership with this hotelDate of stay: August 
2019HelpfulShare</t>
  </si>
  <si>
    <t>Danny C wrote a review Aug 2019Stansted Mountfitchet, United Kingdom10 
contributions9 helpful votes</t>
  </si>
  <si>
    <t>Nigel R wrote a review Nov 2019Chesterfield, United Kingdom7 contributions6 
helpful votes</t>
  </si>
  <si>
    <t>Great Value, Great LocationSimple, clean and modern hotel, well placed for the trendier parts of East 
London and the City. This is a modern hotel with a great big Bar/Restaurant 
area, good sized rooms with air-con and comfy beds. Would definitely 
recommend this place for a weekend of sightseeing in London. Great 
value.Read moreReview collected in partnership with TravelodgeDate of stay: 
August 2019HelpfulShare</t>
  </si>
  <si>
    <t>Ideally placed for London theatresHotel was excellent value for three nights and was ideally placed for shows 
at the Lyceum and Aldwych theatres. Breakfast was much better than we had 
expected for this hotel chain. We will definitely stay here again.Read 
moreReview collected in partnership with this hotelDate of stay: August 
2019HelpfulShare</t>
  </si>
  <si>
    <t>123pix wrote a review Nov 2019Falmouth, United Kingdom385 contributions94 
helpful votes</t>
  </si>
  <si>
    <t>https://www.tripadvisor.co.uk/Hotel_Review-g186338-d13569031-Reviews-or345-Travelodge_London_City_hotel-London_England.html#REVIEWS</t>
  </si>
  <si>
    <t>West end locationThis hotel is in a great central location and you can walk to many 
restaurants, theatres, cafes, bars etc. I had a comfortable room on the 
ground floor, which looked as though it had been decorated recently. The 
basics are included towels, tea/coffee, shower/hair gel and an iron. My 
only gripe was no hair dryer, you can borrow one from reception but 
unfortunately when I asked for one, they were all out on loan. Overall 
though for the price it was a fair deal for London.Read moreDate of stay: 
November 2019HelpfulShare</t>
  </si>
  <si>
    <t>Ernie Loomis wrote a review Aug 2019Denver, United States33 contributions5 
helpful votes</t>
  </si>
  <si>
    <t>Good value for downtown Londonroom was better than other more expensive ones in London. Not luxury but 
very adequate. Excellent value. Staff was helpful. Dinner was average and 
lobby was very loud, but it did not carry up to the room.Read moreReview 
collected in partnership with TravelodgeDate of stay: August 
2019HelpfulShare</t>
  </si>
  <si>
    <t>doodynat wrote a review Aug 20191 contribution</t>
  </si>
  <si>
    <t>Very comfortable stayThis hotel was in a great location, very clean and comfortable!!! Stayed on 
a few occasions. Will recommend. Clean,comfortable beds. We needed ironing 
board and iron, nothing too much trouble for the staff in this hotelRead 
moreReview collected in partnership with TravelodgeDate of stay: August 
2019HelpfulShare</t>
  </si>
  <si>
    <t>https://www.tripadvisor.co.uk/Hotel_Review-g186338-d193057-Reviews-or450-Travelodge_London_Covent_Garden-London_England.html#REVIEWS</t>
  </si>
  <si>
    <t>JackyfromBerlin wrote a review Aug 2019Berlin, Germany2 contributions2 
helpful votes</t>
  </si>
  <si>
    <t>new Travelodge in Whitechapel/AldgateI stayed in this new Travelodge for 3 nights. Super-now there is AC not 
just fans! I stayed in a normal room on the 2nd floor, which was 
comfortable and clean. When I arrived and opened the door the air was 
humid- I had to open the window for drying. In the toilet were 2 big towels 
and 1 small and a rather empty roll of toilet paper. I booked with WIFI for 
3 days which is OK and without breakfast- breakfast room in the mornings is 
no fun, it's too loud and busy-sorry, not for me... On the second day I put 
out the sign for making up the room but nobody did that, so I sneaked for 
toilet paper, a fresh towel and threw away my garbage in the big black 
plastic bag Please, if You clean the room, don't forget the bathroom doors- 
it's not a good sight when You sit on toilet seeing other…Read moreReview 
collected in partnership with TravelodgeDate of stay: August 
2019HelpfulShare</t>
  </si>
  <si>
    <t>susantD1811JU wrote a review Nov 2019Leeds, United Kingdom2 contributions</t>
  </si>
  <si>
    <t>GrandTour29797166725 wrote a review Aug 2019Dubai, United Arab Emirates2 
contributions</t>
  </si>
  <si>
    <t>Good central convenient hotelUsed this hotel on number of occasions, in good central location easy to 
walk to from tube. Basic hotel but always clean rooms and food plentiful. 
Staff friendly and helpful, had an issue with power failure to television 
but on advising staff came straight away.Read moreReview collected in 
partnership with this hotelDate of stay: October 2019HelpfulShare</t>
  </si>
  <si>
    <t>Excellent and affordable hotelA very good and affordable business hotel in the heart of the city, 
although there were a lot of families with kids.. Great place!!! I'd have 
been pleased if the fitting were a bit more efficient and sturdy, the 
bathroom had excellent facilities for physically challenged persons but 
since they had plastic curtain and probably the room wasn't being cleaned 
so often it was smelly. The breakfast and coffee and staff were excellent. 
KEEP UP THE GOOD WORK!!!Read moreReview collected in partnership with 
TravelodgeDate of stay: August 2019HelpfulShare</t>
  </si>
  <si>
    <t>rlamb328 wrote a review Nov 2019Stockton-on-Tees, United Kingdom1 
contribution</t>
  </si>
  <si>
    <t>Covent GardenConvenient location. Friendly Staff. Clean and Comfortable. Good breakfast. 
Electric heaters could be improved. I return regularly - but alos use other 
travel lodges in London. Easy to get to Covent Garden, Ce4ntral London and 
the theatres. Staff will print out a map and directions if you are seeking 
a specific place in London.Read moreReview collected in partnership with 
this hotelDate of stay: November 2019HelpfulShare</t>
  </si>
  <si>
    <t>https://www.tripadvisor.co.uk/Hotel_Review-g186338-d13569031-Reviews-or350-Travelodge_London_City_hotel-London_England.html#REVIEWS</t>
  </si>
  <si>
    <t>https://www.tripadvisor.co.uk/Hotel_Review-g186338-d193057-Reviews-or455-Travelodge_London_Covent_Garden-London_England.html#REVIEWS</t>
  </si>
  <si>
    <t>David S wrote a review Aug 2019Boston, United States6 contributions</t>
  </si>
  <si>
    <t>Charlotte_720 wrote a review Nov 2019UK188 contributions28 helpful votes</t>
  </si>
  <si>
    <t>City SanctuaryI found this newest edition to the Travelodge sites in London, while on a 
late night walk trying to decide where to stay the next two weeks on a 
business trip The place I was booked into was a horror show, so what to do? 
I stayed in a Super room on the 7th floor, which was equipped with new 
aircon, so anyone who is a UK traveler will know how rare this to be! I was 
cool and comfortable during the worst heat wave in history. From the moment 
I checked into the front desk Had good WIFI to work and the hotel is easy 
to access both Aldgate and Aldgate East, plus a short 7 min walk to 
Liverpool central line. They have a good breakfast buffet, which I tried 
and plenty of local places such asRead moreDate of stay: July 
2019HelpfulShare</t>
  </si>
  <si>
    <t>promoinfo wrote a review Aug 2019Brighton and Hove, United Kingdom64 
contributions22 helpful votes</t>
  </si>
  <si>
    <t>Spend your money elsewhwreI usually set my expectations realistically for Travelodges as they are by 
and large, very basic hotels. However the Covent Garden hotel surpassed 
itself. I booked a “super room” for 2 nights - super rooms are essentially 
what other hotels plus call normal rooms. They have plasma TVs, hairdryers 
and a coffee machine (but only one coffee capsule per person per night). 
Don’t be fooled into thinking you’re getting anything other than a bog 
standard hotel room. In summary, the reasons for my low rating are- - The 
queues at check in are insane. And not due to lack of staff - there’ll be 4 
staff behind the desk with just one checking people in/out. I think this 
wasn’t helped by the fact that I picked the 2 nights where every man and 
his wife decided to be veeeeery slow in speaking…Read moreDate of stay: 
November 2019HelpfulShareResponse from TravelodgeUK, James from the Social 
Media Team at Travelodge London Covent GardenResponded 13 Nov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</si>
  <si>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Sue K wrote a review Nov 20195 contributions1 helpful vote</t>
  </si>
  <si>
    <t>Amazing Staff and LocationI stayed in this hotel with a group. The location is amazing, 10 walk to 
the Tower of London. The facilities are good and rooms were confortable. We 
had a problem with our dinner program, however, with good customer services 
and excellent interaction with the staff we transformed something that 
could be very bad in something that my group enjoyed. We don´t have words 
to thank you to all the staff hotel for everything they did for us. See you 
next time.Read moreDate of stay: July 2019HelpfulShare</t>
  </si>
  <si>
    <t>Voyager73970 wrote a review Aug 20191 contribution</t>
  </si>
  <si>
    <t>covent gardenVery noisy, rubbish trucks at 4 and 5 am outside our window next to a set 
of traffic lights and constant traffic noise and sounding of horns Room was 
not cleaned during a 3 day stay, overall needs painting decor looks 
tiredRead moreReview collected in partnership with TravelodgeDate of stay: 
November 20191 Helpful voteHelpfulShareResponse from TravelodgeUK, James 
from the Social Media Team at Travelodge London Covent GardenResponded 13 
Nov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</si>
  <si>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London City HotelReally easy for tube stations Aldgate and Liverpool Street which makes it 
great for exploring the city. Staff were friendly and helpful and if you 
wanted breakfast or something to eat or drink during the day there was a 
bar/restaurant on site. The room was clean and the beds very comfy. Enjoyed 
our stay and would definitely stay again.Read moreReview collected in 
partnership with TravelodgeDate of stay: August 2019HelpfulShare</t>
  </si>
  <si>
    <t>jeanxray wrote a review Nov 20191 contribution</t>
  </si>
  <si>
    <t>ExperienceAll Staff friendly and welcoming. I felt safe at all times during my stay 
and welcomed the fact that Roon Access Cards also had to be used on 
corridor doors, Looking forward to visiting Cardiff in December and again 
staying with Travellodge.Read moreReview collected in partnership with 
TravelodgeDate of stay: November 2019HelpfulShare</t>
  </si>
  <si>
    <t>Frances C wrote a review Aug 20193 contributions1 helpful vote</t>
  </si>
  <si>
    <t>JanetteLK wrote a review Nov 2019Macclesfield, United Kingdom2 contributions</t>
  </si>
  <si>
    <t>Clean and tidy hotel. Friendly staff.I stayed this weekend with my daughter. The staff are helpful and friendly. 
Breakfast was excellent. It's a new travelodge with a good bar and 
restaurant. In between 2 tube stations it's easy to get around the city. 
Perfect for our short stay.Read moreReview collected in partnership with 
TravelodgeDate of stay: August 2019HelpfulShare</t>
  </si>
  <si>
    <t>Covent Garden TravelodgeGreat location close to covent Garden and Tube, but a lot of work needed to 
get this hotel up to scratch. Lightbulbs not working, room not cleaned 
during stay, iron ruined clothes, slow reception serviceRead moreReview 
collected in partnership with TravelodgeDate of stay: November 
2019HelpfulShareResponse from TravelodgeUK, James from the Social Media 
Team at Travelodge London Covent GardenResponded 13 Nov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</si>
  <si>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https://www.tripadvisor.co.uk/Hotel_Review-g186338-d13569031-Reviews-or355-Travelodge_London_City_hotel-London_England.html#REVIEWS</t>
  </si>
  <si>
    <t>Vicky wrote a review Nov 20191 contribution</t>
  </si>
  <si>
    <t>AndreaH wrote a review Aug 2019Wakefield, United Kingdom256 contributions51 
helpful votes</t>
  </si>
  <si>
    <t>Best service I’ve hadGreat weekend. Room had all that was needed for the perfect stay. The girls 
checking us in were very friendly. In the bar, Bruna was lovely, looked 
after me and my family during our stay, sorting out any issues.Read 
moreDate of stay: October 2019HelpfulShare</t>
  </si>
  <si>
    <t>August Bank Holiday weekendGreat location, right around the corner from Aldgate tube station. Bars, 
restaurants, shops, Spitalfields Market, Tower of London all close by. 
Friendly reception staff. Spotlessly clean room. Help yourself to extra tea 
and coffee making facilities. Quiet aircon, very comfy bed although it's a 
bit high up. Super comfy pillows. Very good shower. We didn't eat breakfast 
or use the bar area as there are cheaper places near by. When in London 
again we will definitely be booking again.Read moreDate of stay: August 
2019HelpfulShare</t>
  </si>
  <si>
    <t>https://www.tripadvisor.co.uk/Hotel_Review-g186338-d193057-Reviews-or460-Travelodge_London_Covent_Garden-London_England.html#REVIEWS</t>
  </si>
  <si>
    <t>Karl K wrote a review Nov 2019Sandbach, United Kingdom63 contributions29 
helpful votes</t>
  </si>
  <si>
    <t>Nccb wrote a review Aug 201917 contributions</t>
  </si>
  <si>
    <t>Great hotel great location!Stayed for a weeked with friends, can't fault the hotel at all. Easy check 
in, clean tidy rooms, cooked breakfast and late bar available, great 
location in covent garden. Highly recommended to families, couples, 
groups.Read moreDate of stay: November 2019HelpfulShare</t>
  </si>
  <si>
    <t>Great value, location, and friendly staffStayed 5 nights in August 2019. Very friendly staff, always willing to 
answer questions and helped to fix a wifi issue. Rooms were clean, 
everything felt new. Restaurant was open 24 hrs if you come in late at 
night, which we did. Great location between Aldgate &amp; Aldgate East 
stations. Walkable to the Tower of London. Due to great value &amp; pricing was 
able to get two rooms instead of squeezing into one for our stay in London. 
Felt very safe, but neighborhood just to the north a block or two does get 
very quiet and deserted at night.Read moreDate of stay: August 
2019HelpfulShare</t>
  </si>
  <si>
    <t>GoPlaces699502 wrote a review Aug 20191 contribution</t>
  </si>
  <si>
    <t>DundeeScotty wrote a review Nov 2019Dundee, United Kingdom70 
contributions34 helpful votes</t>
  </si>
  <si>
    <t>London StayOnly stayed for one night but it was very enjoyable. Room was comfortable 
and staff very friendly. Location was 2 min walk from underground and it 
wasn't to difficult to get in to the center of LondonRead moreReview 
collected in partnership with TravelodgeDate of stay: August 
2019HelpfulShare</t>
  </si>
  <si>
    <t>lansord wrote a review Aug 20191 contribution</t>
  </si>
  <si>
    <t>Perfect location for stay in LondonGreat hotel in the Covent Garden area close to all places of interest. Lots 
of bars, cafes and restaurants to choose from in the area, although the 
hotel bar and restaurant is very good (especially 'happy hour'). We had a 
super room and it was on the eighth floor, very quiet and comfortable. 
Great towels - huge bath sheets! Nice comfortable bed and good pillows. 
Tea/coffee making great and spare sachets available in Reception which was 
really good as we were there for three nights. Option to have your room 
made up every day or not which is also good.Read moreReview collected in 
partnership with TravelodgeDate of stay: October 2019HelpfulShare</t>
  </si>
  <si>
    <t>great and valued hotelwe stay at this hotel for ten days, and present their super room, 
everything is great and good feeling, the food is better, the children is 
free , and save a lot of money The bed and service is great , every one is 
nice !!Read moreReview collected in partnership with TravelodgeDate of 
stay: August 2019HelpfulShare</t>
  </si>
  <si>
    <t>Ade B wrote a review Nov 2019Chester, United Kingdom63 contributions76 
helpful votes</t>
  </si>
  <si>
    <t>https://www.tripadvisor.co.uk/Hotel_Review-g186338-d13569031-Reviews-or360-Travelodge_London_City_hotel-London_England.html#REVIEWS</t>
  </si>
  <si>
    <t>Peachy wrote a review Aug 2019Stoke-on-Trent, England, United Kingdom7 
contributions3 helpful votes</t>
  </si>
  <si>
    <t>Great Location - Excellent short stayWeve just returned from a 2 night stay at this hotel. The visit was 
primarily to visit our grandaugter &amp; her boyfriend, and to take in a west 
end show. This hotel was so well placed for us - the local tube is on the 
Piccadilly line, as was their flat &amp; just a few stations away from Euston. 
Travelodge hotels can be a bit a bit basic, but this was one of the best 
we've stayed in - spotlessly clean &amp; really friendly &amp; helpful staff. 
Breakfast was the typical Travelodge fayre, Saturday morning it was quite 
busy, but the staff found a table for us with no problem. Our room was on 
what was termed on a quiet floor, located in another building at ground 
floor level it only had window onto Drury lane , with pedestrians walking 
right alongside the window, but this was not a problem - it…Read moreDate 
of stay: November 2019HelpfulShare</t>
  </si>
  <si>
    <t>Nice StayReally enjoyed our 2 night stay, Friendly, Helpful staff, Hotel was really 
clean Buffet breakfast well presented, Hot and well cooked, Replenished 
regularly Didn't really want for anything, no issues, Just what you need 
from a base to visit London, Close enough to the Tower and Bridge to walk 
to.Read moreReview collected in partnership with TravelodgeDate of stay: 
August 2019HelpfulShare</t>
  </si>
  <si>
    <t>https://www.tripadvisor.co.uk/Hotel_Review-g186338-d193057-Reviews-or465-Travelodge_London_Covent_Garden-London_England.html#REVIEWS</t>
  </si>
  <si>
    <t>Martin W wrote a review Aug 2019Cottingham, United Kingdom38 
contributions10 helpful votes</t>
  </si>
  <si>
    <t>Watching test match cricketStayed here London city travelodge which has recently opened. Had a really 
nice room with air con. Bed was comfortable,shower was good and room was 
clean and tidy. Reception staff were efficient and helpful. Good location 
for tubes and buses. There are a number of decent pubs nearby. Loved it 
here.Read moreReview collected in partnership with this hotelDate of stay: 
August 2019HelpfulShare</t>
  </si>
  <si>
    <t>Ravingeddie wrote a review Nov 2019United Kingdom526 contributions173 
helpful votes</t>
  </si>
  <si>
    <t>Tripsmum wrote a review Aug 2019UK64 contributions17 helpful votes</t>
  </si>
  <si>
    <t>DireHere for several days and already looked to see if the company will pay and 
get me someone where. Check in painful and not helpful staff at all (self 
check in machines were down and mega busy but no explanation and only one 
of the staff smiled and was civil in anyway). Hotel is tired looking and 
thankfully some of it has been refurbished, but the rest is poor. Rooms 
poor and not very clean, they are cleaned but just skimmed over (kind of 
rooms that make you wanna itch and use you own towels and sleep fully 
clothed). You can hear noise, as the walls and floors are obviously so thin 
to maximise space, (taps, coughs, creaks, doors, talking, corridor noise, 
lifts, other people toilets, baths, talking etc etc,) I left the bath water 
as the plug wouldn’t come out as nothing to…Read moreDate of stay: November 
2019HelpfulShare</t>
  </si>
  <si>
    <t>Best Travelodge in LondonThis is a great Travelodge, second time we've stayed here, it is located 
close to Aldgate and Aldgate East tube stations as well as Liverpool Street 
Station. The staff are lovely, very friendly and accommodating. Breakfast 
room is huge and really well stocked. We had a family room on the first 
floor and it was massive. The rooms are to a slightly higher standard than 
other Travelodge's and immaculate. Would highly recommend.Read moreDate of 
stay: August 2019HelpfulShare</t>
  </si>
  <si>
    <t>HaydnG60 wrote a review Nov 2019Telford, United Kingdom55 contributions32 
helpful votes</t>
  </si>
  <si>
    <t>Excellent stay. Good value for money and got exactly what I expected.Travelodges provide a certain style of basic, but comfortable 
accommodation. Covent Garden provides exactly what is needed in a very 
convenient location. The staff were very helpful and attentive from check 
in to retrieving left luggage. Breakfast was a bit busy but the hot 
breakfast was very fresh and replenished regularly. The Room was clean and 
comfortable and a good temperature.Read moreReview collected in partnership 
with TravelodgeDate of stay: November 2019HelpfulShare</t>
  </si>
  <si>
    <t>https://www.tripadvisor.co.uk/Hotel_Review-g186338-d13569031-Reviews-or365-Travelodge_London_City_hotel-London_England.html#REVIEWS</t>
  </si>
  <si>
    <t>Summer girl wrote a review Aug 20191 contribution</t>
  </si>
  <si>
    <t>https://www.tripadvisor.co.uk/Hotel_Review-g186338-d193057-Reviews-or470-Travelodge_London_Covent_Garden-London_England.html#REVIEWS</t>
  </si>
  <si>
    <t>Lovely 3 night stay in Family roomWe had a great time for 3 nights in our family room. It is our second visit 
and we loved it. The Hotel is clean, central, has a great breakfast offer, 
staff is VERY helpful and friendly and price is fantastic. Will be coming 
again.Read moreDate of stay: August 2019HelpfulShare</t>
  </si>
  <si>
    <t>slegg11 wrote a review Nov 20191 contribution</t>
  </si>
  <si>
    <t>Great locationGreat location, Friendly staff, really good breakfast, nice size room, we 
have paid more in London before &amp; had a much smaller room, would use the 
hotel again. At the top of Drury Lane, close to Theatreland &amp; Covent 
Garden.Read moreReview collected in partnership with TravelodgeDate of 
stay: November 2019HelpfulShare</t>
  </si>
  <si>
    <t>Lifeisbeautiful wrote a review Aug 20192 contributions</t>
  </si>
  <si>
    <t>https://www.tripadvisor.co.uk/Hotel_Review-g186338-d1812157-Reviews-or75</t>
  </si>
  <si>
    <t>Lucy B wrote a review Nov 2019Southampton, United Kingdom6 contributions7 
helpful votes</t>
  </si>
  <si>
    <t>Absolutely 100% best travel lodge we've stayed inSays it all in the title! We have stayed in many Travel Lodges over the 
years, and this one was by far the best! Friendly , helpful staff, 
beautifully clean in all areas of the hotel and great location. Rooms 
exceeded expectations, which were fabulously clean, extra comfort , no 
sound from the hallways / other rooms etc. Rooms made up perfectly everyday 
if requested , and plenty of extra towels / toiletries provided each day 
too. Staff were friendly and helpfull, nothing was too much trouble . 
Location was also perfect for what we wanted. Close to the famous Bricklane 
market , which is definitely worth a look around. All in all I have 
absolutely nothing negative to say about this property. As I stated above, 
by far the best travel lodge! The modern touches have most definitely…Read 
moreDate of stay: August 2019HelpfulShare</t>
  </si>
  <si>
    <t>Great location, friendly staff, thank you!Very friendly and helpful staff, great location for Covent Garden- I would 
recommend. Breakfast was nice too. Thank you to all the staff for a 
pleasant and enjoyable stay. We and our son had a lovely stay, thank 
you.Read moreReview collected in partnership with TravelodgeDate of stay: 
November 2019HelpfulShare</t>
  </si>
  <si>
    <t>Passenger317695 wrote a review Nov 20192 contributions2 helpful votes</t>
  </si>
  <si>
    <t>https://www.tripadvisor.co.uk/Hotel_Review-g186338-d13569031-Reviews-or370-Travelodge_London_City_hotel-London_England.html#REVIEWS</t>
  </si>
  <si>
    <t>Short stay for the theatreSmelly dirty carpets in the corridors &amp; room, hotel was in a very grotty 
state overall. Dilapidated bathroom, not very clean. Broken seals on the 
window letting traffic noise in. Breakfast area very cramped, not very good 
choice of food.Read moreReview collected in partnership with TravelodgeDate 
of stay: October 2019HelpfulShareResponse from TravelodgeUK, Ben from the 
Social Media Team at Travelodge London Covent GardenResponded 10 Nov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</si>
  <si>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mark_davie_2000 wrote a review Aug 2019Jerusalem District, Israel293 
contributions55 helpful votes</t>
  </si>
  <si>
    <t>Bernard K wrote a review Nov 2019Drakensberg Region, South Africa48 
contributions4 helpful votes</t>
  </si>
  <si>
    <t>Excellent except for...Excellent room, large with comfy bed. Shower: walk in with high water 
pressure, very well controlled temperature and spacious, extremely clean. 
Restaurant served very good meals not expensive but not cheap either. 2 
course meal for 12.50 GBP. Portions, I must say, were huge and I couldn't 
even finish the apple pie which is rare for me. Service and reception 
excellent. 2 main gripes: WiFi was good but I think it's the only hotel 
where I've stayed in where you have to pay for it. I paid 12 GBP for 5 
days. Travelodge seems to have a no-shelf no-drawers-policy. Again the 
poorest storage space out of all the hotels I've stayed in and I wonder why 
that is. A tiny B n B in Skegness had more in the single room I stayed in. 
The same in the Gloucester one. It would've been a matter of an…Read 
moreDate of stay: August 2019HelpfulShare</t>
  </si>
  <si>
    <t>Everything you need in London.A basic hotel room, but everything you need for a no frills stay in central 
London. Great location and easily accessible with public transport. The 
breakfast was hearty and with a decent variety. Try to avoid peak breakfast 
times, as it means you need to queue to dish up. There is a bar in the 
foyer with 24h service (the late night burgers And pizzas were amazing). 
The bathroom was functional and the room served its purpose - a place to 
crash after a long day in the city. I would recommend this place to 
business and leisure travellers. The 4 stars is because WIFI is not 
included and you need to pay extra to connect.Read moreDate of stay: 
October 2019HelpfulShare</t>
  </si>
  <si>
    <t>NigelJones2304 wrote a review Aug 20191 contribution</t>
  </si>
  <si>
    <t>ukbod wrote a review Nov 2019Wisbech249 contributions99 helpful votes</t>
  </si>
  <si>
    <t>London City weekend breakThe hotel is excellently located within walking distance to places like The 
Tower. Spittalfields Market is also just down the road with some cracking 
pubs within the locality. There is also good access to the Underground with 
both Aldgate and Liverpool St nearby.Read moreReview collected in 
partnership with TravelodgeDate of stay: August 2019HelpfulShare</t>
  </si>
  <si>
    <t>A distinct fall-off since last time.We stayed overnight for an Ian McKellen show. The checkin went well but we 
were bumped off to the older bulding around the corner. The key cards are 
very fussy not working at all sometimes. The room was basically ok but the 
heating was hard to regulate, the sink was cracked and the general 
cleanliness was a bit short. I`m not sure why the bottled water in the room 
was fizzy. The wifi was very fussy and not all that fast, the TV seemed to 
be missing a few channels and the lifts needed a clean. Breakfast quality 
has fallen off with the bacon being partially cooked, the scrambled egg 
very insipid, the cereals tasted stale despite being a popular type.Read 
moreDate of stay: November 2019HelpfulShare</t>
  </si>
  <si>
    <t>Rob K wrote a review Aug 2019Kendal, United Kingdom2 contributions</t>
  </si>
  <si>
    <t>Trvelodge London CityA new hotel in a good location, well served by underground and bus links. 
Friendly staff and very clean and quiet the hotel was very comfortable. It 
was good value for money. Food was fresh and ample portions and the 
ambience of the common areas was pleasant.Read moreReview collected in 
partnership with TravelodgeDate of stay: August 2019HelpfulShare</t>
  </si>
  <si>
    <t>https://www.tripadvisor.co.uk/Hotel_Review-g186338-d193057-Reviews-or475-Travelodge_London_Covent_Garden-London_England.html#REVIEWS</t>
  </si>
  <si>
    <t>SueJim126 wrote a review Aug 2019Sheffield, United Kingdom509 
contributions110 helpful votes</t>
  </si>
  <si>
    <t>Mark H wrote a review Nov 2019Bressingham, United Kingdom40 contributions28 
helpful votes</t>
  </si>
  <si>
    <t>Excellent budget hotelExcellent modern budget hotel, friendly helpful staff, very clean 
throughout, excellent public areas. Very nice bedrooms with a king size bed 
and an easy to use and very powerful shower, the rooms are not that big but 
more than adequate for a weekend stay for two of us. Excellent breakfast, 
plenty of tables to sit at, no waiting, staff kept everything stocked 
constantly.Read moreReview collected in partnership with TravelodgeDate of 
stay: August 20191 Helpful voteHelpfulShare</t>
  </si>
  <si>
    <t>Trip to the Lion KingThis travel lodge was conveniently situated to theatre land. We arrived a 
little early as check in is from 3pm. We asked if we could have room now 
and guess what. . .no problem wow! Room ckean if a tad small. However good 
tean and coffee and perfectly clean. Breakfast was fab. £9.25 and all you 
can eat. Full english as well as pastries toast fresh fruit branded cereals 
yoghurts porridge and a selection of jams. I have had a lot worse in major 
hotel chains. Would I stay here again. . . Defo!Read moreDate of stay: 
November 2019HelpfulShare</t>
  </si>
  <si>
    <t>ericsF7304IH wrote a review Aug 2019Chelmsford, United Kingdom3 
contributions</t>
  </si>
  <si>
    <t>Martin P wrote a review Nov 2019Liverpool, United Kingdom1 contribution</t>
  </si>
  <si>
    <t>Great value in London's CityComparatively new hotel so rooms were well set out with adequate space for 
clothes etc. Very comfortable room with air conditioning and very comfy bed 
with excellent bed linens. The room had a fersh smell on entering and we 
wer ideally placed for our visit to The Gherkin. Staff were efficient and 
friendly and the overall security was to be commended. All in all a very 
happy and stay which will encourage us to return.Read moreReview collected 
in partnership with TravelodgeDate of stay: August 2019HelpfulShare</t>
  </si>
  <si>
    <t>Good stay,could do better!!Long wait at the bar in the evening to be served. Shower pressure is non 
existent in the room!! Otherwise it was a pleasant stay in a clean and tidy 
hotel which is located in a great place,just get more staff behind the 
bar!!! Would stay here again!Read moreReview collected in partnership with 
TravelodgeDate of stay: November 2019HelpfulShare</t>
  </si>
  <si>
    <t>Louisa G wrote a review Nov 2019Cardiff, United Kingdom37 contributions</t>
  </si>
  <si>
    <t>https://www.tripadvisor.co.uk/Hotel_Review-g186338-d13569031-Reviews-or375-Travelodge_London_City_hotel-London_England.html#REVIEWS</t>
  </si>
  <si>
    <t>One to noteAs most will know, this is a chain. Having stayed at sister premises 
elsewhere in London, I wasn't holding out much hope. BUT, this is a little 
gem. The staff were fabulous, the room was immaculate, the breakfast was 
good and check in/check out was hassle free. I will be staying again.Read 
moreDate of stay: November 2019HelpfulShare</t>
  </si>
  <si>
    <t>gapped wrote a review Aug 20191 contribution</t>
  </si>
  <si>
    <t>hunny222016 wrote a review Nov 2019Petersfield, United Kingdom38 
contributions12 helpful votes</t>
  </si>
  <si>
    <t>Way beyond expectationsI had a few problems to book through their Paypal option. If you have 
credit card, go for that one. I have to say that I was a bit concerned 
because of the reviews that I had read from Travelodge as a company. Our 
stay in one of their hotels completely changed our point of view. A few 
pointers: - Staff was always friendly and ready to help us. - The 
temperature while first entering the room could be a bit warmer. - I was 
amazed with the speed of the Wifi network. The login process could improve 
a lot, though. - Room cleanliness was great. - The so called more 
comfortable pillows were not that comfy. - For the breakfast they should 
also include cream/regular cheese. The juices were a bit too sweet. Overall 
a nice stay with you guys. Thanks for everything!Read moreDate of stay: 
August 2019HelpfulShare</t>
  </si>
  <si>
    <t>Wytze wrote a review Aug 2019Groningen8 contributions5 helpful votes</t>
  </si>
  <si>
    <t>Birthday Celebration StayWe booked a room in this hotel for 3 ladies to celebrate a 30th Birthday 
weekend, the beds were extremely uncomfortable especially the pull out 
beds, we expected it to be a little basic going on the price at £345.00 for 
two nights and 3 adults but were disappointed. Bathroom was mostly clean 
and functional however traces of pink mould could be seen in some corners 
of the bath tiles. I have never stayed in a Travelodge before and after 
this experience I am very unlikely to do it again.Read moreDate of stay: 
November 2019HelpfulShareResponse from TravelodgeUK, Ben from the Social 
Media Team at Travelodge London Covent GardenResponded 6 Nov 2019Thank you 
for taking the time to write a review about our London Covent Garden hotel. 
We are sorry to learn that you found the beds to be uncomfortable and of 
your disappointment with the cleanliness of the bathroom. We appreciate all 
the feedback we receive and our Hotel Managers regularly review their 
TripAdvisor reviews in order to fix any issues raised and pass on feedback 
to their team. Thank you once again and we do hope you will stay with us in 
the future.Read more</t>
  </si>
  <si>
    <t>Good hotel.A good, modern hotel. Straightforward comfort with good security, only 
guests have access to the staying area. A nice mix between business 
travelers and tourists.10 minutes. walk from Liverpool Station, 1 min from 
metro station. 10 minutes walk from the Tower.Read moreReview collected in 
partnership with TravelodgeDate of stay: August 2019HelpfulShare</t>
  </si>
  <si>
    <t>jembwilliams wrote a review Aug 2019Dubai, United Arab Emirates36 
contributions19 helpful votes</t>
  </si>
  <si>
    <t>https://www.tripadvisor.co.uk/Hotel_Review-g186338-d193057-Reviews-or480-Travelodge_London_Covent_Garden-London_England.html#REVIEWS</t>
  </si>
  <si>
    <t>Way beyond expectationsIf there is a hotel in London that delivers greater value for money, I 
would like to hear about it. The rooms are small, but the hotel is modern 
and provides everything you need. Breakfast is excellent, so do not 
hesitate to click that option but, most importantly, the staff are first 
class. Whatever the senior management team of this hotel is doing, they 
need to do more of it, and others need to learn from them. Every individual 
we came into contact with was polite and helpful and seemed genuinely 
engaged rather than simply going through the motions. A special shout out 
to the woman behind the bar who served my wife and me late on Friday night 
(16th) and was thoroughly charming. After spending the previous 3 weeks in 
the US and on the receiving end of so much hollow…Read moreDate of stay: 
August 2019HelpfulShare</t>
  </si>
  <si>
    <t>Andryuha wrote a review Aug 2019Moscow, Russia7 contributions1 helpful vote</t>
  </si>
  <si>
    <t>Good hotelGood hotel. Recently opened. Clean and comfortable rooms. Very convenient 
location (2 metro stations are only a minute walking distance away) 
Breakfast was good. Would stay there again. Good value for moneyRead 
moreReview collected in partnership with TravelodgeDate of stay: August 
2019HelpfulShare</t>
  </si>
  <si>
    <t>debbietX658RC wrote a review Nov 2019Guernsey, United Kingdom2 contributions</t>
  </si>
  <si>
    <t>In need of upgradeThis particular Travel Lodge could do with an upgrade. Carpets in corridors 
need replacing and rooms could do with an upgrade. Soap dispenser in bath 
kept breaking and needed fixing before the soap would dispense. Great 
location for LondonRead moreReview collected in partnership with 
TravelodgeDate of stay: November 2019HelpfulShare</t>
  </si>
  <si>
    <t>https://www.tripadvisor.co.uk/Hotel_Review-g186338-d13569031-Reviews-or380-Travelodge_London_City_hotel-London_England.html#REVIEWS</t>
  </si>
  <si>
    <t>Corfield wrote a review Nov 2019Cannock, United Kingdom44 contributions3 
helpful votes</t>
  </si>
  <si>
    <t>Michael S wrote a review Aug 20191 contribution</t>
  </si>
  <si>
    <t>Break away with a show.We stayed in the hotel from Wednesday 30th October until the Saturday. The 
reception staff were very friendly and helpful. The room was very clean and 
just what we needed. We had a super room and there were complimentary 
KitKat's on arrival, which after all the travelling and walking was an 
added bonus. We had breakfast every morning which was really nice and lots 
of choice. Only downside I would make is that the food wasn't very hot but 
they were catering for a lot of guests. The hotel was ideally situated for 
the theatres and we thoroughly enjoyed our stay in London.Read moreDate of 
stay: October 2019HelpfulShare</t>
  </si>
  <si>
    <t>Perfect hotelVery friendly and helpful staff, great service, nice and clean family room, 
air conditioning worked perfectly. Short distance to 2 tube stations. 
Pizzeria not far away. A Tesco is in 2 minutes walking distance.Read 
moreReview collected in partnership with this hotelDate of stay: August 
2019HelpfulShare</t>
  </si>
  <si>
    <t>Astonian63 wrote a review Nov 2019Lichfield, United Kingdom4 contributions1 
helpful vote</t>
  </si>
  <si>
    <t>SharmaS14 wrote a review Aug 2019Cambridge, United Kingdom6 contributions5 
helpful votes</t>
  </si>
  <si>
    <t>Very helpful and accommodating staffThank you to the staff (esp. Sergiou) for helping today when I was 
struggling with the typical inner city problems you have when driving into 
London. I found the staff incredibly helpful and polite, the hotel is in an 
excellent location and the rooms are just what we needed.Read moreDate of 
stay: August 2019HelpfulShare</t>
  </si>
  <si>
    <t>jasonmck79 wrote a review Aug 2019London, United Kingdom5 contributions</t>
  </si>
  <si>
    <t>Covent gardenThe hotel is in a great location for the west end. The breakfast staff 
worked very hard in cleaning up and keeping the food flowing. The downside 
was the bathroom in room 141 which is quite dated. The bath was dirty and 
rusty around the handles. The water takes an eternity to warm up and there 
is no decent towel storage. The biggest issue is the light sensor. The 
timer is far to short and kept going off while on the toilet and in the 
shower. For £186 for a Saturday night it's not very good value, regardless 
of the hotel location .Read moreReview collected in partnership with 
TravelodgeDate of stay: October 2019HelpfulShareResponse from TravelodgeUK, 
Ben from the Social Media Team at Travelodge London Covent GardenResponded 
5 Nov 2019Thank you for taking the time to write a review about our London 
Covent Garden hotel. We're pleased to hear that you liked the hotels 
location and the service at breakfast however we are sorry to learn that 
you did not find your room to be of great value, and we are sorry to learn 
of the disappointment caused by other aspects of your stay. We have an 
ongoing refurbishment program and, while we cannot refurbish every hotel 
simultaneously, we are working to make sure that hotels are refurbished 
regularly. We appreciate all the feedback we receive and our Hotel Managers 
regularly review their TripAdvisor reviews in order to fix any issues 
raised and pass on feedback to their team. Thank you once again and we do 
hope you will stay with us in the future.Read more</t>
  </si>
  <si>
    <t>Nice hotelVisited to see a gig in Shoreditch and stay overnight, really nice new 
hotel quiet modern well located for brick lane Shoreditch some vegan 
friendly restaurants and cafes close by friendly staff thanksRead moreDate 
of stay: August 2019HelpfulShare</t>
  </si>
  <si>
    <t>https://www.tripadvisor.co.uk/Hotel_Review-g186338-d193057-Reviews-or485-Travelodge_London_Covent_Garden-London_England.html#REVIEWS</t>
  </si>
  <si>
    <t>Damien121 wrote a review Aug 2019Belfast, United Kingdom52 contributions17 
helpful votes</t>
  </si>
  <si>
    <t>Jodie wrote a review Nov 2019Glenrothes, United Kingdom1 contribution1 
helpful vote</t>
  </si>
  <si>
    <t>Great family stayFamily roomed booked for 2 adults and 2 kids, hotel was bright and very 
clean. Staff was extremely friendly and breakfast was superb. The hotel is 
less than a 10 walk to liverpool Street station so was handy to get 
underground plus the bus to and from Stanstead airport.Read moreDate of 
stay: August 2019HelpfulShare</t>
  </si>
  <si>
    <t>Disgusting roomI was not impressed with the lack of staff every time we tried to get a 
drink at the bar! I was really not happy with the cleanliness off the rooms 
they were absolutely disgusting we even had blood on the wall of our 
shower. I was disappointed and will not be back!!Read moreDate of stay: 
November 2019HelpfulShareResponse from TravelodgeUK, Ben from the Social 
Media Team at Travelodge London Covent GardenResponded 5 Nov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</si>
  <si>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Tom Lew wrote a review Nov 20191 contribution2 helpful votes</t>
  </si>
  <si>
    <t>https://www.tripadvisor.co.uk/Hotel_Review-g186338-d13569031-Reviews-or385-Travelodge_London_City_hotel-London_England.html#REVIEWS</t>
  </si>
  <si>
    <t>AVOID! Not as described, run down and shabby!Firstly we booked a new "superroom" as on the website it states that the 
rooms have a king size bed and choice pillows etc when we arrived the bed 
was a double (I am 6ft 4) so with my partner and I really really had a poor 
nights sleep. The shower hadnt been fully cleaned from the previous 
occupant as there were ginger hairs all up the walls and in the shower 
tray, the shower head had black marks on the head so didnt want to touch or 
use it, they make a thing of the "3 jet shower" this is just an adjustable 
head which when you dont want to touch the head is a bit pointless. My 
partner washed the shower down to allow her to shower in it and dried 
herself off with the towels and instantly came up in a rash from the towel, 
my partner has never had this reaction before to towels so…Read moreDate of 
stay: November 2019HelpfulShareResponse from TravelodgeUK, Ben from the 
Social Media Team at Travelodge London Covent GardenResponded 5 Nov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</si>
  <si>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Curious20521036233 wrote a review Aug 20192 contributions</t>
  </si>
  <si>
    <t>Christine wrote a review Nov 201913 contributions4 helpful votes</t>
  </si>
  <si>
    <t>Short stayIf you are visiting London, this is the place to start looking at. A great 
location for Central London, close to the main attractions, but quiet and 
little passing traffic. When we revisit London for leisure time, we won't 
look any where else.Read moreReview collected in partnership with 
TravelodgeDate of stay: August 2019HelpfulShare</t>
  </si>
  <si>
    <t>Great spot to stayReally good spot to stay close to the tube and very close to bars and 
restaurants. Would advise book early to get a cheaper price. Rooms need 
some better air con but did work. Some noise from Windows. Staff really 
goodRead moreDate of stay: November 2019HelpfulShare</t>
  </si>
  <si>
    <t>Evan M wrote a review Aug 2019Chester, United Kingdom15 contributions22 
helpful votes</t>
  </si>
  <si>
    <t>norabattyWales wrote a review Nov 2019wales19 contributions14 helpful votes</t>
  </si>
  <si>
    <t>Great locationStayed in this new establishment. The price was spot on, great location for 
bars restaurants and great pubs. London is not expensive just walk down the 
side streets. The east end is so interesting so many eateries which offer 
such value for money. One little bar down a side street sold 175ml glass of 
wine for £3.00 or the bottle for £12.00Read moreReview collected in 
partnership with TravelodgeDate of stay: August 2019HelpfulShare</t>
  </si>
  <si>
    <t>GlennUKexDubai wrote a review Aug 2019London, United Kingdom16 
contributions5 helpful votes</t>
  </si>
  <si>
    <t>Very GoodOur small family room was spotlessly clean and quiet. The staff in the High 
Holborn building were great - very efficient and professional and friendly. 
The building is in an excellent location as it's easy walking distance of 
Covent Garden and Shaftesbury Avenue. Dinner was good and very reasonably 
priced for the area. Breakfast was a bit frenetic due to so many guests and 
it being self service so we encountered queues one of the days. This is no 
reflection on the breakfast staff as they were very helpful and 
friendly.Read moreDate of stay: November 2019HelpfulShare</t>
  </si>
  <si>
    <t>https://www.tripadvisor.co.uk/Hotel_Review-g186338-d193057-Reviews-or490-Travelodge_London_Covent_Garden-London_England.html#REVIEWS</t>
  </si>
  <si>
    <t>GREAT VALUE FOR LONDONThe hotel is just a few minutes from the Aldgate tube station and less than 
10 minutes from Liverpool St. Very clean modern and comfortable hotel. For 
a few pounds more I stayed in a plus room. This has iron capsule coffee 
machine as well as kettle and free kit kats. Its a really nice hotel. The 
only reason I did not give 5/5 was because on check in I arrived at 12.50pm 
2 hours 10 before check in. I asked if my room was ready. I was told yes 
but if I wanted to check in I would have to pay a further £10. Of course I 
did not so what happened to the room? It just stayed empty. I get it if 
arriving many hours before check in there may be a charge. Although in 
other hotels I have stayed if the room is ready they will allow the 
customer to check in. Come on Travel Lodge lets…Read moreReview collected 
in partnership with TravelodgeDate of stay: August 2019HelpfulShare</t>
  </si>
  <si>
    <t>Jacb64 wrote a review Nov 2019Pontypool, United Kingdom11 contributions1 
helpful vote</t>
  </si>
  <si>
    <t>https://www.tripadvisor.co.uk/Hotel_Review-g186338-d13569031-Reviews-or390-Travelodge_London_City_hotel-London_England.html#REVIEWS</t>
  </si>
  <si>
    <t>2nd visit - great value for central london2nd time staying here (High Holborn site). Although no air-con - they have 
fans in the room. Great value for central location close to west end etc, 
Staff polite, room basic and quite spacious for the money. We had one 
accessible twin room for my daughter who uses wheelchair - and facilities 
were really good. Breakfast again good value for price in London - good 
selection although get's very busy after about 8.30 and some queuing - so 
better off going a bit earlier. Requested extra pillows and delivered to 
room within 15 mins. Only downside was at the end of the evening the 
vending machines had no still water to take up to the room (and the bar 
only had sparkling). Would definitely stay again next time we visit 
London's theatreland.Read moreDate of stay: August 2019HelpfulShare</t>
  </si>
  <si>
    <t>Ann Marie G wrote a review Nov 20194 contributions1 helpful vote</t>
  </si>
  <si>
    <t>spanner74 wrote a review Aug 2019Preston, United Kingdom389 contributions76 
helpful votes</t>
  </si>
  <si>
    <t>Great customer service, room was a let down.The reception team were fantastic in terms of hospitality. Anything we 
needed or were concerned about they listened and did their upmost to help. 
It was my first time travelling to London one of the staff members Leah 
gave some great advice on the best ways to travel around London, places to 
visit, shop an even assisted us on our journey. However we was let down 
with the house keeping services lack of care when the small bed they 
replaced collapsed with my daughter on it and a smell in the room.Read 
moreReview collected in partnership with TravelodgeDate of stay: October 
2019HelpfulShare</t>
  </si>
  <si>
    <t>Great budget hotel, very close to tube stations.Clean, fairly new hotel so bathroom and room were in great condition. Could 
do with 4 towels and some hand/hair towels in our family room but other 
than this, absolutely no complaints. Breakfast covered all basics and was 
plentiful. Wi-fi worked well.Read moreReview collected in partnership with 
TravelodgeDate of stay: August 2019HelpfulShare</t>
  </si>
  <si>
    <t>Jan wrote a review Nov 2019Vancouver, Canada14 contributions1 helpful vote</t>
  </si>
  <si>
    <t>Kcroane835 wrote a review Aug 20193 contributions2 helpful votes</t>
  </si>
  <si>
    <t>5 star cost, 2 star qualityThey take advantage of their location to charge a lot, but they do not 
spend any effort in providing a minimum of amenities. There is no place to 
put a case, no water glasses, TV was faulty, air conditioner extremely 
noisy at night, wifi is not included, and the wifi you pay for is 
restricted to only 2 devices, which is ridiculous.Read moreReview collected 
in partnership with TravelodgeDate of stay: October 
2019HelpfulShareResponse from TravelodgeUK, James from the Social Media 
Team at Travelodge London Covent GardenResponded 3 Nov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</si>
  <si>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So good valueThe hotel is new and everything is really clean and in good order. Nice 
girl working here was really helpful. The room was a high one and no noise. 
Slept well, comfy bed and good power shower. Breakfast was great too. 
Amazing value, considering the location. Would stay here again.Read 
moreDate of stay: June 2019HelpfulShare</t>
  </si>
  <si>
    <t>jen197618 wrote a review Nov 2019Middlesbrough, United Kingdom11 
contributions9 helpful votes</t>
  </si>
  <si>
    <t>20elenis wrote a review Aug 2019Thessaloniki, Greece30 contributions3 
helpful votes</t>
  </si>
  <si>
    <t>SatisfactoryStayed recent for 2 nights with 2 children. Rooms clean and spacious. The 
room we had was also very quiet, very little noise feom other guests. 
Location great, so close to the sights. We arrived at 1pm and were told 
that if we wanted to check in before 3pm we would have to pay £10 despite a 
room being ready!! What's that all about. There is a charge for Wi-Fi which 
in this day and age seems unnecessary. Also breakfast was total chaos, the 
room is too small and food and utensils constantly running out.Read 
moreDate of stay: November 2019HelpfulShare</t>
  </si>
  <si>
    <t>new and clean central London hotel near 3 underground stationsWe stayed in a family room which was very good and modern. There was room 
service daily. The matresses, pillows and sheets were really comfortable, 
my daughters really loved their pull out beds. Nice shower too! The hotel 
is within walking distance to the Tower of London and Tower Bridge and also 
to the Gherkin.It is very convenient to visit all major landmarks and 
sights as it is close to 3 underground stations. Easy access to Greenwich 
as well taking the tube and then DLR and to Gatwick airport. We had an 
early flight back home and we went to the airport really smoothly and cheap 
using the public transport at late hours. A very helpful receptionist 
helped us with that.Rich English breakfast and drinks. The 2-3 things that 
made us give it 4 stars instead of 5 are the lack of…Read moreDate of stay: 
August 2019HelpfulShare</t>
  </si>
  <si>
    <t>Stephen M wrote a review Nov 2019Bury St Edmunds, United Kingdom8 
contributions5 helpful votes</t>
  </si>
  <si>
    <t>https://www.tripadvisor.co.uk/Hotel_Review-g186338-d13569031-Reviews-or395-Travelodge_London_City_hotel-London_England.html#REVIEWS</t>
  </si>
  <si>
    <t>Short BreakWe booked this Travel Lodge a few months ago online. The price was very 
good for accommodation and breakfast included for a stop over in the 
Capital. There was a possibly of being booked in any one of two of their 
lodges, luckily we went to the correct one first. Checked in manually at a 
desk, room 262. Unfortunately the lady at the check-in desk sent us in the 
wrong direction for our room, so we had to return to get for further 
information!! The room was ok, possibly a few more milks, teas would have 
been better.Kind There was from the start right thro to leaving an alarm 
going off, proofed to be most annoying. Did mention this when checking out 
that the source of his aught to be checked out for the comfort of their 
customers. Didn't seem to register a positive response?Read moreDate of 
stay: October 2019HelpfulShare</t>
  </si>
  <si>
    <t>john77rose wrote a review Aug 2019Consett, United Kingdom23 contributions3 
helpful votes</t>
  </si>
  <si>
    <t>Does what it says on the tinVery nice hotel. Very tidy and lovely staff. Our room looked out into the 
middle so there was no view, but because we had a room on that side the 
noise was zero. The room was very tidy and clean. Would recommend this 
Travelodge to friends.Read moreDate of stay: August 2019HelpfulShare</t>
  </si>
  <si>
    <t>https://www.tripadvisor.co.uk/Hotel_Review-g186338-d193057-Reviews-or495-Travelodge_London_Covent_Garden-London_England.html#REVIEWS</t>
  </si>
  <si>
    <t>Gillaine Alman wrote a review Oct 201920 contributions5 helpful votes</t>
  </si>
  <si>
    <t>DJC wrote a review Aug 20192 contributions</t>
  </si>
  <si>
    <t>Good for a short break in central LondonIt is what it is, a budget hotel but beds are comfy and room was clean. 
Very close to Convent Garden, Leicester Square etc. Breakfast had 
everything an English Breakfast should have although more coffee machines 
or a hot water urn should be looked into as queues for coffee and tea could 
be quite a wait. Reception staff very helpful and courteous.Read moreReview 
collected in partnership with TravelodgeDate of stay: October 
2019HelpfulShare</t>
  </si>
  <si>
    <t>Great LocationGo High, not near lift, but any room is good. Location is great for the 
Thames, Tower of London, and access to city and west end. Good values, 
clean and tidy. Highly recommend this hotel right got near Aldgate station. 
Would stay hear again, and have used travelodge hotels in the past and 
really provide a good serviceRead moreReview collected in partnership with 
this hotelDate of stay: August 2019HelpfulShare</t>
  </si>
  <si>
    <t>St patrick jaso... W wrote a review Aug 20192 contributions1 helpful vote</t>
  </si>
  <si>
    <t>SarahMorris22 wrote a review Oct 2019Leeds, United Kingdom12 contributions3 
helpful votes</t>
  </si>
  <si>
    <t>Our wedding anniversaryMe and my husband stayed in this hotel for our anniversary. It was great 
the room was immaculate. The location was amazing near to London bridge and 
tower hill only a short walk. The food was fantastic and service was 
impeccable. Special mention to Martina she was very accommodating during 
our stay.We would definitely recommend this travelodge to who wants to have 
a fantastic time in London. We can't wait to come back again!!!!Read 
moreDate of stay: August 2019HelpfulShare</t>
  </si>
  <si>
    <t>Overnight stayI stayed here overnight with work for the nursing times awards. It was a 
quick visit but It was a very comfortable stay nonetheless. Bed was comfy 
and I slept really well. Minimal noise. Breakfast was delicious. A large 
variety and all food was fresh and hot. Would reccomend to stay here.Read 
moreDate of stay: October 2019HelpfulShare</t>
  </si>
  <si>
    <t>Lizzie S wrote a review Aug 2019Bath, United Kingdom20 contributions3 
helpful votes</t>
  </si>
  <si>
    <t>jozinebannister wrote a review Oct 20191 contribution</t>
  </si>
  <si>
    <t>Great location for the price!Immaculate hotel in the heart of the city. A few blocks from spitafileds 
market and right near the tube. Can’t fault it. Would recommend this for 
tourists as it’s a great location to access all the tourist stuff but away 
from the expensive tourist areasRead moreReview collected in partnership 
with TravelodgeDate of stay: August 2019HelpfulShare</t>
  </si>
  <si>
    <t>��Nice hotel, good location. Rooms clean, bed comfortable. Good facilities in 
the super rooms. Only niggles were that on the first day the shower 
wouldn't get hot no matter how much it was turned up, but the next day it 
was ok, and there were no instructions on how to use the coffee machine. 
Overall we had a good stay and would stay there again.Read moreReview 
collected in partnership with TravelodgeDate of stay: October 
2019HelpfulShare</t>
  </si>
  <si>
    <t>https://www.tripadvisor.co.uk/Hotel_Review-g186338-d13569031-Reviews-or400-Travelodge_London_City_hotel-London_England.html#REVIEWS</t>
  </si>
  <si>
    <t>phd-organa wrote a review Oct 2019Buenos Aires, Argentina45 contributions8 
helpful votes</t>
  </si>
  <si>
    <t>https://www.tripadvisor.co.uk/Hotel_Review-g186338-d1812157-Reviews-or80</t>
  </si>
  <si>
    <t>staff653 wrote a review Aug 2019Kingston-upon-Hull, United Kingdom1 
contribution</t>
  </si>
  <si>
    <t>Excellent choiceThe hotel is well located, just a few minutes from Covent Garden and the 
value worth it. The facilities as well as the room were comfortable and 
clean. Breakfast was as expected, with variety of options and in a cozy 
room. Wifi worked fine. Staff was friendly and eager to solve any issue. 
Strongly recommended.Read moreReview collected in partnership with 
TravelodgeDate of stay: October 2019HelpfulShare</t>
  </si>
  <si>
    <t>Travelodge London city hotelThe staff was excellent couldn’t do enough to help you the food was 
excellent would recommend it to any one visiting London has it easy to get 
to and near the attractions and it in a nice quiet area we will return 
againRead moreReview collected in partnership with this hotelDate of stay: 
July 2019HelpfulShare</t>
  </si>
  <si>
    <t>https://www.tripadvisor.co.uk/Hotel_Review-g186338-d193057-Reviews-or500-Travelodge_London_Covent_Garden-London_England.html#REVIEWS</t>
  </si>
  <si>
    <t>Passenger815895 wrote a review Aug 2019Kortrijk, Belgium1 contribution</t>
  </si>
  <si>
    <t>James1955 wrote a review Oct 2019Witney, United Kingdom8 contributions8 
helpful votes</t>
  </si>
  <si>
    <t>Great value stay for the money !Absolute nice crew, close to the tube and a walking distance to the 
towerbridge, right across you can eat Spanish Tapas, and enjoy Japanese 
food. My stay was so good here at London City Travelodge . I 'll be back in 
December ! !Read moreReview collected in partnership with TravelodgeDate of 
stay: August 2019HelpfulShare</t>
  </si>
  <si>
    <t>Tired but getting betterAs usual the location was the deciding factor for choosing this hotel the 
lifts when working are all over the place and as there are only two on a 
good day can be frustrating to say the least . As usual the room was clean 
and although the outside rooms can be noisy at night this is to be expected 
due to the location if you like your Windows open . some small things are 
bearable if the location is important ( earplugs)Read moreReview collected 
in partnership with TravelodgeDate of stay: October 20191 Helpful 
voteHelpfulShare</t>
  </si>
  <si>
    <t>louby41 wrote a review Aug 2019Stoke-on-Trent, United Kingdom695 
contributions112 helpful votes</t>
  </si>
  <si>
    <t>Returning visitorsThis is the second time we've stayed here. Great, newly built hotel so 
everything is fresh and modern. Air con is great as are the plugs/USB 
points by the beds. Clean bedding &amp; towels. Didn't eat or drink here. Close 
to two tube stations so good access into central London. Will certainly 
stay here again for the right price.Read moreDate of stay: August 
2019HelpfulShare</t>
  </si>
  <si>
    <t>Nicola W wrote a review Oct 2019Croston31 contributions21 helpful votes</t>
  </si>
  <si>
    <t>Travelodge Covent GardenI will not be returning to this hotel, it’s expensive and supposed to be a 
budget hotel. I haven’t stayed at a Travelodge hotel for a couple of years 
so I was prepared to give it a go. It’s a long walk from Covent garden 
Apple market and quite seedy dark streets. We arrived and were sent to 
another building the reception staff were not welcoming and my husband 
needed the toilet and after a long wait whilst the people in front were 
dealt with he was given a key for the toilet. The room we had was very 
basic the bed was very squeaky and I woke myself up just turning over in 
the night. We were awoken early morning by a smoke alarm and rushed 
downstairs only to find out it was someone having a steamy shower but how 
were we to know, at that point we left. A very disappointing…Read moreDate 
of stay: October 20191 Helpful voteHelpfulShareResponse from TravelodgeUK, 
Shaf from the Social Media Team. at Travelodge London Covent 
GardenResponded 30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</si>
  <si>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https://www.tripadvisor.co.uk/Hotel_Review-g186338-d13569031-Reviews-or405-Travelodge_London_City_hotel-London_England.html#REVIEWS</t>
  </si>
  <si>
    <t>leppyloo wrote a review Aug 2019Swansea, United Kingdom34 contributions40 
helpful votes</t>
  </si>
  <si>
    <t>paulafisher2019 wrote a review Oct 2019Worcester, United Kingdom1 
contribution</t>
  </si>
  <si>
    <t>Excellent hotel in good location to explore LondonWe've stayed at the London City Travelodge twice this year and have been 
impressed on both occasions. It's a new hotel and therefore everything is 
still in very good condition. We had a family room (so 1 double and 2 
single beds) and were satisfied with the space and decor. The hotel is just 
a few minutes from Aldgate station and within walking distance of unusual 
architecture such as The Gherkin. Breakfast was tasty with vegetarian 
sausages available! The restaurant also served good quality meals at a 
reasonable price. However the best thing was that it is quiet! I've stayed 
in so many hotels where the curtains are inadequate and it is noisy outside 
- so I end up exhausted after my trip. The first time we stayed at this 
hotel we were overlooking a courtyard (i.e. not…Read moreDate of stay: 
August 2019HelpfulShare</t>
  </si>
  <si>
    <t>Visit to watch big the musicalTravel lodge Covent garden is the perfect spot to walk to the domain 
theatre , with a fantastic pub on the corner called the white Hart , very 
clean rooms with comfy beds .the staff are very helpful and polite well 
worth a visit there is a little care directly opposite the lodge which does 
a very good cooked breakfast for five pounds well worth a visit also with 
very friendly staff ,Read moreReview collected in partnership with 
TravelodgeDate of stay: October 2019HelpfulShare</t>
  </si>
  <si>
    <t>Rob S wrote a review Aug 2019Derby, United Kingdom14 contributions8 helpful 
votes</t>
  </si>
  <si>
    <t>London mini breakBrilliant location for most central London attractions. Very new so rooms 
are very well insulated for a great night sleep. Rooms air conditioning 
works really well, is quite and does not disturb sleep. Breakfast brilliant 
and the eating area very large so plenty of space to eat Staff very helpful 
Overall we really like this hotel and have been there twice now. Wouldn’t 
hesitate to book againRead moreDate of stay: August 2019HelpfulShare</t>
  </si>
  <si>
    <t>musicfrog wrote a review Oct 201925 contributions6 helpful votes</t>
  </si>
  <si>
    <t>First and last stay in a Travelodge!I can’t remember staying anywhere worse! (This Travelodge is on two sites, 
we were on the Holborn Road site) It has a great location, but that is 
literally the only thing going for it. Check in was ok, had to wait a while 
for someone to actually come to reception as everywhere seemed 
understaffed. The room was spacious but very shabby, could definitely do 
with a lick of paint. Was quite cold as the window had been left open all 
afternoon it would seem. My husband noticed on the way down to dinner that 
the gaffer tape on the lift panel could do with renewing! The highlight of 
our stay has to have been the farce that was dinner! After waiting over 15 
minutes at the bar (despite the man on reception going to look for the 
barmaid) I managed to order two burgers and…Read moreDate of stay: October 
2019HelpfulShareResponse from TravelodgeUK, Shaf from the Social Media 
Team. at Travelodge London Covent GardenResponded 30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</si>
  <si>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tinamahiout wrote a review Aug 2019Suffolk, United Kingdom1 contribution</t>
  </si>
  <si>
    <t>https://www.tripadvisor.co.uk/Hotel_Review-g186338-d193057-Reviews-or505-Travelodge_London_Covent_Garden-London_England.html#REVIEWS</t>
  </si>
  <si>
    <t>I would definitely recommend!Brilliant service, great location and friendly staff. My boyfriend and I 
stayed at the hotel after I had recommended it due to a previous stay, and 
both times my stay at the hotel was faultless, the staff were really 
friendly and always ready to help. The beds were comfortable and the hotel 
was very well kept.Read moreReview collected in partnership with 
TravelodgeDate of stay: August 2019HelpfulShare</t>
  </si>
  <si>
    <t>https://www.tripadvisor.co.uk/Hotel_Review-g186338-d13569031-Reviews-or410-Travelodge_London_City_hotel-London_England.html#REVIEWS</t>
  </si>
  <si>
    <t>M7703TXclaireg wrote a review Aug 2019Congleton, United Kingdom27 
contributions2 helpful votes</t>
  </si>
  <si>
    <t>jacobs4pp wrote a review Oct 20191 contribution</t>
  </si>
  <si>
    <t>Family breakAmazing hotel ideally located 2 minutes walk from Aldgate Underground 
station and easy walk to Tower Bridge, we had a family room which was very 
clean, spacious and had much needed air conditioning. The staff were great, 
very welcoming and nothing was too much trouble. The breakfast was good 
quality, constantly refreshed and a good choice, they even had take out hot 
drink cups which I've not seen before. We ate an evening meal in the hotel 
one night and although the quality of food was good the service was a 
little slow. The only downside to this hotel was the lack of shelving in 
the room, we only had 1 shelf and 6 coat hangers so a few more shelves 
would have been great. We stayed at this hotel for 4 nights and would 
highly recommend it.Read moreReview collected in partnership with this 
hotelDate of stay: July 2019HelpfulShare</t>
  </si>
  <si>
    <t>Horrendous experienceRooms are terrible not maintained room flooded and offered another room 
with blood on the sheet had to go to hospital with a broken finger and 
getting hold of head office to complain is a nightmare avoid and find 
another hotelRead moreReview collected in partnership with TravelodgeDate 
of stay: October 2019HelpfulShareResponse from TravelodgeUK, Shaf from the 
Social Media Team. at Travelodge London Covent GardenResponded 29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</si>
  <si>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carolstewart17 wrote a review Oct 2019Bristol, United Kingdom1 contribution</t>
  </si>
  <si>
    <t>Iris L wrote a review Aug 201932 contributions1 helpful vote</t>
  </si>
  <si>
    <t>Travelodge Covent gardenVery convenient for the West end and Soho, Room comfortable and both it and 
the public areas very clean,Only problem was the room was a bit cold and we 
could have done with extra bedding but otherwise fine and good value for 
LondonRead moreReview collected in partnership with TravelodgeDate of stay: 
October 2019HelpfulShare</t>
  </si>
  <si>
    <t>Very good stayWe came to stay in Travelodge with a few families. We were nicely allocated 
on the same floor. The breakfast was good. The location was convenient, 
about 3 minutes walk from Aldgate Station and 10 minutes from Tower of 
London. The staff were very nice. Wifi is free for only 30 minutes.It could 
be better if wifi is free all of the timeRead moreDate of stay: August 
2019HelpfulShare</t>
  </si>
  <si>
    <t>tracygreen1 wrote a review Oct 2019Halifax, United Kingdom1 contribution</t>
  </si>
  <si>
    <t>2xseals wrote a review Aug 2019Greater Manchester, United Kingdom1 
contribution</t>
  </si>
  <si>
    <t>It’s all about locationVery very tired, shabby travel lodge. Travelled there with friends for a 
weekend, so had 3 rooms booked. Corridor to our rooms was very shabby, 
stains on carpets, , dirty. 1room, curtains hanging down, dirty toilet. 
Another room found sweet wrappers under beds, and a dirty toilet. Also 
found toilets didn’t flush very well. Reported faults, but no action was 
taken whilst we were there, but we were offered a free breakfast as an 
apology as we checked out, we declined so we were given some Prosecco to 
take away. .Excellent location thoughRead moreReview collected in 
partnership with TravelodgeDate of stay: October 2019HelpfulShareResponse 
from TravelodgeUK, Shaf from the Social Media Team. at Travelodge London 
Covent GardenResponded 29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</si>
  <si>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https://www.tripadvisor.co.uk/Hotel_Review-g186338-d193057-Reviews-or510-Travelodge_London_Covent_Garden-London_England.html#REVIEWS</t>
  </si>
  <si>
    <t>Voyage542589 wrote a review Oct 20191 contribution</t>
  </si>
  <si>
    <t>general service cleanlinessScruffy looking staff poor knowledge by reception staff any request for 
information met with i will have to look it up on the internet OR picked up 
a map circled on area that's where you are gave it to me ???? Hand towels 
available only by request ROOM cleaned ONLY BY REQUEST Only good thing 
hotel was central breakfast good value for moneyRead moreReview collected 
in partnership with TravelodgeDate of stay: October 
2019HelpfulShareResponse from TravelodgeUK, Niki from The Social Media Team 
at Travelodge London Covent GardenResponded 29 Oct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</si>
  <si>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Extremely goodUncomplicated ,clean ,bright ,friendly and good value. As I was on 
business, I wanted a hotel that would make life simple, easy and 
comfortable. London City Travelodge delivered on all counts. I will use it 
again.Read moreReview collected in partnership with TravelodgeDate of stay: 
August 2019HelpfulShare</t>
  </si>
  <si>
    <t>iantaylor2010 wrote a review Oct 20191 contribution</t>
  </si>
  <si>
    <t>Cold roomAir conditioning did not heat room. With air conditioning off, still a 
contiuous flow of cold air from vents over the bed.Room was small and 
cramped. Room had no TV remote control, needed a second request to supply a 
remote control which arrived, after about 90 minutes.Read moreReview 
collected in partnership with TravelodgeDate of stay: October 
2019HelpfulShareResponse from TravelodgeUK, Niki from The Social Media Team 
at Travelodge London Covent GardenResponded 29 Oct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</si>
  <si>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https://www.tripadvisor.co.uk/Hotel_Review-g186338-d13569031-Reviews-or415-Travelodge_London_City_hotel-London_England.html#REVIEWS</t>
  </si>
  <si>
    <t>helencasey2019 wrote a review Oct 20191 contribution</t>
  </si>
  <si>
    <t>borghildmn wrote a review Aug 20191 contribution</t>
  </si>
  <si>
    <t>disappointing family room stay at Covent GardenJust to warn families booking at Covent Garden, you don't stay in the nice 
modern building, you stay in an old scruffy hotel across the road from 
this. I think this information should be shared when booking as this is not 
the hotel image provided on the website. Very disappointing.Read moreReview 
collected in partnership with TravelodgeDate of stay: October 
2019HelpfulShareResponse from TravelodgeUK, Shaf from the Social Media 
Team. at Travelodge London Covent GardenResponded 29 Oct 2019Thank you for 
reviewing our London Covent Garden Travelodge. We're really sorry to learn 
of your disappointment regarding your recent stay with us. Travelodge are 
always reviewing our hotels for refurbishments and we will ensure to pass 
your comments on to the relevant department. Feedback is invaluable and our 
Hotel Managers regularly review their TripAdvisor reviews in order to fix 
any issues raised and pass on feedback to their team. Thank you once again 
and we do hope you will stay with us in the future.Read more</t>
  </si>
  <si>
    <t>Roving694305 wrote a review Oct 20196 contributions1 helpful vote</t>
  </si>
  <si>
    <t>Great hotel!I was a bit anxious to be booking a budget hotel in London for our family 
of four, as we’ve heard of and had not so great experiences earlier. But we 
could not be more happy with our choice! The hotel and the room were nice 
and clean (cleanliness is always on the top of my priority list), the bar 
and breakfast area was inviting and the staff was super friendly and 
helpful! The hotel interior reminded us of the Scandic Hotels we’re used to 
staying at in Scandinavia. The family room was not super spacious (they 
never are), but we managed fine for three nights. With only one extra bed 
(we had two), the room would work out perfectly. There was free coffee/tea 
and shampoo/soap. The location of the hotel turned out to be perfect, 
really close to two underground stations and to…Read moreReview collected 
in partnership with TravelodgeDate of stay: August 2019HelpfulShare</t>
  </si>
  <si>
    <t>Travelodge Covent GardenGREAT HOTEL STAY FOR DECENT PRICE.In a great location for VISITING Covent 
Garden and Leicester Square and River Thames. Bar and Cafe in the hotel . 
Also lots more cafes and bars in walking distance from the hotel. The room 
shower was great .Read moreReview collected in partnership with 
TravelodgeDate of stay: October 2019HelpfulShare</t>
  </si>
  <si>
    <t>Explore58834 wrote a review Aug 20191 contribution</t>
  </si>
  <si>
    <t>The best experienceThe best hotel for location and price. Very close to 2 underground 
stations. The hotel was new and very clean, and top service. I will 
recommmend everyone i know to stay here, and Travelodge London city hotel 
is my fixed hotel, everytime i will be in London.Read moreReview collected 
in partnership with TravelodgeDate of stay: August 2019HelpfulShare</t>
  </si>
  <si>
    <t>gilljaug2015 wrote a review Aug 2019Suffolk, United Kingdom5 contributions4 
helpful votes</t>
  </si>
  <si>
    <t>https://www.tripadvisor.co.uk/Hotel_Review-g186338-d193057-Reviews-or515-Travelodge_London_Covent_Garden-London_England.html#REVIEWS</t>
  </si>
  <si>
    <t>Great place to stayClean, comfortable and quiet. Great value for money and the location was 
ideal for us. Staff friendly and helpful. Had aircon which was a plus as 
not always available at Travelodges. Breakfast buffet style but great 
value.Read moreReview collected in partnership with this hotelDate of stay: 
August 2019HelpfulShare</t>
  </si>
  <si>
    <t>https://www.tripadvisor.co.uk/Hotel_Review-g186338-d13569031-Reviews-or420-Travelodge_London_City_hotel-London_England.html#REVIEWS</t>
  </si>
  <si>
    <t>Savoycabbage wrote a review Oct 2019Ross-on-Wye, United Kingdom3 
contributions1 helpful vote</t>
  </si>
  <si>
    <t>EddieJ_13 wrote a review Aug 2019Reading, United Kingdom5 contributions1 
helpful vote</t>
  </si>
  <si>
    <t>Expected betterBooked travel lodge with the expectation it would be a safe bet. 
Unfortunately the cleanliness of the bathroom and poor shower along with 
dirty windows and other little things which kept adding up , proved this a 
disappointing choice and for nearly £200 a night . Breakfast was a disaster 
. Location at Covent Garden however was great.Read moreReview collected in 
partnership with TravelodgeDate of stay: October 2019HelpfulShare</t>
  </si>
  <si>
    <t>Great TraveodgeSecond stay here and it was just as good as the first, great Hotel for a 
short stay and well positioned for the Barbican and trendy Shoreditch, a 
good clean and comfortable Travelodge with comfortable and quiet rooms and 
will use it again for our next visit.Read moreReview collected in 
partnership with this hotelDate of stay: July 2019HelpfulShare</t>
  </si>
  <si>
    <t>wrightyred wrote a review Aug 2019Blackpool, United Kingdom61 
contributions23 helpful votes</t>
  </si>
  <si>
    <t>Best location in London so far ....This Travelodge is only about a year old so is in tip top condition, staff 
were very friendly and facility second to none . It is only 5 mins walk 
from Aldergate station and easy to get around London from this location . 
If I had to be critical I would say rooms are on the small side and when in 
the bathroom ( toilet ) not a lot of space to the sink . On the hole lovely 
clean hotel which I would stay at again and again .Read moreDate of stay: 
August 2019HelpfulShare</t>
  </si>
  <si>
    <t>Stephbuttonmoon wrote a review Oct 2019Durham, United Kingdom91 
contributions13 helpful votes</t>
  </si>
  <si>
    <t>btc968 wrote a review Aug 20191 contribution</t>
  </si>
  <si>
    <t>Good for the money .Very good and located hotel , nice staff and very clean . Beds are very 
good and pillow large and nice . Highly recommeded . Travelodge is always 
my first choice in UK . I have been at Travelodge many places and always 
satified .Read moreReview collected in partnership with TravelodgeDate of 
stay: July 2019HelpfulShare</t>
  </si>
  <si>
    <t>Horrendous!!!It feels like punishment staying here. Don't do it...an old office block. 
I've never had to experience a room as small as this for £135 per night. 
Always had a great experience at Travelodge before. I wouldn't recommend 
this hotel for the price there are better 3 star hotels in London.Read 
moreDate of stay: October 20192 Helpful votesHelpfulShareResponse from 
TravelodgeUK, Ben from the Social Media Team at Travelodge London Covent 
GardenResponded 27 Oct 2019Thank you for taking the time to write a review 
about our London Covent Garden hotel. We are sorry to learn that you did 
not find your room to be of great value, and we are sorry to learn of the 
disappointment caused by other aspects of your stay. We have an ongoing 
refurbishment program and, while we cannot refurbish every hotel 
simultaneously, we are working to make sure that hotels are refurbished 
regularly.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</si>
  <si>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https://www.tripadvisor.co.uk/Hotel_Review-g186338-d13569031-Reviews-or425-Travelodge_London_City_hotel-London_England.html#REVIEWS</t>
  </si>
  <si>
    <t>Trevor S wrote a review Oct 20191 contribution</t>
  </si>
  <si>
    <t>jack p wrote a review Aug 20194 contributions</t>
  </si>
  <si>
    <t>Overnight stay on businessThe hotel is a converted office block which although is functional is both 
tied and old fashioned. The bedroom was large, cold and uninviting and the 
colour scheme is very dated. The TV was too small and approximately 8m away 
from the bed! In contrast, the bath was too small.Read moreReview collected 
in partnership with TravelodgeDate of stay: October 2019HelpfulShare</t>
  </si>
  <si>
    <t>Travelodge Stay in LondonWe stayed for 4 days at the travelodge Aldgate and found it good value for 
money, the rooms are very basic and the only thing missing was a small 
fridge and cupboards. They are positioned close to the underground and 
buses.Read moreReview collected in partnership with TravelodgeDate of stay: 
July 2019HelpfulShare</t>
  </si>
  <si>
    <t>Lisa L wrote a review Aug 2019Whitby, United Kingdom28 contributions5 
helpful votes</t>
  </si>
  <si>
    <t>https://www.tripadvisor.co.uk/Hotel_Review-g186338-d193057-Reviews-or520-Travelodge_London_Covent_Garden-London_England.html#REVIEWS</t>
  </si>
  <si>
    <t>Birthday timeGreat hotel in a good location! Close to tube stations and Spitalfields 
market. Friendly staff at the bar and a good breakfast with plenty of 
choice. Rooms were clean and tidy with tea making facilitiesRead moreDate 
of stay: August 2019HelpfulShare</t>
  </si>
  <si>
    <t>Mary C wrote a review Aug 2019Edinburgh, United Kingdom10 contributions2 
helpful votes</t>
  </si>
  <si>
    <t>Excellent stayHotel is very clean, reception staff friendly and helpful. Breakfast 
adequate. Central location and lots of eateries around the corner, tower 
bridge, sky garden within walking distance and quite a handful of stations 
close by.Read moreReview collected in partnership with TravelodgeDate of 
stay: July 2019HelpfulShare</t>
  </si>
  <si>
    <t>TrueBlueandWhite wrote a review Oct 2019Waddington, United Kingdom15 
contributions16 helpful votes</t>
  </si>
  <si>
    <t>carolinamoon2015 wrote a review Aug 2019Alexandria, United Kingdom118 
contributions35 helpful votes</t>
  </si>
  <si>
    <t>Basic, poor standard hotelPlus: staff were very friendly and helpful. Minus: poor soundproofing for 
outside noise and next room noises. Small, cramped room. Dimly lit 
interior. No drawer space and small capacity for hanging clothes on an open 
rail. Shower had to be left running for at least 5 mins to get warm - not 
hot, and not very powerful. Freezing stairwell when using steps to access 
room.Read moreDate of stay: October 2019HelpfulShareResponse from 
TravelodgeUK, Zack from The Social Media Team at Travelodge London Covent 
GardenResponded 24 Oct 2019Thank you for taking the time to advise on your 
recent stay at our London Covent Garden hotel. We are pleased to hear that 
our staff were friendly and helpful during your stay, however we are so 
sorry to read of your disappointment with the issues you experienced during 
your stay.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</si>
  <si>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Birthday Trip to LondonWhat a hidden little gem this place is - its 5 min walk from Tower Bridge, 
Tower of London, and easy access to tube station going further, the hotel 
its self is gorgeous inside the super room is fab, we were welcomed with 
warmness immediately - the room was spotless, with Tea, coffee,hot choc, 
and kit kats , there is plenty room to hang clothes and shelf's added to - 
the WiFi was perfect not one glitch, the bath was great a good size as 
usually they are to small this was perfect to relax in after long day 
walking in London . I now need an excuse to return to London as .I would 
return to this hotel, A massive big Thank You to all in the London City 
Travelodge, and a handshake to Alan as we missed him after breakfastRead 
moreDate of stay: August 2019HelpfulShare</t>
  </si>
  <si>
    <t>Amy D wrote a review Aug 2019Cardiff, United Kingdom43 contributions18 
helpful votes</t>
  </si>
  <si>
    <t>madaboutravelsp wrote a review Oct 2019Edinburgh, United Kingdom786 
contributions589 helpful votes</t>
  </si>
  <si>
    <t>Great value, great locationMy room cost the princely sum of £35. How that's possible in central London 
I really don't know. I'd stayed here before so I knew it would be great - 
brand new last year, it's still looking clean, fresh and up to date. The 
room I'd describe as simple/basic but very good. The bed was large and 
comfy, and you had everything you need. The bathroom is one of those 
plastic drop-in type bathrooms, but it has everything you need so no 
complaints there. Not "luxury" by any means but amazing value for money. 
The location is also great too, just round the corner from the lively Brick 
Lane area in one direction, and the Gherkin etc in the other. About one 
minute from a tube station (Aldgate East). Can't really ask form ore!Read 
moreDate of stay: August 2019HelpfulShare</t>
  </si>
  <si>
    <t>Good location, clean and good value for moneyI have stayed a few times in this basic hotel close to Covent Garden and it 
doesn't disappoint. It is clean, comfy and has a good locatio. And the 
staff are friendly and helpful. On the other hand, it does not offer free 
wifi, breakfast is quite pricey for what it is and needs a bit of a style 
refresh. But all i all it is a good place to stay.Read moreDate of stay: 
October 201911 Helpful votesHelpfulShare</t>
  </si>
  <si>
    <t>https://www.tripadvisor.co.uk/Hotel_Review-g186338-d13569031-Reviews-or430-Travelodge_London_City_hotel-London_England.html#REVIEWS</t>
  </si>
  <si>
    <t>Mariel R wrote a review Aug 2019Mexico City, Mexico19 contributions5 
helpful votes</t>
  </si>
  <si>
    <t>https://www.tripadvisor.co.uk/Hotel_Review-g186338-d193057-Reviews-or525-Travelodge_London_Covent_Garden-London_England.html#REVIEWS</t>
  </si>
  <si>
    <t>nikki024 wrote a review Oct 2019wigan55 contributions40 helpful votes</t>
  </si>
  <si>
    <t>More expectations!We came London 2016, and stayed in the hotel of Waterloo and the experience 
was over expected, that’s why we choose to stay in one of your hotels, but 
staying in the travelodge in London city, because the rate was mire 
convenient for us, but the experience was awful: 1) we need to ask several 
times to tidy the rooms and they told us that we didn’t asked for that we 
are not liers. 2) in your web site says that it’s a travelodge plus, you 
need to explain what does it means because if you want to get a shower you 
need to get out of the bathroom to have space for the water. Really it’s 
was a very bad experience to stay in your hotel not recommended at all, 
Waterloo was nice but London city preferly avoid it. You don’t have in mind 
that everybody that come from Latin America do a…Read moreDate of stay: 
August 2019HelpfulShare</t>
  </si>
  <si>
    <t>lukeap48 wrote a review Aug 2019Brighton and Hove, United Kingdom2 
contributions3 helpful votes</t>
  </si>
  <si>
    <t>Great Location. Fair hotel for the money.Excellent location, 5 min walk to convent garden, 5 min walk to Holborn 
Station. Pubs &amp; cafes outside. Paid extra for Super room but not sure what 
I got extra. Positives - double bed, TV, Air Con, great breakfast, fair 
prices at the bar. Coffee machine, tea &amp; coffee facilities, hairdryer. 
Staff friendly. Areas for Improvement - room a bit small, no drawers, tiny 
wardrobe, tiny window. Shower cubicle with curtain, no toiletries, 1towel 
each, Generally you get what you pay for. For the location in London, this 
was great.Read moreDate of stay: October 2019HelpfulShare</t>
  </si>
  <si>
    <t>No Complaints!Great value for money with friendly staff who accommodated an early 
check-in to a clean, comfortable and pleasant room. Happy days with zero 
complaints! Who's definitely recommend to anyone looking for a budget stay 
in London with decent quality in mind.Read moreReview collected in 
partnership with this hotelDate of stay: August 20191 Helpful 
voteHelpfulShare</t>
  </si>
  <si>
    <t>Passenger10367 wrote a review Oct 20191 contribution</t>
  </si>
  <si>
    <t>Covent gardenThe location couldn't be better, you can walk just about anywhere. The room 
was OK but quite dirty, lots of black dust around the ceiling tiles, 
bathroom sink was filthy, and the room service was inadequate and not 
consistent from one day to the next (they left our dirty towels in the 
shower tray, wet). On the other hand the reception staff were great and one 
of them went out of her way to find me a 'flat' pillow that I asked 
for.Read moreReview collected in partnership with TravelodgeDate of stay: 
October 2019HelpfulShare</t>
  </si>
  <si>
    <t>ChrisH wrote a review Aug 2019Southampton, United Kingdom14 contributions6 
helpful votes</t>
  </si>
  <si>
    <t>Donna A wrote a review Oct 20193 contributions</t>
  </si>
  <si>
    <t>Easy one-night stayWe stayed in this Travelodge one night as part of a trip to see friends in 
London. The staff were friendly, the room was tidy and there weren't many 
signs that it had been used before (I believe this is a new hotel). The 
aircon was a god-send as it was such a hot day! TV reception was good as 
was the double bed. We didn't eat here, so can't comment on food, but the 
happy hour drinks were excellent - I was particular happy to see that they 
served Leffe on tap at the bar!Read moreDate of stay: July 2019HelpfulShare</t>
  </si>
  <si>
    <t>Good hotelHotel was clean and reception staff very helpful. Found the person working 
on the left luggage very very rude on both days. A lot of people were 
complaining as walking away about how rude he was. I did mention this to 
reception but they stated it was because he’s English is very poor. He 
expected me to lift other people’s heavy bags off the top of mine and then 
me collect my bag. When I explained the other bags were too heavy for me to 
lift he tutted at me and then moved them. Other than this problem it was a 
pleasant stay.Read moreReview collected in partnership with TravelodgeDate 
of stay: October 2019HelpfulShare</t>
  </si>
  <si>
    <t>https://www.tripadvisor.co.uk/Hotel_Review-g186338-d1812157-Reviews-or85</t>
  </si>
  <si>
    <t>fred11Halifax_NS wrote a review Oct 2019St. George, Canada42 
contributions13 helpful votes</t>
  </si>
  <si>
    <t>Don’t expect any toiletries in your room,.Poor room preparation. Neither of bathroom dispensers had any product in 
them. Nice to find out while in shower. Not too much to ask. Good bed. WiFi 
is only free for 30 minutes. Pathetic in this day and age.Read moreReview 
collected in partnership with TravelodgeDate of stay: October 
2019HelpfulShare</t>
  </si>
  <si>
    <t>https://www.tripadvisor.co.uk/Hotel_Review-g186338-d13569031-Reviews-or435-Travelodge_London_City_hotel-London_England.html#REVIEWS</t>
  </si>
  <si>
    <t>robins_11 wrote a review Aug 2019London, United Kingdom40 contributions13 
helpful votes</t>
  </si>
  <si>
    <t>Lovely air conditioned TravelodgeGreat customer focus reception, and the room was air conditioned, which on 
the hottest day of the year was very welcoming. Easy transport links into 
central London, either bud or underground. Quite a bit of building work in 
the area, but did not disturb me in the roomRead moreReview collected in 
partnership with this hotelDate of stay: July 2019HelpfulShare</t>
  </si>
  <si>
    <t>damianhoban wrote a review Aug 20193 contributions1 helpful vote</t>
  </si>
  <si>
    <t>https://www.tripadvisor.co.uk/Hotel_Review-g186338-d193057-Reviews-or530-Travelodge_London_Covent_Garden-London_England.html#REVIEWS</t>
  </si>
  <si>
    <t>bp018 wrote a review Oct 2019Kingston-upon-Hull, United Kingdom12 
contributions</t>
  </si>
  <si>
    <t>Super stayGreat new hotel. Within stone's throw of both Aldgate and Aldgate East tube 
stations. Nearby TESCO express. Comfortable rooms with air conditioning for 
hotter days. Close to Tower and historical sites. Quiet areaRead moreReview 
collected in partnership with TravelodgeDate of stay: August 
2019HelpfulShare</t>
  </si>
  <si>
    <t>laurawR3434XI wrote a review Aug 2019Rochester, United Kingdom3 
contributions1 helpful vote</t>
  </si>
  <si>
    <t>Very tired roomsAfter 15 years of staying here on and off this the first time we were 
disappointed. The rooms are very tired now and the windows are so dirty 
they hardly let the light in.I think You will need to upgrade to Super 
rooms to get a refurbished one. First time in 15 years of staying here we 
were disappointed. We paid over £115 a night room only including discount 
which is normal for this hotel.Read moreReview collected in partnership 
with TravelodgeDate of stay: October 2019HelpfulShareResponse from 
TravelodgeUK, Ben from the Social Media Team at Travelodge London Covent 
GardenResponded 22 Oct 2019Thank you for taking the time to write a review 
about our London Covent Garden hotel. We're pleased to hear that you have 
previously had positive experiences at this hotel however we are sorry to 
learn of your disappointment with the age and cleanliness of the rooms on 
this occasion. We have an ongoing refurbishment program and, while we 
cannot refurbish every hotel simultaneously, we are working to make sure 
that hotels are refurbished regularly. We appreciate all the feedback we 
receive and our Hotel Managers regularly review their TripAdvisor reviews 
in order to fix any issues raised and pass on feedback to their team. Thank 
you once again and we do hope you will stay with us in the future.Read more</t>
  </si>
  <si>
    <t>Great hotel for a City breakI've stayed here a few times now. The hotel is always clean and the staff 
always welcoming. The hotel is well placed for tubes and within walking 
distance of some key tourist attractions. The hotel is only a year old and 
has a bright and welcoming atmosphere.Read moreReview collected in 
partnership with TravelodgeDate of stay: July 2019HelpfulShare</t>
  </si>
  <si>
    <t>marie d wrote a review Aug 2019Montpellier, France5 contributions5 helpful 
votes</t>
  </si>
  <si>
    <t>GW581 wrote a review Oct 2019Brighton, United Kingdom53 contributions20 
helpful votes</t>
  </si>
  <si>
    <t>Logs of wood for the night?Very bad night due to their pillows. Consequently, really sore neck all 
day. And no solution provided by the reception for our next 3 nights, apart 
from a compassionate smile. This is where Travelodge customer services 
finds its limits. Without any guiltiness. And this is where you feel the 
coldness of a huge middle class hotel factoryRead moreDate of stay: August 
2019HelpfulShareResponse from TravelodgeUK, Ben from the Social Media Team 
at Travelodge London City hotelResponded 13 Aug 2019Thank you for taking 
the time to write a review about our London City hotel. We are sorry to 
learn that you did not find the pillows to be comfortable during your stay. 
These pillows were chosen to be the best fit for our rooms however we are 
unfortunately unable to meet every guests needs in this area. We appreciate 
all the feedback we receive and our Hotel Managers regularly review their 
TripAdvisor reviews in order to fix any issues raised and pass on feedback 
to their team. Thank you once again and we do hope you will stay with us in 
the future.Read more</t>
  </si>
  <si>
    <t>Exploration718547 wrote a review Aug 20191 contribution</t>
  </si>
  <si>
    <t>First and last timeCheck in slow as two staff were dealing with one guest leaving a queue. 
Room small - and that was the "super" room option. Very small bathroom. 
Milk (the UHT pots) in the room for tea and coffee was almost two months 
out of date and sour. Lift very slow, carpets in the lift lobby dirty and 
stained. The bed was comfortable. Lesson - you get what you pay for.Read 
moreReview collected in partnership with TravelodgeDate of stay: October 
2019HelpfulShareResponse from TravelodgeUK, Zack from The Social Media Team 
at Travelodge London Covent GardenResponded 21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</si>
  <si>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London CityGreat location with Aldgate Tube Station and Tower Bridge just a stones 
throw away. Staff were very pleasant and welcoming. Rooms were clean to a 
high standard. Air conditioning was very much appreciated in a 38 degree 
heat which then made for a comfortable nights sleepRead moreReview 
collected in partnership with TravelodgeDate of stay: July 2019HelpfulShare</t>
  </si>
  <si>
    <t>Willie406 wrote a review Oct 2019St. John's, Canada365 contributions59 
helpful votes</t>
  </si>
  <si>
    <t>Nice place to stayThe room was clean, attendants friendly. We booked the Super Room so it was 
newly renovated and didn’t have the empty feel a normal Travelodge Room 
has. The shower was small but water pressure great. The only problem was 
the price but it was the lowest in that area.Read moreReview collected in 
partnership with TravelodgeDate of stay: October 2019HelpfulShare</t>
  </si>
  <si>
    <t>https://www.tripadvisor.co.uk/Hotel_Review-g186338-d13569031-Reviews-or440-Travelodge_London_City_hotel-London_England.html#REVIEWS</t>
  </si>
  <si>
    <t>Anne S wrote a review Oct 2019Durham, United Kingdom3 contributions1 
helpful vote</t>
  </si>
  <si>
    <t>Great accommodation in the centre of theatre land restaurants and places of 
interestThe hotel offered everything it promised staff were more than 
accommodating, breakfast good value for money and I have already told 
friends and family to book I will certainly be back in the New Year, great 
nights sleep with very little outside noise.Read moreReview collected in 
partnership with TravelodgeDate of stay: October 2019HelpfulShare</t>
  </si>
  <si>
    <t>William H wrote a review Jul 2019Cambuslang, United Kingdom1 contribution</t>
  </si>
  <si>
    <t>https://www.tripadvisor.co.uk/Hotel_Review-g186338-d193057-Reviews-or535-Travelodge_London_Covent_Garden-London_England.html#REVIEWS</t>
  </si>
  <si>
    <t>Great value for moneyStayed with my wife and two kids. Very clean. The staff were nice. Air con 
was great especially for the first day where it was 37c . Breakfast good 
value. Good location close to Aldergate station and walking distance to the 
Tower of LondonRead moreReview collected in partnership with TravelodgeDate 
of stay: July 2019HelpfulShare</t>
  </si>
  <si>
    <t>Raiderbankk wrote a review Oct 2019Penarth, United Kingdom260 
contributions115 helpful votes</t>
  </si>
  <si>
    <t>Could with a bit of upgradingJust so you are aware when you book - this hotel has a split location. One 
building is in Covent Garden the other is a couple of minutes walk across a 
busy road in High Holborn. We were in the High Holborn building. Reception 
staff (in fact all staff) are welcoming. The family room we booked was a 
good size with 2 singles and a queen size double bed. The bathroom is dated 
and could do with an upgrade as can the lobby area leading to the lifts. 
This hotel does what it says on the tin and is right in the middle of the 
action near Covent Garden. It's not cheap but its location is hard to beat. 
Did not eat there but there were plenty who were at breakfast which is a 
good sign.Read moreDate of stay: October 2019HelpfulShare</t>
  </si>
  <si>
    <t>Monika S wrote a review Jul 20199 contributions</t>
  </si>
  <si>
    <t>30lea wrote a review Oct 2019Canton of Lucerne, Switzerland1 contribution</t>
  </si>
  <si>
    <t>Nice stayReally nice place to stay. Room was clean , refreshed daily if you wanted, 
breakfast was hot (buffet) plenty to choose from. Staff nice and polite. 
Very close to tube. Around 25 minutes from river.One issue is with the WiFi 
in the room , even if you are paying only two devices allowed to connect 
and the signal is not strong. Apart from that I can recommend that 
place.Read moreReview collected in partnership with this hotelDate of stay: 
July 2019HelpfulShare</t>
  </si>
  <si>
    <t>filthy carpet, dirty bathroomfilthy, rusty bin in the bathroom, not replaced after having talked to the 
staff. bitten fingernails when we entered the room. tea cups were not 
replaced by room service, on second day, we only had one towel to shower 
with. poor service throughout . we have been cominb back to that hotel for 
years now, but this was the last time. shame!Read moreReview collected in 
partnership with TravelodgeDate of stay: October 2019HelpfulShareResponse 
from TravelodgeUK, Zack from The Social Media Team at Travelodge London 
Covent GardenResponded 20 Oct 2019Thank you for submitting your review. 
We're so sorry to hear that you were allocated a room that was not up to 
our usual level of cleanliness, and that you did not receive the great 
service to your room that we strive to provide for all of our guests. We 
would like to hear more about your stay and would kindly invite you to 
contact us via our website. May we thank you again for your review and we 
look forward to hearing from you shortly.Read more</t>
  </si>
  <si>
    <t>https://www.tripadvisor.co.uk/Hotel_Review-g186338-d13569031-Reviews-or445-Travelodge_London_City_hotel-London_England.html#REVIEWS</t>
  </si>
  <si>
    <t>SBrax wrote a review Jul 2019Wolverhampton, United Kingdom7 contributions7 
helpful votes</t>
  </si>
  <si>
    <t>Excellent city break hotelThe hotel was spotlessly clean with super comfortable rooms and very quiet. 
All staff were extremely friendly and attentive. The hotel is a couple of 
minutes away from both Aldgate and Aldgate East tube stations. We've stayed 
in many budget chain hotels in London over the years and this hotel was 
definitely one of the best we've stayed in. Thank you to all staff.Read 
moreDate of stay: July 2019HelpfulShare</t>
  </si>
  <si>
    <t>mary1212121 wrote a review Jul 20191 contribution</t>
  </si>
  <si>
    <t>corrinkrueger wrote a review Oct 20191 contribution</t>
  </si>
  <si>
    <t>great hoteltry the pizza. it is cool. room super comfortable. highly recommended. I 
would go here again for sure. especially as it was not too expensive but it 
still felt like luxury and was roomy and great. many thanksRead moreReview 
collected in partnership with this hotelDate of stay: July 2019HelpfulShare</t>
  </si>
  <si>
    <t>Not cleanDirty bedding with yellow and red stains, no elevator to get the luggage up 
the stairs had to carry it up, the sink drain was broken and they used a 
hanger to bang it and "fix" it. Dirty coffee cups in rooms, shower so 
forceful it felt like your skin was going to rip offRead moreReview 
collected in partnership with TravelodgeDate of stay: October 
2019HelpfulShareResponse from TravelodgeUK, Shaf from the Social Media 
Team. at Travelodge London Covent GardenResponded 17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</si>
  <si>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l0ttiee1 wrote a review Jul 2019Swadlincote, United Kingdom24 
contributions16 helpful votes</t>
  </si>
  <si>
    <t>Great hotelStaff were really friendly and helpful no task was too much and happy to go 
out of their way to ensure you had the best service. Good location, easy to 
walk to places and close enough to walk to liverpool street station, 
however there are two tube stations in a very close walking distance. The 
room was clean and all the essentials were there, only downside was the 
free wifi was slightly awkward to connect to but this didn't affect the 
quality of our stay. Would've been nice if there was a fridge in the room 
but again, this didn't affect our stay and we had a great time. Beds were 
comfy and there was little noise considering that we were located in the 
city of london and were able to sleep well.Read moreReview collected in 
partnership with TravelodgeDate of stay: July 20191 Helpful voteHelpfulShare</t>
  </si>
  <si>
    <t>https://www.tripadvisor.co.uk/Hotel_Review-g186338-d193057-Reviews-or540-Travelodge_London_Covent_Garden-London_England.html#REVIEWS</t>
  </si>
  <si>
    <t>Lolpet610 wrote a review Oct 2019Cowdenbeath, United Kingdom61 
contributions20 helpful votes</t>
  </si>
  <si>
    <t>Claudie L wrote a review Jul 2019Mougins, France8 contributions3 helpful 
votes</t>
  </si>
  <si>
    <t>Better than expected!Having read several bad reviews of this hotel on Tripadvisor after booking, 
I was slightly apprehensive about our stay. When we arrived late at night 
we checked into Drury Lane and were allocated rooms in High Holborn road, 
where we saw the tape on the lifts mentioned in other reviews. We also saw 
the corridor carpet was in need of repair so were pleasantly surprised to 
find that the room was pretty decent. Maybe we were lucky? Beds were comfy, 
room was clean and warm - perfect when we were only going to be there to 
sleep. There was only one hand towel and no bathmat - but we had an extra 
bath towel so used that instead. I’m sure if we had asked for room to be 
cleaned this would have been remedied. Hotel is perfectly situated for 
shopping and theatres. Bit noisy outside, but…Read moreReview collected in 
partnership with TravelodgeDate of stay: October 2019HelpfulShare</t>
  </si>
  <si>
    <t>Good place for holidays in LondonLarge, clean and confortable family room, friendly staff, a very good 
location with 3 metro stations just nearby. Breakfast buffet with good 
choice, and a restaurant open all night if you want a quick meal after a 
long day walking throw the town.Read moreReview collected in partnership 
with TravelodgeDate of stay: July 2019HelpfulShare</t>
  </si>
  <si>
    <t>mommytina wrote a review Oct 2019warwickshire england59 contributions39 
helpful votes</t>
  </si>
  <si>
    <t>https://www.tripadvisor.co.uk/Hotel_Review-g186338-d13569031-Reviews-or450-Travelodge_London_City_hotel-London_England.html#REVIEWS</t>
  </si>
  <si>
    <t>Just wanted a bed for the nightHotel was very near the theatre so suited us. The hotel was clean 
comfortable and very quiet will definitely use again. Lots of places to eat 
nearby. Drury Lane has such fascinating history.so if you are looking for a 
bed for the night after a meeting or a show this is the place to stay.Read 
moreReview collected in partnership with TravelodgeDate of stay: October 
2019HelpfulShare</t>
  </si>
  <si>
    <t>Bugner D wrote a review Oct 2019Tadcaster, United Kingdom205 
contributions110 helpful votes</t>
  </si>
  <si>
    <t>ray-bex wrote a review Jul 2019Devon, United Kingdom18 contributions7 
helpful votes</t>
  </si>
  <si>
    <t>AverageSpent one night here whilst on business. Given a ground floor accessible 
room, apparently a mix up by my end with reservation. Reception refused to 
change the room. Found bed very small. Wet shower room damp and smelly. 
Room very noisy. Breakfast distinctly average. All in all, nothing great, 
nothing terrible. Just average.Read moreDate of stay: October 
2019HelpfulShare</t>
  </si>
  <si>
    <t>Great!Stayed here with my 11 year old son when we came to London for the weekend. 
Great location with easy access to the tube at Aldgate and Aldgate East and 
only a few minutes walk from the Sky Garden. The hotel is clean and 
comfortable, the air con in the room is great, and all the staff we 
encountered were welcoming and attentive. Special thanks goes to Alan at 
the bar who hunted high and low for a wine glass! �� What a star!Read 
moreDate of stay: July 2019HelpfulShare</t>
  </si>
  <si>
    <t>mbroughton007 wrote a review Oct 2019Newcastle upon Tyne, United Kingdom6 
contributions3 helpful votes</t>
  </si>
  <si>
    <t>merav250 wrote a review Jul 2019Modiin, Israel287 contributions36 helpful 
votes</t>
  </si>
  <si>
    <t>Well situatedSpent 2 nights here. The hotel is basic but very well situated in London. 
No need to taxi from the hotel. Most places of interest are within walking 
distance. The hotel was clean and cheap for the centre of London. You get 
what you pay for. Don’t expect the Ritz. Staff are friendly and helpful. 
What more do you need.Read moreDate of stay: October 2019HelpfulShare</t>
  </si>
  <si>
    <t>Nice but basic hotelThe location is fabulous! In the city, was very close to the office. Room 
was a bit small, bed a bit short and not very comfy. English breakfast was 
served as part of room rate. For a gluten free and dietary person it was 
difficult to find something to eat. Room price was logical in terms of 
London rates, and it had AC which was extremely necessary.Read moreDate of 
stay: July 2019HelpfulShare</t>
  </si>
  <si>
    <t>Linda W wrote a review Oct 2019Dundee, United Kingdom1 contribution</t>
  </si>
  <si>
    <t>Amelia wrote a review Jul 2019Southampton, United Kingdom5 contributions1 
helpful vote</t>
  </si>
  <si>
    <t>Covent Garden LondonGreat hotel in covent garden, centrally located within easy reach of main 
attractions, spacious clean rooms, comfortable beds, well stocked 
breakfast, very helpful staff, would highly recommend, would definitely 
book again.Read moreReview collected in partnership with TravelodgeDate of 
stay: October 2019HelpfulShare</t>
  </si>
  <si>
    <t>https://www.tripadvisor.co.uk/Hotel_Review-g186338-d193057-Reviews-or545-Travelodge_London_Covent_Garden-London_England.html#REVIEWS</t>
  </si>
  <si>
    <t>Wonderful StayMe and the family took a trip to London and this was the perfect place to 
stay for us. Room was clean and staff very kind and helpful. Price was 
cheap and cheerful, would recommend for anyone looking to stayRead moreDate 
of stay: May 2019HelpfulShare</t>
  </si>
  <si>
    <t>458viola wrote a review Jul 20191 contribution</t>
  </si>
  <si>
    <t>Good place to stay near Liverpool Street StationQuiet room, perhaps not as big as I expectet for "Super Room" but therefore 
quet. Good location. Staff was very helpful and the breakfast organisation 
was super. It tasted well and the staff really looked after all the tables 
and the food supply.Read moreReview collected in partnership with 
TravelodgeDate of stay: July 2019HelpfulShare</t>
  </si>
  <si>
    <t>katie s wrote a review Oct 2019Chiang Mai, Thailand50 contributions26 
helpful votes</t>
  </si>
  <si>
    <t>https://www.tripadvisor.co.uk/Hotel_Review-g186338-d13569031-Reviews-or455-Travelodge_London_City_hotel-London_England.html#REVIEWS</t>
  </si>
  <si>
    <t>Only good thing is locationOver priced though central but still so expensive for basic room, bed and 
shower. Staff young and untrained mostly, couldn’t tell me where to find a 
newsagents open in eve that was near. Basement room no window felt like a 
cell. Never again.Read moreDate of stay: October 2019HelpfulShareResponse 
from TravelodgeUK, Shaf from the Social Media Team. at Travelodge London 
Covent GardenResponded 17 Oct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</si>
  <si>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Pamela F wrote a review Oct 2019London, United Kingdom9 contributions1 
helpful vote</t>
  </si>
  <si>
    <t>Sarah L wrote a review Jul 2019Bournemouth, United Kingdom4 contributions5 
helpful votes</t>
  </si>
  <si>
    <t>The worst hotelEvery so often our corporate travel booking system books me in here. It's 
always poor, no hairdryer, ironing board but no iron, iron but no ironing 
board, meal allowance but stopped serving food at 8:30pm. I will do 
anything to avoid staying here but sometimes the bookings gods work against 
me and I wind up here anyway. Tonight I experienced a whole new level of 
poor service. Check in at midnight after a long day, guy gives me a key 
card and says second floor, and points me towards the lift to the tower. I 
head up, my room isn't to be found, come back down ask on reception... Yes 
it's outside turn left to the end of the road cross over and it's in the 
other building! Ridiculous. In years of travelling I've never had to go to 
another hotel to find my room. Avoid at all costs.…Read moreDate of stay: 
October 2019HelpfulShareResponse from TravelodgeUK, Shaf from the Social 
Media Team. at Travelodge London Covent GardenResponded 16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</si>
  <si>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Fantastic staff and lovely public areasThe room was very sparsely furnished and dark but had air con/heater which 
worked and was very easy to control. In the shower there was no shelf for 
shampoo/conditioner etc which meant they had to go on the floor. One hand 
towel between 2 people. No shelving/drawers for small items such as 
T-shirt’s etc and the iron is useless. For short stay not a problem but if 
you want to unpack for longer stays it all matters. The room was quiet with 
comfortable beds and pillows; staff were the kindest, friendliest and most 
efficient team that I’ve encountered even better than 4* hotels; food was 
fresh, cooked well and good choice; public areas bright and clean with 
lovely atmosphere. I would go back just because of the staff and food.Read 
moreReview collected in partnership with TravelodgeDate of stay: July 
2019HelpfulShare</t>
  </si>
  <si>
    <t>john m wrote a review Jul 20191 contribution</t>
  </si>
  <si>
    <t>John MorrisThe room was comfortable and clean. The hotel was situated in an excellent 
location very close to Gatwick North terminal. Only downside was some noise 
caused by renovation work that was being undertaken throughout the day.Read 
moreReview collected in partnership with TravelodgeDate of stay: July 
2019HelpfulShare</t>
  </si>
  <si>
    <t>billhudson1970 wrote a review Jul 2019London, United Kingdom1 contribution</t>
  </si>
  <si>
    <t>Birthday show nightCame up to London to see a show stayed at this particular travel lodge 
great staff very helpful. Nice clean and tidy room would definitely return 
and recommend Breakfast hall also very well equipped Well stockedRead 
moreReview collected in partnership with this hotelDate of stay: July 
2019HelpfulShare</t>
  </si>
  <si>
    <t>https://www.tripadvisor.co.uk/Hotel_Review-g186338-d193057-Reviews-or550-Travelodge_London_Covent_Garden-London_England.html#REVIEWS</t>
  </si>
  <si>
    <t>A1Tage wrote a review Jul 2019Biddulph, United Kingdom139 contributions40 
helpful votes</t>
  </si>
  <si>
    <t>willr00m wrote a review Oct 2019Burnley, United Kingdom2 contributions</t>
  </si>
  <si>
    <t>Great budget hotelCould not fault it at all. Nice room, clean with everything you need. The 
staff are friendly and helpful. Food and drinks are reasonably priced. 
Convenient for all attractions as the tube station is nearby or the bus 
service which is very good from close by, especially the No 15 bus.Read 
moreDate of stay: July 2019HelpfulShare</t>
  </si>
  <si>
    <t>Disappointing SuperroomThe super room is slightly more expensive however all you really end up 
with is a coffee machine, it's not really worth it. The room is nice and 
clean however there is no bath - therefore request a room with a bath, 
walking round London is quite strenuous and many people like a bath after a 
long walk.Read moreReview collected in partnership with TravelodgeDate of 
stay: October 2019HelpfulShare</t>
  </si>
  <si>
    <t>https://www.tripadvisor.co.uk/Hotel_Review-g186338-d13569031-Reviews-or460-Travelodge_London_City_hotel-London_England.html#REVIEWS</t>
  </si>
  <si>
    <t>Louise H wrote a review Jul 201914 contributions4 helpful votes</t>
  </si>
  <si>
    <t>Catherine O wrote a review Oct 20193 contributions2 helpful votes</t>
  </si>
  <si>
    <t>Great budget hotelWe stayed here for six nights and was very happy with our stay! Bare in 
mind that this is a budget hotel tho. I will list some of the postitives 
and negatives. However this hotel gets five stars, because its great value 
for that very nice price. + Nice bed, sheets, covers, pillows The bar, 
bartenders The staff in reception Possibility for early check in and late 
check out Usb by bedside AC that was working very good (nice in the very 
hot weather) Great location, nere to buses and subway and most attractions. 
- No toiletbrush by the toilet so you could clean after yourself No 
changing of sheets when cleaning the room (we only asked for the room to be 
cleaned once tho) The food came within like two minutes leading us to think 
it was not cooked on order. The best thing to order…Read moreDate of stay: 
July 2019HelpfulShare</t>
  </si>
  <si>
    <t>RH2 wrote a review Jul 20195 contributions</t>
  </si>
  <si>
    <t>Terrible Service, No understanding of allergies and cold dried up food ...As our recent stay at this hotel, we decided, as it was raining, to eat at 
the hotel, rather than going out to eat. This was a HUGE mistake! The menu 
stated that they had Gluten Free options, but when my daughter, who is 
severely allergic to Gluten, asked about these, the waitress said she 
didn't know what Gluten was (she thought it was something to do with meat 
or milk!!). We asked her to ask the kitchen, but were told that they were 
too busy .... When our food finally arrived, after a long wait, our 
starters arrived with our mains .. the waitress got annoyed when we told 
her we didn't want our main courses yet, as she said that they would have 
to remake them all ... as if this was our fault!! They clearly didn't 
however, as the food returned later, cold and dry .. with a rock…Read 
moreDate of stay: October 2019HelpfulShareResponse from TravelodgeUK, Zack 
from The Social Media Team at Travelodge London Covent GardenResponded 15 
Oct 2019We would like to thank you for the time you have taken to write 
this review. Please accept our sincerest apologies for the service you have 
received in the bar cafe, where you felt the hotel did not deliver 
consistent customer care due to staffing levels. We would be more than 
happy to receive further feedback from you via the contact us form on our 
website as this will enable us to bring your experience to the hotel 
manager's attention. We look forward to hearing from you and improving the 
service we offer. Thank you for your feedback.Read more</t>
  </si>
  <si>
    <t>Sam D wrote a review Oct 20191 contribution</t>
  </si>
  <si>
    <t>Mrs Rachel HostetlerAmerican, first time traveler to London. If you are looking for an 
affordable, clean, great location hotel, THIS is where you need to stay. 
Stop your search now. Located steps from both Aldgate and Aldgate East tube 
stops (both on different lines) makes it VERY easy to get around the city 
to tour. Staff is excellent and helpful. We had many questions and they 
answered them all with a smile. Our room was clean and the perfect size. 
Bed was comfortable. We went with the standard double flexible rate with 
breakfast. Breakfast was excellent every day. Loads to choose from, we 
didn’t get sick of it after a weeks stay. We had dinner in the hotel one 
night after an exhausting day of touring and it was good. A bit pricy for 
pub style food, but good. This hotel is only a year old so…Read moreDate of 
stay: July 2019HelpfulShare</t>
  </si>
  <si>
    <t>Good stay and good locationGreat room and location. A couple of downsides but nothing too drastic air 
con had been left on and room was freezing it took a while to warm up. Lift 
refurbishment going on too which is a bit of pain as wait for lifts can be 
a while I was on the 6th floor so stairs not an option but I'm sure once 
its been finished it will be worth it.Read moreReview collected in 
partnership with TravelodgeDate of stay: October 2019HelpfulShare</t>
  </si>
  <si>
    <t>Hailey K wrote a review Jul 201910 contributions2 helpful votes</t>
  </si>
  <si>
    <t>Great Location and PriceThis Hotel is in a great location for underground. Room was clean. Friendly 
and helpful front of house. Internet access was down one day but fine the 
other days. This was my second stay and would book again.Read moreReview 
collected in partnership with this hotelDate of stay: July 2019HelpfulShare</t>
  </si>
  <si>
    <t>jeetadhikari31 wrote a review Jul 20191 contribution</t>
  </si>
  <si>
    <t>https://www.tripadvisor.co.uk/Hotel_Review-g186338-d193057-Reviews-or555-Travelodge_London_Covent_Garden-London_England.html#REVIEWS</t>
  </si>
  <si>
    <t>jdavid wrote a review Oct 2019Brussels, Belgium12 contributions4 helpful 
votes</t>
  </si>
  <si>
    <t>Not happy with the cleaning of the roomI was not happy with the room service I received from the Hotel. I was 
staying for 4 nights but I did not get any room service even my bedsheet 
also not being changed for 3 days. It would have been better if you provide 
free wifi to your customer.Read moreReview collected in partnership with 
TravelodgeDate of stay: July 2019HelpfulShareResponse from TravelodgeUK, 
Ben from the Social Media Team at Travelodge London City hotelResponded 24 
Jul 2019Thank you for taking the time to write a review about your stay at 
our London City hotel. We are sorry to learn of your disappointment with 
the room cleaning during your stay and the charge for WiFi. We do not 
include WiFi in our room rates unlike some of our competitors as we believe 
this allows our guests to pay for the services they need so we can continue 
to offer good room rates. We appreciate the detailed comments in your 
review as they give us a complete understanding of your journey. We do aim 
to provide all of our guests a pleasant and comfortable stay and hope to 
have the opportunity in the future to welcome you again in one of our 
Hotels across the UK to restore your view of Travelodge.Read more</t>
  </si>
  <si>
    <t>Best money spent.London is expensive and finding hotels is difficult so if you want near 
center and good price this is a nice choice and rooms are clean. In london 
we want to be out to Museums and interesting visits so for using as your 
sleeping place and showing PERFECT!!!!Read moreDate of stay: October 
2019HelpfulShare</t>
  </si>
  <si>
    <t>Sarah G wrote a review Oct 2019Woodford Halse, United Kingdom86 
contributions25 helpful votes</t>
  </si>
  <si>
    <t>https://www.tripadvisor.co.uk/Hotel_Review-g186338-d13569031-Reviews-or465-Travelodge_London_City_hotel-London_England.html#REVIEWS</t>
  </si>
  <si>
    <t>Al_Se_Fe wrote a review Jul 2019Rome, Italy5 contributions3 helpful votes</t>
  </si>
  <si>
    <t>Very handy central location BUT pay for the best room you can affordTravelling with colleagues we booked different rooms. I had a super-room on 
the 7th floor which was lovely: coffee machine, hair dryer, complimentary 
chocolate etc. More importantly it had double glazing and despite being in 
the heart of London it was very quiet. My colleagues had booked more basic 
rooms: they were right on the floor above the street in the older building, 
with Ill-fitting windows which afforded no respite from the street noise 
and traffic. Guess who slept better? This is a fab location for doing 
everything in central London: but go the extra pounds to get a decent room. 
Clean, comfy, quiet and convenient. Bag store and mod cons included. 
Breakfast distinctly average: so many cafés in Covent Garden to choose from 
I would skip the bland choice on offer in…Read moreDate of stay: October 
2019HelpfulShare</t>
  </si>
  <si>
    <t>Good value for moneyGreat Location (3 minutes from Aldgate Tube Station), good value for money. 
Room was clean and spacious. Breakfast ok, nothing extraordinary, but with 
warm and cold dishes. Hotel staff was great during check-in.Read moreReview 
collected in partnership with TravelodgeDate of stay: July 2019HelpfulShare</t>
  </si>
  <si>
    <t>suzannemorrison wrote a review Oct 2019Portsmouth, United Kingdom7 
contributions1 helpful vote</t>
  </si>
  <si>
    <t>Brent K wrote a review Jul 201916 contributions4 helpful votes</t>
  </si>
  <si>
    <t>Friendly helpful reception staffWe were upgraded to a superior room, with the extras included. Very good 
nights sleep. Great bed and shower after arriving late from watching a show 
in Piccadilly Circus. Would definitely recommend for the west end area.Read 
moreReview collected in partnership with TravelodgeDate of stay: October 
2019HelpfulShare</t>
  </si>
  <si>
    <t>Basic but very clean and comfortableGreat hotel offered at non-London prices. A definite positive. Bed was very 
comfortable, clean room and bathroom and staff were very friendly. If you 
want full on luxury then this isn't for you. If you want a very decent 
night's sleep the this hotel is perfect.Read moreReview collected in 
partnership with TravelodgeDate of stay: July 2019HelpfulShare</t>
  </si>
  <si>
    <t>Wanderer813879 wrote a review Jul 20192 contributions</t>
  </si>
  <si>
    <t>Maz1959 wrote a review Oct 2019Glasgow, United Kingdom3 contributions</t>
  </si>
  <si>
    <t>Clean, central and air conditionedI came on a business trip. The room was very clean and practical, tea and 
coffee in the room with a proper mug. Excellent temperature control system 
and quiet room with a generously sized working desk and lamp. If you're 
looking for a reasonably priced, central base then I would recommend this 
hotel. Staff were also friendly and professional.Read moreDate of stay: 
July 2019HelpfulShare</t>
  </si>
  <si>
    <t>Excellent location in WestendExcellent value for money and great central location for westend shows. 
Bedroom was clean. I found the bed a bit hard but it was fine for one 
night. Breakfast was unlimited which was great!! Will definitely be 
back.Read moreReview collected in partnership with TravelodgeDate of stay: 
October 2019HelpfulShare</t>
  </si>
  <si>
    <t>Valerie W wrote a review Jul 2019Hertfordshire, United Kingdom13 
contributions16 helpful votes</t>
  </si>
  <si>
    <t>https://www.tripadvisor.co.uk/Hotel_Review-g186338-d1812157-Reviews-or90</t>
  </si>
  <si>
    <t>Location spot onStayed here for one night. Location for us was excellent. Check in good, 
room clean . Tea and coffee facilities. The only issue for me was the size 
of the bed, double. We asked for a room with king size and were told all 
the beds are the same. Staff were very friendly.Read moreReview collected 
in partnership with this hotelDate of stay: July 2019HelpfulShare</t>
  </si>
  <si>
    <t>https://www.tripadvisor.co.uk/Hotel_Review-g186338-d193057-Reviews-or560-Travelodge_London_Covent_Garden-London_England.html#REVIEWS</t>
  </si>
  <si>
    <t>AntandNeil wrote a review Oct 2019Sheffield165 contributions57 helpful votes</t>
  </si>
  <si>
    <t>https://www.tripadvisor.co.uk/Hotel_Review-g186338-d13569031-Reviews-or470-Travelodge_London_City_hotel-London_England.html#REVIEWS</t>
  </si>
  <si>
    <t>kare_sorensen wrote a review Jul 2019Kristiansand, Norway2 contributions</t>
  </si>
  <si>
    <t>Typical Travelodge No Frills ExperienceWhat can you say - it's the typical Travelodge No Frills experience. 
Location is the main advantage of this hotel, smack in the heart of the 
West End and convenient for the theatre, restaurants and shops. It's 
reasonably clean though the windows look like they could do with a wash. 
There was a noisy air conditioning unit in my room (270) which the 
receptionist was reluctant to move me out of. I had to turn off the unit to 
make the noise stop. Breakfast is ok. I'd say cheap and cheerful but on 
reflection it's not all that cheap. A no frills experience but I wasn't 
expecting much else.Read moreDate of stay: October 2019HelpfulShareResponse 
from TravelodgeUK, James from the Social Meida Team at Travelodge London 
Covent GardenResponded 13 Oct 2019Thank you for reviewing our Travelodge 
London Covent Garden Hotel. We're happy to hear you were pleased with the 
location of the hotel during this stay with us as well as with it's 
cleanliness but we're very sorry to hear of the internal noise experienced. 
Please rest assured the hotel managers check Tripadvisor reviews of their 
hotels so your comments will be reviewed by the hotel's team. Thank you 
again for leaving this review and we do hope that you choose to stay with 
us again in the future.Read more</t>
  </si>
  <si>
    <t>Good value for moneyWe stayed for 3 nights with 2 adults and 2 children. Really nice new hotel. 
Situated in short distances from the tube with easy access to all of 
London’s attractions Rooms are clean and staff are friendly. Good value for 
moneyRead moreReview collected in partnership with TravelodgeDate of stay: 
July 2019HelpfulShare</t>
  </si>
  <si>
    <t>NotaSucker wrote a review Jul 2019Chicago, Illinois88 contributions50 
helpful votes</t>
  </si>
  <si>
    <t>Basic, very clean and comfortableThe room size was adequate. It was very new and clean, and the plumbing was 
excellent. There aren't many amenities, e.g., there is no safe in the room. 
There are stations along five tube lines within walking distanceRead 
moreDate of stay: July 2019HelpfulShare</t>
  </si>
  <si>
    <t>Fudgefur007 wrote a review Jul 2019Manchester, United Kingdom7 
contributions2 helpful votes</t>
  </si>
  <si>
    <t>hiralshah2019 wrote a review Oct 20191 contribution</t>
  </si>
  <si>
    <t>You get what you pay for - but it's clean with very comfortable bedsWe were looking for an economical place to stay for some culture-vulturing 
(2 Proms and the Old Vic). Not the most convenient place for that, but 
Londoners have life so easy with their subsidised public transport that it 
was not an issue. The staff were universally lovely and helpful 
(receptionists in particular very smiley, advised us to hang on for a while 
to avoid the £10 check in fee etc) and for feeding, the hotel is within 
easy strolling distance of Brick Lane. Travelodge beds are good and the 
room had very effective aircon: a great boon on nasty warm and humid London 
days. Obviously, there is no getting round the fact that Travelodges are 
basic, and the breakfast, though not expensive, is (apparently) made from 
very basic ingredients - but we would stay there again.. PS I…Read 
moreReview collected in partnership with TravelodgeDate of stay: July 
2019HelpfulShare</t>
  </si>
  <si>
    <t>Great room and in a great location!The rooms are great and spacious in this hotel. They also have a bag drop 
off service which is very handy. I used this service to drop off my bags 
before going to a nearby theatre. The location is walking distance to most 
attractions which is great!Read moreDate of stay: October 2019HelpfulShare</t>
  </si>
  <si>
    <t>annc wrote a review Jul 2019Earl Shilton, United Kingdom5 contributions1 
helpful vote</t>
  </si>
  <si>
    <t>https://www.tripadvisor.co.uk/Hotel_Review-g186338-d193057-Reviews-or565-Travelodge_London_Covent_Garden-London_England.html#REVIEWS</t>
  </si>
  <si>
    <t>Travelodge London City Middlesex StreetA conveniently located Travelodge in the City. Made Underground travel 
easy, except on departure when Aldgate Station was closed due to track 
repairs but Aldgate East at the other end of the street was so travel still 
easy. Travelodge was in good repair only having been open for 12 months. It 
was clean &amp; staff pleasant when spoken to. Has Cafe/Bar which was welcome 
to us weary travellers! Some reasonable offers! Able to walk to St 
Paul’s.Read moreReview collected in partnership with TravelodgeDate of 
stay: July 2019HelpfulShare</t>
  </si>
  <si>
    <t>Arthur G wrote a review Oct 20191 contribution</t>
  </si>
  <si>
    <t>https://www.tripadvisor.co.uk/Hotel_Review-g186338-d13569031-Reviews-or475-Travelodge_London_City_hotel-London_England.html#REVIEWS</t>
  </si>
  <si>
    <t>Travelodge staymy Grandson who had also stopped at a London travel lodge summed it up as 
good student accommodation, clean and tidy room but the noise insulation 
between rooms was not great. The Breakfast was very good quality with 
attentive service and good value for moneyRead moreReview collected in 
partnership with TravelodgeDate of stay: October 2019HelpfulShare</t>
  </si>
  <si>
    <t>gibbsyncfc wrote a review Jul 20191 contribution</t>
  </si>
  <si>
    <t>702amelia52 wrote a review Oct 2019Saxmundham, United Kingdom8 
contributions3 helpful votes</t>
  </si>
  <si>
    <t>Great HotelClose to Liverpool Street, Friendly Staff, Early Check in available for £10 
to save lugging your suitcases around London, quiet Location for London, 24 
hour Bar, Clean and modern rooms! Would happily stay here again!Read 
moreReview collected in partnership with TravelodgeDate of stay: July 
2019HelpfulShare</t>
  </si>
  <si>
    <t>Stephanie wrote a review Jul 20191 contribution</t>
  </si>
  <si>
    <t>GrimWe booked a twin room for a theatre visit - the location is by far the best 
thing about this hotel. Where to start ? - the stained,worn carpet ? the 
old, peeling lino in the bathroom? the incredibly narrow twin beds ? The 
flannelette sheets (or where they just bobbled from over use?), the filthy 
window (on the outside)?, the strangely placed full length mirror opposite 
the loo ? the inadequate double glazing ? the curtain falling off it's rail 
? The youth hostel inspired "decor" ? Next time I can't get a central 
London hotel location, I'll get the tube in instead. Makes Premier Inn look 
like the Ritz....Read moreDate of stay: October 2019HelpfulShareResponse 
from TravelodgeUK, Zack from The Social Media Team at Travelodge London 
Covent GardenResponded 10 Oct 2019Thank you for taking the time to share 
your experience with regards to your stay at our London Covent Garden 
Travelodge. We are pleased to learn you were happy with the Hotels 
location, however we would like to sincerely apologise for the issues that 
impacted your stay. If you wish to contact us directly so that we can 
discuss your experience further, please be aware that you can always 
contact our Customer Services team via our website. All customer feedback 
is valuable to us, so thank you again for your comments.Read more</t>
  </si>
  <si>
    <t>Thanks alan!So, I stayed here for 1 night, its a lovely hotel with lovely staff! Big 
thank you to Alan for the cappuccino and breakfast you made my day! The 
bathroom definitely needs some sort of bath matt, I had to use the towels 
and almost broke my neckRead moreDate of stay: July 2019HelpfulShare</t>
  </si>
  <si>
    <t>Val J wrote a review Oct 20195 contributions1 helpful vote</t>
  </si>
  <si>
    <t>luisrezende2017 wrote a review Jul 2019Brasilia, Brazil6 contributions</t>
  </si>
  <si>
    <t>Awesome room and locationThe hotel was perfect for us. Nice room, great and an excellent location. 
We were lucky to have this very nice cleaning lady who helped us a lot. 
Thank you so much, Mrs. Lacramioara. The room had so much space and it was 
comfortable and much clean.Read moreDate of stay: July 2019HelpfulShare</t>
  </si>
  <si>
    <t>Daniel19670305 wrote a review Jul 2019Oslo, Norway11 contributions3 helpful 
votes</t>
  </si>
  <si>
    <t>Scruffy and worn outRoom very bare- no bedside table for phone etc or charging point. Only 1 
towel per person, bath very slippery, worn and grubby. Nowhere to hang 
towels. Despite turning off aircon a vent high in the wall pumped out cold 
air continuously. Moved bed but could not escape the draught. China mug 
leaked everywhere. Daughter’s room in basement smelled awful so they had 
move to other site. We left after one night. Thankfully found beautiful 
boutique rooms in nearby pub costing just a few pounds more.Read moreDate 
of stay: September 2019HelpfulShareResponse from TravelodgeUK, Zack from 
The Social Media Team at Travelodge London Covent GardenResponded 10 Oct 
2019Thank you for taking the time to review our hotel. We are really sorry 
to hear that you encountered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</si>
  <si>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Excellent location and excellent value for moneyIf you are visiting London this is an excellent place to stay. Excellent 
location, service, surroundings and good value for money. Several tube 
stations and bus services nearby. Excellent breakfast facilities, nice, 
clean rooms. This is our new “base” when visiting LondonRead moreReview 
collected in partnership with TravelodgeDate of stay: July 2019HelpfulShare</t>
  </si>
  <si>
    <t>Di JP wrote a review Oct 20193 contributions2 helpful votes</t>
  </si>
  <si>
    <t>Kjetil_Almvik wrote a review Jul 2019Ski, Norway47 contributions4 helpful 
votes</t>
  </si>
  <si>
    <t>Great staff &amp; brilliant price for where it isHad to stay for work - booked into a super room (which meant air 
conditioning, kit Kat (!) &amp; coffee machine). Bed comfy, staff were great &amp; 
the food (£12 for 2 courses) good value &amp; huge portions. Great location &amp; 
happy hour 4-6pm through the week ��Read moreDate of stay: October 
2019HelpfulShare</t>
  </si>
  <si>
    <t>Nice hotel with good serviceThe hotel is in an good location, near tube station and near a lot of good 
restaurants. It is clean and everything work as it should. The only thing 
that i felt should imporove is the breakfast. It is simple. The quality is 
ok, but it is the same small selection every day. Improve this and this 
hotel will get a 5 star from me.Read moreReview collected in partnership 
with TravelodgeDate of stay: July 2019HelpfulShare</t>
  </si>
  <si>
    <t>dawn h wrote a review Oct 2019United Kingdom65 contributions29 helpful votes</t>
  </si>
  <si>
    <t>https://www.tripadvisor.co.uk/Hotel_Review-g186338-d13569031-Reviews-or480-Travelodge_London_City_hotel-London_England.html#REVIEWS</t>
  </si>
  <si>
    <t>Theatre tripStayed for wkend as going to theatre in Covent Garden Ideal location. Close 
to theatre and anywhere u wanted to walk to in London Lovely rooms spacious 
and very clean Staff were very pleasant Will definitely stay againRead 
moreDate of stay: June 2019HelpfulShare</t>
  </si>
  <si>
    <t>Ruth B wrote a review Jul 2019Clondalkin, Ireland13 contributions3 helpful 
votes</t>
  </si>
  <si>
    <t>https://www.tripadvisor.co.uk/Hotel_Review-g186338-d193057-Reviews-or570-Travelodge_London_Covent_Garden-London_England.html#REVIEWS</t>
  </si>
  <si>
    <t>Perfect locationStayed 4 nights to see the sights of London. Only 10 minute walk from 
Liverpool Street Station, (We came in on the Stansted Express). 3 minute 
walk from Aldgate Tube Station. Hotel breakfast was adequate, scrambled 
eggs were fab! Huge double bed and 2 single beds in the family room. The 
bathroom was a bit pokey and the sink was nearly on top of the loo but it 
didn’t really matter. No phone in the room. The lack of hanging space was a 
bit of a pain considering there were 4 of us in the room. Teenagers were a 
bit miffed at the lack of free WiFi but it didn’t bother the adults �� The 
staff we encountered throughout the hotel were friendly and helpful. 
Overall it was a great base to explore London and would definitely stay 
again.Read moreDate of stay: July 2019HelpfulShare</t>
  </si>
  <si>
    <t>Cadster78 wrote a review Oct 2019London, United Kingdom98 contributions10 
helpful votes</t>
  </si>
  <si>
    <t>cookiebiscuit_10 wrote a review Jul 2019Cheltenham, United Kingdom500 
contributions98 helpful votes</t>
  </si>
  <si>
    <t>Such good value for moneyWe always pick Travelodge because of the dog. This was no exception. 
Excellent. Clean, comfy huge bed. Breakfast if you wanted (we didn't). Hot 
shower. Excellently placed for where we wanted to go. Near to Brick Lane, 
Whitechapel, the river etc. Can't recommend enough.Read moreDate of stay: 
July 2019HelpfulShare</t>
  </si>
  <si>
    <t>Lovely budget hotelWe stopped here for 2 nights over first weekend in October, booked a super 
room which was ok, USB sockets everywhere, aircon, iron/board, coffee 
machine. The only downside was the shower curtain, it was about 2 inch too 
short for the bottom so when showering, it literally turned into a wet 
room. Will admit the appearance from the outside is not good but once 
inside, very bright and spacious. Staff are very friendly and helpful . 
Secure left luggage place with a sort of security guard. I will say one 
thing, even though the hotel states Covent Garden is the closest tube 
station, we found Holborn to be closer and an easier walk. Def book to come 
back as close to everything and theatre land.Read moreDate of stay: October 
2019HelpfulShare</t>
  </si>
  <si>
    <t>Wes wrote a review Oct 2019Chicago, Illinois2 contributions</t>
  </si>
  <si>
    <t>Paula C wrote a review Jul 2019Liverpool, United Kingdom8 contributions1 
helpful vote</t>
  </si>
  <si>
    <t>Nice hotel at a fair price fantastic barHad a wonderful stay at the travelodge Covent garden located in the heart 
of London short walk to several underground stations and easy walk to 
Piccadilly Circus or other London attractions. The bar is magnificent, 
clean and tidy with a fabulous staff Marlene and eddy. It’s open 24 hours 
so if you come back late there is a place to hang your hat.Read moreDate of 
stay: October 2019HelpfulShare</t>
  </si>
  <si>
    <t>Excellent clean and friendly staff *Lovely hotel the staff were very helpful when I asked about transport and 
they were friendly and professional.The room was clean and a ambient 
temperature. Great location for many attractions. Recommended for families 
the bed was very comfortable.Read moreReview collected in partnership with 
this hotelDate of stay: July 2019HelpfulShare</t>
  </si>
  <si>
    <t>Jim T wrote a review Oct 2019Glasgow, United Kingdom19 contributions13 
helpful votes</t>
  </si>
  <si>
    <t>https://www.tripadvisor.co.uk/Hotel_Review-g186338-d13569031-Reviews-or485-Travelodge_London_City_hotel-London_England.html#REVIEWS</t>
  </si>
  <si>
    <t>very poor state of repairThe hotel is central but in a very poor state of repair, Not very clean and 
rooms a extremely basic. The hotel needs a total refurbishment, lifts held 
together with duck tape, Carpets dirty and in a poor state, bed is not 
great and the pillows are terrible.Read moreDate of stay: October 20191 
Helpful voteHelpfulShareResponse from TravelodgeUK, Zack from The Social 
Media Team at Travelodge London Covent GardenResponded 8 Oct 2019Thank you 
for taking the time to provide your feedback following your recent stay 
with us. We are sorry to learn of your experience regarding the cleanliness 
and condition of the room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</si>
  <si>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lamirla38 wrote a review Jul 2019Mijas, Spain28 contributions8 helpful votes</t>
  </si>
  <si>
    <t>Steve M wrote a review Oct 2019Coventry, United Kingdom3 contributions2 
helpful votes</t>
  </si>
  <si>
    <t>PERFECT !Everything perfect, recommendable. It has a very good location and the 
rooms are comfortable and soundproof. The treatment of the receptionists 
very nice and with attention to children. Another option that is to be 
grateful that you can leave your bags and pick them up later when your stay 
is finished.Read moreReview collected in partnership with TravelodgeDate of 
stay: July 2019HelpfulShare</t>
  </si>
  <si>
    <t>Covent Garden Theatre experienceA very pleasant stay in the perfect location for our theatre trip. The 
staff were very pleasant and always looking to help with a smile on their 
face which was refreshing. Our room was clean and tidy with a comfy bed and 
refreshments provided.Read moreDate of stay: October 2019HelpfulShare</t>
  </si>
  <si>
    <t>Deborah R wrote a review Jul 201924 contributions9 helpful votes</t>
  </si>
  <si>
    <t>https://www.tripadvisor.co.uk/Hotel_Review-g186338-d193057-Reviews-or575-Travelodge_London_Covent_Garden-London_England.html#REVIEWS</t>
  </si>
  <si>
    <t>Excellent locationThis Travelodge was quite new and as such was a very good standard. It was 
conveniently located close to both Aldgate &amp; Aldgate East Underground 
stations. It was also walking distance to good pubs and restaurants. If 
you're there on a Sunday it's only a 15 minute walk to Brick Lane market, 
which has great food and great stalls.Read moreReview collected in 
partnership with TravelodgeDate of stay: July 2019HelpfulShare</t>
  </si>
  <si>
    <t>pam o wrote a review Oct 2019Manchester, United Kingdom2 contributions1 
helpful vote</t>
  </si>
  <si>
    <t>great locationjust stayed here for two nights from the 4th october. We really only used 
the room to sleep in as we were out and about all weekend. Its a great 
location for transports links and sightseeing. The beds were comfy and the 
room was clean.Read moreDate of stay: October 2019HelpfulShare</t>
  </si>
  <si>
    <t>sarahunderwood61 wrote a review Jul 2019Macclesfield, United Kingdom2 
contributions</t>
  </si>
  <si>
    <t>Charlie P wrote a review Oct 2019Wirral, United Kingdom303 contributions38 
helpful votes</t>
  </si>
  <si>
    <t>Excellent TravelodgeWe stayed a couple of nights in a standard double with breakfast . Very 
pleased with the interior, staff and breakfast . We even went back in the 
evening for a drink. A little noisy in the restaurant at breakfast, but 
food and service excellent. Great location as well. Would definitely stay 
againRead moreReview collected in partnership with TravelodgeDate of stay: 
July 2019HelpfulShare</t>
  </si>
  <si>
    <t>Let down by poor MaintenanceGood location. Friendly reception staff, clean hotel. Paid extra for 'super 
rooms' to benefit from air conditioning (not very standard in Travelodges) 
so we wouldn't need to open the window and suffer the street noise, etc. 
(The 'poor' value for money and terrible sleep ratings take into account 
that Travelodge is not an expensive brand, but whatever the cost the 
facilities offered should work properly). Out in town for the evening, so 
very late (and very tired) when we got back to the room to find the A/C was 
very noisy. So we needed to open the window, which let in both street noise 
and light (because the curtains would no longer shut with an open window). 
Sounds like a basic maintenance issue - but it was too late to try and 
report it by the time it was a problem to us, and…Read moreReview collected 
in partnership with TravelodgeDate of stay: October 
2019HelpfulShareResponse from TravelodgeUK, Zack from The Social Media Team 
at Travelodge London Covent GardenResponded 7 Oct 2019Thank you for taking 
the time to share your experience with us. We are happy to learn you were 
pleased with the Hotels location, however we are sorry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</si>
  <si>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https://www.tripadvisor.co.uk/Hotel_Review-g186338-d13569031-Reviews-or490-Travelodge_London_City_hotel-London_England.html#REVIEWS</t>
  </si>
  <si>
    <t>MichelleElow wrote a review Oct 20193 contributions1 helpful vote</t>
  </si>
  <si>
    <t>Beasties4evs wrote a review Jul 2019Glasgow, United Kingdom90 
contributions19 helpful votes</t>
  </si>
  <si>
    <t>Perfect budget hotelThis room (141) was spacious, clean and so quiet that it was hard to get up 
in the mornings. Shower was excellent temperature and pressure. Only 
downside is the automatic bathroom light which you have no control over. It 
goes out when you are in the shower and it’s hard to get it back on without 
worrying you’ll break your neck! An on/off switch would easily resolve 
this. Otherwise, a perfect hotel for our stay exploring London.Read 
moreReview collected in partnership with TravelodgeDate of stay: October 
2019HelpfulShare</t>
  </si>
  <si>
    <t>London City BreakStayed here for the weekend. Typical travelodge style. Good transport 
links. Clean rooms, fresh towels, helpful staff. Had a super room which 
came with an iron and ironing board, decent hair dryer and a coffee machine 
and kit kats in the room �� Would stay again if back in town.Read moreDate 
of stay: July 2019HelpfulShare</t>
  </si>
  <si>
    <t>Relaxtripper wrote a review Jul 2019London, United Kingdom3 contributions</t>
  </si>
  <si>
    <t>Great Little CharmerI had an amazing three night stay in this beautiful, clean hotel. Staff 
were very helpful and friendly. You feel like you're in a quaint 
neighborhood but can easily get to all that London has to offer.The room 
was very comfortable. All in all was a pleasant experience!Read moreDate of 
stay: October 2018HelpfulShare</t>
  </si>
  <si>
    <t>Ben W wrote a review Oct 2019Newbury, United Kingdom1,317 contributions124 
helpful votes</t>
  </si>
  <si>
    <t>Craig W wrote a review Jul 2019Dumfries, United Kingdom2 contributions4 
helpful votes</t>
  </si>
  <si>
    <t>Great location and superior room worth the extraHad a business event in London and this hotel was conveniently located. I 
decided to upgrade to a superior room which cost £174. This is way more 
than I would normally pay for a Travelodge but it was well worth the extra. 
I had a room on the 7th floor facing High Holborn and was really worried 
about it being noisy but the double double glazing (two sets of windows) 
did a brilliant job. Easy, friendly check in and I would definitely stay 
again.Read moreDate of stay: October 2019HelpfulShare</t>
  </si>
  <si>
    <t>Short break in LondonThe hotel is in close proximity to Tower Bridge. It was clean and tge staff 
werevery friendly and happy to help. We could leave our luggage after 
checkout and collect it later in the day. The reception and restaurant 
areas were fresh and bright.Read moreReview collected in partnership with 
this hotelDate of stay: July 2019HelpfulShare</t>
  </si>
  <si>
    <t>Kim B wrote a review Jul 2019Lincoln, United Kingdom7 contributions1 
helpful vote</t>
  </si>
  <si>
    <t>https://www.tripadvisor.co.uk/Hotel_Review-g186338-d193057-Reviews-or580-Travelodge_London_Covent_Garden-London_England.html#REVIEWS</t>
  </si>
  <si>
    <t>Good old TravelodgeGreat location, clean and spacious room, excellent staff and most 
importantly quiet so we had a good nights sleep. Breakfast was good and the 
bar prices were fair, hotel is within two minutes of the tube so ticks all 
the boxesRead moreReview collected in partnership with TravelodgeDate of 
stay: July 2019HelpfulShare</t>
  </si>
  <si>
    <t>344zinm-ABZ wrote a review Jul 2019Aberdeen, United Kingdom3 contributions</t>
  </si>
  <si>
    <t>ocarroll225 wrote a review Oct 20191 contribution</t>
  </si>
  <si>
    <t>Nice new hotelVery good shower facilities with the selectable shower head. Comfortable 
quiet room and hotel location. Choose the Super Room and stay on Sundays to 
get cheap room price. Good location for SW England/France or the North rail 
connections.Read moreReview collected in partnership with this hotelDate of 
stay: July 2019HelpfulShare</t>
  </si>
  <si>
    <t>Excellant location for families, sight seeing and showsSecond time staying at TL Covent Garden. Excellent facilities and location. 
Ideal for families, we walked to most attractions but there are two tube 
stations within 5 minute walk. Breakfast was fresh &amp; tasty &amp; excellent 
value. Rooms were clean &amp; spacious. Staff were friendly and helpful.Read 
moreReview collected in partnership with TravelodgeDate of stay: September 
2019HelpfulShare</t>
  </si>
  <si>
    <t>Tom S wrote a review Oct 20192 contributions</t>
  </si>
  <si>
    <t>https://www.tripadvisor.co.uk/Hotel_Review-g186338-d13569031-Reviews-or495-Travelodge_London_City_hotel-London_England.html#REVIEWS</t>
  </si>
  <si>
    <t>Welcome ReliefHaving to book a hotel room in central London at short notice filled me 
with dread as to cost, locality and facilities. I shouldn't have worried as 
the Travelodge proved Ideal for our purposes (simply a clean, reasonable 
place to crash) and added to our overall enjoyable couple on days in the 
heart of London. I would definitely book again. Tom ScottRead moreReview 
collected in partnership with TravelodgeDate of stay: October 
2019HelpfulShare</t>
  </si>
  <si>
    <t>paulgG7897SP wrote a review Oct 2019Surrey, United Kingdom3 contributions</t>
  </si>
  <si>
    <t>Annemassie wrote a review Jul 201941 contributions7 helpful votes</t>
  </si>
  <si>
    <t>Very good stayHad a great stay at Covent Garden. Nothing was too much trouble for the 
staff, particularly Ana on reception and leandro at dinner service. Hotel 
was lovely and clean, dinner and breakfast were both great, good value and 
amazing to see vegan options on the menu!Read moreReview collected in 
partnership with TravelodgeDate of stay: October 2019HelpfulShare</t>
  </si>
  <si>
    <t>AnnemassieIt was perfect. One of their flagship hotels. The staff were warm, friendly 
and very obliging. Nothing was too much trouble. The room was very 
comfortable. Controlled temperature. Good shower plenty of hot water and 
power. Breakfast was amazing ... my husband thought the scrambled eggs were 
the best he'd ever had. So much choice. Definitely go back and recommend. 
So central for London and all the attractions. I recommend walking but the 
tube was easy enough just remember to go to the right Aldgate station!Read 
moreDate of stay: June 2019HelpfulShare</t>
  </si>
  <si>
    <t>sue w wrote a review Jul 2019Birmingham, United Kingdom2 contributions3 
helpful votes</t>
  </si>
  <si>
    <t>Great hotelGreat location 4minutes from Aldgate underground.Fabulous self service 
breakfast.Comfy rooms .Shower was excellent. Tea &amp; coffee facilities 
provided only negative no hairdryer in room.Helpful reception staff.Read 
moreReview collected in partnership with this hotelDate of stay: July 
2019HelpfulShare</t>
  </si>
  <si>
    <t>SheVick wrote a review Jul 2019Victoria, Canada6 contributions5 helpful 
votes</t>
  </si>
  <si>
    <t>https://www.tripadvisor.co.uk/Hotel_Review-g186338-d193057-Reviews-or585-Travelodge_London_Covent_Garden-London_England.html#REVIEWS</t>
  </si>
  <si>
    <t>Great LocationThis Travelodge Plus, London City Hotel on Middlesex Road was good. The 
hotel was clean with breakfast and restaurant services available. The 
location is very good. Less than 5 minute walk to Aldgate tube station and 
an easy walk to Tower of London. The hotel did not offer any concierge 
services but front desk staff were helpful when asked. Only 30 mins free 
wifi each 24 hours or pay.Read moreDate of stay: June 2019HelpfulShare</t>
  </si>
  <si>
    <t>matildagrace wrote a review Sep 2019Edge, United Kingdom39 contributions8 
helpful votes</t>
  </si>
  <si>
    <t>https://www.tripadvisor.co.uk/Hotel_Review-g186338-d13569031-Reviews-or500-Travelodge_London_City_hotel-London_England.html#REVIEWS</t>
  </si>
  <si>
    <t>Great locationIn the "annex" of Covent Garden travelodge- which was just round the corner 
from where we expected to be. Breakfasts were good, dining room a bit small 
and crowded. Staff were great, room good but bathroom, towels etc very 
tiredRead moreReview collected in partnership with TravelodgeDate of stay: 
September 2019HelpfulShare</t>
  </si>
  <si>
    <t>scott1421 wrote a review Jul 2019Scarborough, United Kingdom292 
contributions106 helpful votes</t>
  </si>
  <si>
    <t>Liz E wrote a review Sep 201927 contributions2 helpful votes</t>
  </si>
  <si>
    <t>Good, but not greatPolite staff with quick check in. Family room was big (119) but the 
bathroom is tiny. Not a great view of a block of residential flats 
opposite! No iron or ironing board, so had to go down to collect them 
myself. Good location for Aldgate tube station. Breakfast was fine.Read 
moreDate of stay: July 2019HelpfulShareResponse from TravelodgeUK, Shaf 
from the Social Media Team. at Travelodge London City hotelResponded 11 Jul 
2019Thank you for reviewing our London City Travelodge. We're pleased to 
hear the hotel team were friendly and sorry to learn of your disappointment 
regarding the bathroom size. Feedback is invaluable and our Hotel Managers 
regularly review their TripAdvisor reviews in order to fix any issues 
raised and pass on feedback to their team. Thank you once again and we do 
hope you will stay with us in the future.Read more</t>
  </si>
  <si>
    <t>Mobile280074 wrote a review Jul 20191 contribution</t>
  </si>
  <si>
    <t>Overpriced, no free wifi, shower flooded bathroom€280 for a Travelodge room is €100 too much, especially as there was no 
free wifi, the shower curtain allowed water to flood the bathroom. 
Everything else was within expectations, bed was comfy, breakfast was good, 
A/C worked fine. Disappointed that only UK power sockets provided, there 
are mutliple country AC sockets available on the market which frankly 
should be installed in a hotel in a cosmpolitan capital.Read moreReview 
collected in partnership with TravelodgeDate of stay: July 
2019HelpfulShareResponse from TravelodgeUK, Shaf from the Social Media 
Team. at Travelodge London City hotelResponded 11 Jul 2019Thank you for 
reviewing our London City Travelodge. We're pleased to hear the beds were 
comfortable and you enjoyed the breakfast. We really are sorry to learn of 
your disappointment regarding issues you experienced with the shower 
curtain and the WiFi charge. Feedback is invaluable and our Hotel Managers 
regularly review their TripAdvisor reviews in order to fix any issues 
raised and pass on feedback to their team. Thank you once again and we do 
hope you will stay with us in the future.Read more</t>
  </si>
  <si>
    <t>Ken F wrote a review Jul 2019Delta, Canada17 contributions13 helpful votes</t>
  </si>
  <si>
    <t>Just a dude. wrote a review Sep 2019Dover, United Kingdom30 contributions7 
helpful votes</t>
  </si>
  <si>
    <t>London City Travelodge Plus StayGenerally a good hotel facility. Neat and clean room. No in-room phone. A 
bit of a distance to get into the London City Centre (Trafalgar Square, 
Covent Gardens. Used Uber for the first time for local transportation. 
Liked the nearby restaurant. Not far to pubs in the area. One simple dinner 
in the hotel restaurant was fine. Stayed a total of four nights. My only 
reservation would be the proximity to the City "hub", but otherwise 
reasonably priced. Stayed as a solo traveler.Read moreReview collected in 
partnership with TravelodgeDate of stay: June 2019HelpfulShare</t>
  </si>
  <si>
    <t>Nice clean roomWe had a nice clean room on the third floor. No troubles and breakfast was 
lovely. Lots of food to choose from and the lady at the breakfast reception 
was full of beans. The breakfast was fully stocked even though we were 
quite late down.Read moreDate of stay: September 2019HelpfulShare</t>
  </si>
  <si>
    <t>355cherylb wrote a review Sep 2019Taunton, United Kingdom13 contributions6 
helpful votes</t>
  </si>
  <si>
    <t>Needed a good bed - centralNever stayed in a Travel Lodge in London before. Suburban one I stayed at 
before was nice and had a nice modern bathroom. I agree with other comments 
that it is looking a bit tired. The bed was very nice which was all I 
really needed this trip but I come to London 4x a year and my usual hotel 
has bad mattresses so I opted for a different hotel this time. I did think 
the bathroom needed up grading. It's very central though and says what it 
does on the tin. Not sure I'd want to stay for any longer than 2 
nights.Read moreDate of stay: September 2019HelpfulShare</t>
  </si>
  <si>
    <t>what_horizon wrote a review Jul 2019London, United Kingdom178 
contributions93 helpful votes</t>
  </si>
  <si>
    <t>https://www.tripadvisor.co.uk/Hotel_Review-g186338-d193057-Reviews-or590-Travelodge_London_Covent_Garden-London_England.html#REVIEWS</t>
  </si>
  <si>
    <t>A comfortable new hotelLocation of this hotel is excellent. 10 minutes walk from Liverpool Street 
Station, and 5 from Aldgate tube, which gives you good access to most of 
London. It is also handy for the Sunday markets. It is a fairly new hotel, 
and has been branded as a Travelodge Plus hotel, though aparr from a new 
colour scheme I cannot fathom out what is different about it. Pleasant 
welcome from the lady on reception who was not phased bt the fact I had an 
early check-in, not always the case at TL. Room was clean and airy, bed was 
comfortable, bathroom and shower spotless. My room was at the back of the 
hotel and was reasonably quiet, however it was overlooked by an office 
block which was busy during the day. The only negative was the attitude of 
one of the female staff in the bar. When I went…Read moreDate of stay: July 
2019HelpfulShare</t>
  </si>
  <si>
    <t>Sharonfnp wrote a review Sep 20192 contributions</t>
  </si>
  <si>
    <t>https://www.tripadvisor.co.uk/Hotel_Review-g186338-d13569031-Reviews-or505-Travelodge_London_City_hotel-London_England.html#REVIEWS</t>
  </si>
  <si>
    <t>MrsWhat a dump! Dirty rooms. No wash cloths, no hair dryer, no soap, no safe, 
no phones in the room. Promised a king size bed. They only have doubles! No 
glasses to drink from. Nothing as advertised on their web sites. All 
excuses at front deskRead moreDate of stay: September 
2019HelpfulShareResponse from TravelodgeUK, Niki from The Social Media Team 
at Travelodge London Covent GardenResponded 30 Sep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</si>
  <si>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Mohamed E wrote a review Jul 2019Egypt58 contributions6 helpful votes</t>
  </si>
  <si>
    <t>Adrian T wrote a review Sep 20191 contribution</t>
  </si>
  <si>
    <t>Very nice HotelThe hotel in excellent condition with very good location. Staff and 
services are really good. Recommended for stay at reasonable prices. Hotel 
seems like new with air conditioning and large rooms.....Read moreReview 
collected in partnership with TravelodgeDate of stay: July 2019HelpfulShare</t>
  </si>
  <si>
    <t>Good hotel for central London.This hotel is ideal for central London, very close to Covent Garden and all 
theatres in the West End. Reception staff are excellent and hotel is pretty 
good value for money. Would recommend for a shirt break if going to see a 
show etc...Read moreReview collected in partnership with TravelodgeDate of 
stay: September 2019HelpfulShare</t>
  </si>
  <si>
    <t>https://www.tripadvisor.co.uk/Hotel_Review-g186338-d1812157-Reviews-or95</t>
  </si>
  <si>
    <t>gmooney2019 wrote a review Jul 20191 contribution</t>
  </si>
  <si>
    <t>Polly D wrote a review Sep 2019Bedford, United Kingdom69 contributions13 
helpful votes</t>
  </si>
  <si>
    <t>Great Location!Travelled to London and stayed in this hotel great location very close to 
tube station. Very clean and rooms have everything you could want. Very 
Handy if you are flying from stansted. Highly recommend !!Read moreReview 
collected in partnership with this hotelDate of stay: July 2019HelpfulShare</t>
  </si>
  <si>
    <t>Adnan B wrote a review Jul 20192 contributions1 helpful vote</t>
  </si>
  <si>
    <t>FrozenI checked in during the evening of 27 September, just to get the key and 
leave my bag. The room was perfectly adequate for my needs, but a little 
chilly. I came back, fairly late and exhausted, undressed and got into bed. 
I was freezing so I got up, checked the ac wasn't on - it wasn't. I also 
checked that the windows were properly closed. There was cold air blasting 
through the vent at the top of the wall. It was a strong enough blast that 
the curtains were flapping. The machinery operating this torture was 
clearly audible. I lay in bed shivering and sleepless until it was time to 
get up. I felt as though I had tried to sleep in the back of a chiller 
truck. I complained at the desk before I went into breakfast. The young 
lady was very kind, helpful and sympathetic. She tried to…Read moreDate of 
stay: September 2019HelpfulShareResponse from TravelodgeUK, Niki from The 
Social Media Team at Travelodge London Covent GardenResponded 30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</si>
  <si>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DisappointedChecked in today, single male has been given a twin disabled room. 
Requested for the room to be changed as clearly i do not have special needs 
and the room is not suitable for me. Being told that they are fully booked 
without checking booking information on the computer.... the manager was 
equally unhelpful as the front desk staff. manager just came and repeated 
the same story of being fully booked without checking any booking 
information ... never staying in Travelodge again...completely spoilt the 
visit/stay.Read moreDate of stay: July 2019HelpfulShareResponse from 
TravelodgeUK, Tilly from The Social Media Team at Travelodge London City 
hotelResponded 19 Jul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</si>
  <si>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Ali S wrote a review Sep 20197 contributions</t>
  </si>
  <si>
    <t>Good place to stay in the heart of londonWe stayed as a big group of girls while on our visit tothe capital. Our 
stay was good.room itself was basic but clean, okay for the price. Will 
def8nitely recommend doe to the proximity to spots of interest.Read 
moreDate of stay: September 2019HelpfulShare</t>
  </si>
  <si>
    <t>https://www.tripadvisor.co.uk/Hotel_Review-g186338-d193057-Reviews-or595-Travelodge_London_Covent_Garden-London_England.html#REVIEWS</t>
  </si>
  <si>
    <t>https://www.tripadvisor.co.uk/Hotel_Review-g186338-d13569031-Reviews-or510-Travelodge_London_City_hotel-London_England.html#REVIEWS</t>
  </si>
  <si>
    <t>ssgllll wrote a review Sep 2019Columbia, Missouri1 contribution</t>
  </si>
  <si>
    <t>Kellyy_cp wrote a review Jul 2019Campinas, SP16 contributions2 helpful votes</t>
  </si>
  <si>
    <t>Clean, quiet and comfortableThis is not the Travelodge I'm used to in the US, it was updated, clean and 
the staff were professional and friendly. I felt safe in the area, even 
when walking late at night. The room was small but had everything you need 
and it was quiet, we heard no street noise. The bed was comfortable and the 
AC worked great. It is within quick walking distance to 2 different 
underground stations making travel around London easy. It is also close to 
many shopping and food locations. I would definitely stay here again.Read 
moreReview collected in partnership with TravelodgeDate of stay: September 
2019HelpfulShare</t>
  </si>
  <si>
    <t>Vrey new hotel. Comfortable. I recommed!!The hotel is very new, shower very good, comfortable bed. Good tea/coffee 
facilities in the room. Very comfortable and pleasant hotel. Two subway 
stations and buses stations nearby. I haven´t tried the breakfast. Wifi is 
charged separatedly.Read moreReview collected in partnership with 
TravelodgeDate of stay: July 2019HelpfulShare</t>
  </si>
  <si>
    <t>Suely56 wrote a review Sep 2019March, United Kingdom1 contribution</t>
  </si>
  <si>
    <t>Julie wrote a review Jul 20193 contributions</t>
  </si>
  <si>
    <t>great trip to LondonGreat place to stay - close to Liverpool street station. Rooms large and 
airy as it has air con and staff are very pleasant. We will stay there 
again. There is sunday market on the road outside which was a surpriseRead 
moreReview collected in partnership with this hotelDate of stay: July 
2019HelpfulShare</t>
  </si>
  <si>
    <t>One night stayReception staff welcoming, room clean and bed clean and comfortable. Air 
conditioning meant room temperature was comfortable. Room was clean. Shower 
was reasonably efficient although easy to get floor very wet due to curtain 
moving out of base whilst showering. Feel like prices should include a 
breakfast ,Read moreReview collected in partnership with TravelodgeDate of 
stay: September 2019HelpfulShare</t>
  </si>
  <si>
    <t>KiwiTraveler23 wrote a review Jul 2019Wellington, New Zealand152 
contributions51 helpful votes</t>
  </si>
  <si>
    <t>Ian H wrote a review Sep 2019Scunthorpe, United Kingdom36 contributions4 
helpful votes</t>
  </si>
  <si>
    <t>New Travelodge Near Tube StationsThis is a new(ish) Travelodge located near the financial part of London, 
and very near the Aldgate and Aldgate East tube stations. It is what you 
would expect from a Travelodge hotel, clean, a bit basic, but perfectly 
adequate. I stayed with nights and was more than happy with my room. It was 
a cosy room and while fine for a couple, it might feel a bit cramped after 
a while. Some points to note: while there is basic coffee/tea making 
facilities, there is no fridge so nowhere to store food. This means you 
pretty much need to eat out. Secondly, there are no laundry facilities so 
you will probably need to use a local laundromat/laundry or dry cleaner. 
There is also no safe deposit facility in the room but that isn’t an issue 
these days with card-only access to rooms. I…Read moreDate of stay: June 
2019HelpfulShare</t>
  </si>
  <si>
    <t>Starting to look very tiredStayed here for 3 nights with work recently. Overall it was pretty 
comfortable but the hotel is starting to look very tired now. It doesn’t 
give you much confidence when the lift panels are held on with tape! I was 
put in the annex to the main hotel which meant I had to cross back for my 
evening meal each night. The room was a little noisy even with the double 
glazed window closed so I suspect it wasn’t sealing correctly. The view 
would have been ok if the windows had actually been cleaned once in their 
lifetime! A handy hotel for the area but it really needs sprucing up. One 
last thing. Considering I was there on business is it really necessary to 
charge extra for WiFi? Come on travelodge. Up your game!Read moreDate of 
stay: September 2019HelpfulShare</t>
  </si>
  <si>
    <t>Karen S wrote a review Jul 2019Glasgow, United Kingdom1 contribution</t>
  </si>
  <si>
    <t>boardinginfive wrote a review Sep 2019Amersham76 contributions59 helpful 
votes</t>
  </si>
  <si>
    <t>Great locationIn the heart of London’s east end, a couple of Underground stops from city 
centre with 2 underground stations on the doorstep of the hotel, great 
place to stay if you fancy a curry at the famous Brick LaneRead moreReview 
collected in partnership with TravelodgeDate of stay: July 2019HelpfulShare</t>
  </si>
  <si>
    <t>Shambles of a stayChecked in amidst lobby refurbishment, having to step over rolls of carpet 
and around carpet-fitters working in front of the lifts. Mid-evening in my 
room another guest lets themselves into my room, the room having been 
double allocated somehow. Then late at night, a lot of insistent knocking 
at the room door and I actually have to get up, leave the room and 
re-register in the corridor. Tried breakfast on the first day, couldn't be 
bothered after that. All self-service, and guests kept having to knock on 
the kitchen door to ask for basics, such as cutlery to be brought out. Made 
the mistake of trying an evening meal there. If you order an appetiser and 
a main course, everything arrives at once, and it's merely a decision on 
which one you're going to let go cold. There was…Read moreDate of stay: 
September 2019HelpfulShareResponse from TravelodgeUK, Ben from the Social 
Media Team at Travelodge London Covent GardenResponded 30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</si>
  <si>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https://www.tripadvisor.co.uk/Hotel_Review-g186338-d13569031-Reviews-or515-Travelodge_London_City_hotel-London_England.html#REVIEWS</t>
  </si>
  <si>
    <t>https://www.tripadvisor.co.uk/Hotel_Review-g186338-d193057-Reviews-or600-Travelodge_London_Covent_Garden-London_England.html#REVIEWS</t>
  </si>
  <si>
    <t>danawebster wrote a review Jul 2019Shrewsbury, United Kingdom1 
contribution1 helpful vote</t>
  </si>
  <si>
    <t>robertbartlett704 wrote a review Sep 20191 contribution</t>
  </si>
  <si>
    <t>Great location.Lovely, modern hotel. Central London easily accessible by tube (5 mins 
walk) or train (10 mins walk). Plenty of shops, bars and restaurants within 
walking distance. Room very modern and very quiet, no road noise at all. 
Luggage storage facility on offer for free which is a godsend when you 
don't want to carry heavy bags around London.Read moreReview collected in 
partnership with this hotelDate of stay: July 2019HelpfulShare</t>
  </si>
  <si>
    <t>Great hotel, shame about central London pricesEfficiency was the keynote of our stay at Covent Garden Travelodge. 
Everything required for a satisfying stay was provided without fuss or 
bother with most of a guest's needs well anticipated. Most appreciated was 
the quiet atmosphere in the restaurant where diners could hear themselves 
talk rather than being subjected to today's constant barrage of sound and 
music.Read moreReview collected in partnership with TravelodgeDate of stay: 
September 2019HelpfulShare</t>
  </si>
  <si>
    <t>Barb369 wrote a review Jul 201979 contributions32 helpful votes</t>
  </si>
  <si>
    <t>Melinda S wrote a review Sep 2019Bundaberg, Australia26 contributions4 
helpful votes</t>
  </si>
  <si>
    <t>My 2nd stay... would stay again.Very good value hotel Clean and modern rooms. Friendly staff on reception. 
Quick and easy check in. We didn’t use The bar area or restaurant as we 
went out ... but it looked busy and seemed very good value from the offers 
on show. We asked staff for more towels and were given them straight away. 
No problems. Aldgate East tube station is about a two-five minute walk away 
from the hotel, depending on what entrance you use... I think there’s at 
least 3 entrances to the station! The only thing that could be improved is 
maybe providing a bath mat or a smaller towel for people to stand on when 
they get out the shower. Also there is no mirror in front of the dressing 
table. Only very small issues and nothing major .... I Would definitely 
stay again if the price stays at a…Read moreDate of stay: July 
2019HelpfulShare</t>
  </si>
  <si>
    <t>Navigate66410066652 wrote a review Jul 20191 contribution</t>
  </si>
  <si>
    <t>Ok for a short visitWe recently stayed for three nights as a family in a family suite. The room 
was clean enough, although the carpets and hallways could do with a good 
clean. The lifts are very dated and clunky. Breakfast was good, and staff 
very friendly.Read moreDate of stay: September 2019HelpfulShareResponse 
from TravelodgeUK, Shaf from the Social Media Team. at Travelodge London 
Covent GardenResponded 26 Sep 2019Thank you for reviewing our London Covent 
Garden Travelodge. We're really pleased to hear the cleanliness were up to 
standards, hotel team were friendly and you enjoyed the breakfast. Feedback 
is invaluable and our Hotel Managers regularly review their TripAdvisor 
reviews in order to fix any issues raised and pass on feedback to their 
team. Thank you once again and we do hope you will stay with us in the 
future.Read more</t>
  </si>
  <si>
    <t>Great valueThis is basic accommodation but it has everything you need, it’s clean, 
fresh, comfortable, welcoming and the staff are very helpful. The room was 
quiet - I didn’t even hear the traffic. As a woman travelling alone I felt 
very safe and comfortable. I’ll use this hotel again.Read moreReview 
collected in partnership with TravelodgeDate of stay: July 2019HelpfulShare</t>
  </si>
  <si>
    <t>FellowTraveler582981 wrote a review Jul 20191 contribution</t>
  </si>
  <si>
    <t>terif20192019 wrote a review Sep 2019Hartlepool, United Kingdom1 
contribution</t>
  </si>
  <si>
    <t>Good hotel no parkingGreat hotel clean and nice staff Only booked this hotel as it states there 
is parking but this parking is over half a mile away and the receptionist 
advised us not to park there as a lot of cars have been broke into so was a 
bit nervous to park but had no other choice plus it’s a fortune £31.50 for 
a nightRead moreReview collected in partnership with TravelodgeDate of 
stay: July 2019HelpfulShare</t>
  </si>
  <si>
    <t>Trip to LondonNice place, lovely staff, needs to be free wifi Need black pudding and 
fried eggs! Beds went the best but lovely clean rooms free tv and fresh 
clean towels every day, great for a family weekend away...Read moreDate of 
stay: September 2019HelpfulShare</t>
  </si>
  <si>
    <t>Extraordinary569970 wrote a review Sep 20191 contribution</t>
  </si>
  <si>
    <t>wonderful stay for a night in LondonHad a lovely stay whilst spending an evening in London. Staff extremely 
helpful with all our requests. Room comfortable and clean. The shower and 
coffee in the super-room were a nice upgrade from the standard Travelodge 
rooms.Read moreDate of stay: September 2019HelpfulShare</t>
  </si>
  <si>
    <t>https://www.tripadvisor.co.uk/Hotel_Review-g186338-d13569031-Reviews-or520-Travelodge_London_City_hotel-London_England.html#REVIEWS</t>
  </si>
  <si>
    <t>https://www.tripadvisor.co.uk/Hotel_Review-g186338-d193057-Reviews-or605-Travelodge_London_Covent_Garden-London_England.html#REVIEWS</t>
  </si>
  <si>
    <t>635bevb wrote a review Jul 2019Grimsby, United Kingdom2 contributions</t>
  </si>
  <si>
    <t>Gordon and Anna M wrote a review Sep 2019Scottsdale, Arizona15 
contributions3 helpful votes</t>
  </si>
  <si>
    <t>Great stayGreat hotel , clean , great shower , comfy bed, good breakfast although no 
porridge , friendly and helpful staff, just round corner from tube. left 
luggage at hotel so we had extra few hours in LondonRead moreReview 
collected in partnership with TravelodgeDate of stay: July 2019HelpfulShare</t>
  </si>
  <si>
    <t>Trek17477449012 wrote a review Jul 20191 contribution</t>
  </si>
  <si>
    <t>Travelodge Covent GardenI booked 7 nights in this hotel for relatives and paid the full amount at 
time of check in. Fortunately I chose the refundable rate as after 2 days 
the guests insisted on checking out and went to another hotel. The room was 
scruffy and not clean, no AC, bathroom awful. Breakfast was not really 
edible. Confusion reigned upon check in when they were told their allocated 
room was at nearly Museum Street Holborn and not Drury Lane so they had to 
trek about 300 yards with luggage. At time of this comment I am still 
waiting on the Visa refund for early departure. Only good point was that 
all hotel staff were polite and helpful.Read moreDate of stay: September 
2019HelpfulShareResponse from TravelodgeUK, Shaf from the Social Media 
Team. at Travelodge London Covent GardenResponded 24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</si>
  <si>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Leisure tripA great place to stay, breakfast was excellent and well worth the money, 
room were spotlessly clean and staff very friendly and helpful! Plus only 2 
mins from the Tube so getting around was London was easy!Read moreReview 
collected in partnership with TravelodgeDate of stay: July 2019HelpfulShare</t>
  </si>
  <si>
    <t>anshitaas wrote a review Sep 20192 contributions1 helpful vote</t>
  </si>
  <si>
    <t>GaryMoody wrote a review Jul 2019Ipswich, United Kingdom75 contributions47 
helpful votes</t>
  </si>
  <si>
    <t>Worst hotel stay experienceI was staying at the hotel with my family for six days and I have to say, 
this has been hands down the the worst hospitality experience of our lives, 
here at Travelodge Covent Garden (Museum Street). The front office staff is 
cold, inattentive and most indifferent to guest concerns. We had articles 
stolen from our room and even when we escalated the matter to the manager, 
there was no resolution on the matter. "I don't disbelieve you, but I can't 
disbelieve our staff. You may please report this to the cops, if you wish." 
Absolutely ridiculous and the manager had zero remorse over the events that 
transpired. Secondly, the hotel has a policy of placing a holder on the 
doorknob outside before 11am if you need your room cleaned. We consistently 
placed the holder outside our…Read moreDate of stay: September 
2019HelpfulShareResponse from TravelodgeUK, Ben from the Social Media Team 
at Travelodge London Covent GardenResponded 25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</si>
  <si>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Great baseBooked this as a last minute for a trip to London The rooms are a little 
small but everything you need is there and it is very close to Liverpool 
Street station Good air con/heating, comfortable bed, great shower so 
everything you want for a one night base, if I was staying longer or with 
my wife the room might have proved a little too small but perfect for what 
I neededRead moreDate of stay: July 2019HelpfulShare</t>
  </si>
  <si>
    <t>amyl0u2017 wrote a review Sep 20196 contributions1 helpful vote</t>
  </si>
  <si>
    <t>PoorVery poorly maintained needs updating, staff were friendly food was not the 
best, great location though. Checking in and out was quick. Rusty fittings 
in the bathroom food over priced for what it is. IRead moreReview collected 
in partnership with TravelodgeDate of stay: September 
2019HelpfulShareResponse from TravelodgeUK, Shaf from the Social Media 
Team. at Travelodge London Covent GardenResponded 24 Sep 2019Thank you for 
reviewing our London Covent Garden Travelodge. We're pleased to hear the 
hotel team were friendly and you liked the location of the hotel. We do 
apologise the food was not to your liking on this occasion. Travelodge are 
always reviewing our hotels for refurbishments and we will ensure to pass 
your comments on to the relevant department.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</si>
  <si>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https://www.tripadvisor.co.uk/Hotel_Review-g186338-d13569031-Reviews-or525-Travelodge_London_City_hotel-London_England.html#REVIEWS</t>
  </si>
  <si>
    <t>Trail49099831765 wrote a review Sep 20192 contributions</t>
  </si>
  <si>
    <t>Homer C wrote a review Jul 201923 contributions4 helpful votes</t>
  </si>
  <si>
    <t>Great locationGreat location. Room was well aired and air con was great. The bathroom was 
decent could of done with more toilet roll than just one roll for the 
duration of our stay. Sink could do with a deep clean due to the start of 
but the rest of it was clean, room was really clean. The bed was 
comfortable and with white crisp clean bedding, extra pillows in the 
cupboard which was handy. The bar is open 24hrs and reasonable price £4.80 
for a pint of becks and £5-£6 for a prosseco. The breakfast was excellent 
value and so much choice, would definitely recommend adding the breakfast 
only downside was it was really busy so finding a table was aged and you 
were on top of each other but we did go at peak time so I suggest going 
earlier. Most staff was friendly and helpful. Would stay again.Read 
moreReview collected in partnership with TravelodgeDate of stay: September 
2019HelpfulShare</t>
  </si>
  <si>
    <t>Impressive Travelodge StandardsVery impressive standards for a Travelodge. The building is new so 
everything is bright and fresh. Plentiful staff at Reception and the few 
interactions we had were pleasant, but there is also check in machines 
available. A large and bright bar/restaurant is next to Reception. Our 
‘Super Room’, although compact, was very comfortable and well equipped. Air 
con, Lavazza coffee machine and ironing facilities are all provided. The 
bed and pillows were very comfortable. Very powerful shower. The desk chair 
had some sticky stains on it, but other than that cleanliness was top 
notch. Travelodge have set themselves a very high benchmark with this stay, 
but then again they do call this their flagship hotel. We have stayed three 
times now and standards have been maintained each time.Read moreDate of 
stay: April 2019HelpfulShare</t>
  </si>
  <si>
    <t>misty60 wrote a review Sep 2019Aberystwyth, United Kingdom20 contributions9 
helpful votes</t>
  </si>
  <si>
    <t>MikeandChri1945 wrote a review Jul 2019Worcester, United Kingdom9 
contributions4 helpful votes</t>
  </si>
  <si>
    <t>LocationThis hotel is in a great location if you are visiting all the main tourist 
attractions in London. And is especially convenient for the West End and 
Covent Gardens, being only a 10 to 15 minute walk. The open top buses pick 
up very close by around 10 minute walk. We walked everywhere from this 
hotel, Shard, London Eye, West End, Oxford street, Piccadilly Circus, 
Trafalgar square and Bond Street. The hotel itself is very clean and 
comfortable. The staff are very friendly. Tea and coffee in the room with 
more supplies available at the Reception area.Read moreReview collected in 
partnership with TravelodgeDate of stay: September 2019HelpfulShare</t>
  </si>
  <si>
    <t>Two day stayVery helpful staff clean and comfortable room location was ideal for our 
visit breakfast was good (self service) nice and fresh with plenty of tea 
and coffee has a restaurant and bar. Would recommend this travelodge to 
friends thanks to all the staffRead moreReview collected in partnership 
with TravelodgeDate of stay: July 2019HelpfulShare</t>
  </si>
  <si>
    <t>https://www.tripadvisor.co.uk/Hotel_Review-g186338-d193057-Reviews-or610-Travelodge_London_Covent_Garden-London_England.html#REVIEWS</t>
  </si>
  <si>
    <t>Gavin H wrote a review Jul 2019London, United Kingdom19 contributions6 
helpful votes</t>
  </si>
  <si>
    <t>The best Travelodge hotel in LondonI really loved staying in this hotel a couple of times last summer when it 
first opened. The rooms are really modern. I stayed in a new super room. 
Had lots of mod cons such as a brand new Nespresso coffee machine. Very 
comfy bed. Nice decor. Would happily stay again.Read moreDate of stay: 
August 2018HelpfulShare</t>
  </si>
  <si>
    <t>Fussybutfair wrote a review Jul 20196 contributions1 helpful vote</t>
  </si>
  <si>
    <t>Good Value, Clean and Conveniently LocatedGood clean hotel with handy room facilities: iron and board, coffee machine 
and ultra quiet air conditioning. Friendly efficient staff. Bed not as 
comfy as expected but overall excellent value for money.Read moreReview 
collected in partnership with TravelodgeDate of stay: June 2019HelpfulShare</t>
  </si>
  <si>
    <t>theberber wrote a review Sep 2019London, United Kingdom123 contributions42 
helpful votes</t>
  </si>
  <si>
    <t>https://www.tripadvisor.co.uk/Hotel_Review-g186338-d13569031-Reviews-or530-Travelodge_London_City_hotel-London_England.html#REVIEWS</t>
  </si>
  <si>
    <t>Ann D wrote a review Jul 2019Valparaiso, Chile13 contributions</t>
  </si>
  <si>
    <t>Good locatiion, good price, good hotelTravelodge was well located, near to tubes and buses. It was very 
comfortable and the room included everything we needed for an overnight 
stay. It is located far enough away from a busy main road to enable a quiet 
sleepRead moreReview collected in partnership with TravelodgeDate of stay: 
June 2019HelpfulShare</t>
  </si>
  <si>
    <t>Major security breachI recently stayed at Covent Garden travelodge for a week for business. I 
booked a super room for added space. Upon arrival I was checked in an given 
a key. The room I entered on the 5th floor was already occupied. Luckily 
there was no one in the room but there was personal belongings, rucksack, 
iPad etc on the bed. I immediately complained. It was just smoothed over 
with an apology and another key. I see this as a major major breach of 
security for personal and possessions safety. If anything had gone missing 
the hotel would deny responsibility. To add to this, these rooms have NO 
safe. I was away on business with laptop, iPad, passport, money, cards etc. 
This is a very busy hotel with high daily turnover. I think everyone needs 
to be aware of this risk. I would also add, this…Read moreDate of stay: 
September 20191 Helpful voteHelpfulShareResponse from TravelodgeUK, Zack 
from The Social Media Team at Travelodge London Covent GardenResponded 23 
Sep 2019Thank you for taking the time to review our London Covent Garden 
Travelodge, we are thankful for your comments. Please accept our deepest 
apologies for the issues encountered during your booking. The experience 
you received concerns us and we would like to investigate your stay 
further. Please may we kindly ask you to contact our Customer Service team 
via the 'Contact Us' page on our website. Please include a link to your 
review and your booking details. This will enable us to look into your 
visit more thoroughly with our hotel team. Thank you again for sharing your 
experience and giving us the opportunity to adjust the service and 
facilities we provide our guests. We look forward to hearing from you 
shortly.Read more</t>
  </si>
  <si>
    <t>Carlaabirached wrote a review Sep 2019Beirut, Lebanon25 contributions5 
helpful votes</t>
  </si>
  <si>
    <t>JayLeake wrote a review Jun 2019Torquay, United Kingdom60 contributions12 
helpful votes</t>
  </si>
  <si>
    <t>Pleaaaaase take me out of this hotelI came with my daughter , for 10 days to find a house for her to finish her 
studies. It was an impossible mission to find a twin room. They give us a 
very small room we did not have place for our stuffs and the bathroom was 
for disable persons, so when you take your shower the water is all over the 
bathroom ....... They change the room to give us another one with normal 
bathroom, in another building, butttttttt it was the same bathroom , ( i 
don t know why i have Mr bean in my mind all the time). So we stay in this 
room , no AC , the window does not close ( hear and smell everything from 
outside) And best off all, we are next to the storage room. So every 
morning the cleaning lady who does not understand a world of english , open 
the door ( which is very noisy every one to two…Read moreDate of stay: 
September 2019HelpfulShareResponse from TravelodgeUK, Shaf from the Social 
Media Team. at Travelodge London Covent GardenResponded 23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</si>
  <si>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Amazing stay!Stayed here on 28th June 2019 for one night and what an amazing place to 
stay. From the moment we walked through the doors the staff were extremely 
friendly and helpful. After doing some research and looking at the weather 
expected we chose this one due to the air con in the rooms. We chose a 
super double room which come with a quality Samsung air conditioning unit, 
when the temperatures were hitting the 30s this was amazing to have in the 
room. Along with a decent power shower and a Lavazza coffee machine in the 
room, oo not forgetting the Kit Kats which were a nice surprise. Stepping 
out of the hotel felt like step of an aeroplane in a hot country. The air 
con is a massive plus as it helps you get a good night sleep to. The hotel 
is in an excellent location close to both…Read moreDate of stay: June 
2019HelpfulShare</t>
  </si>
  <si>
    <t>https://www.tripadvisor.co.uk/Hotel_Review-g186338-d193057-Reviews-or615-Travelodge_London_Covent_Garden-London_England.html#REVIEWS</t>
  </si>
  <si>
    <t>iloveholidaytime10 wrote a review Sep 2019Edinburgh, United Kingdom10 
contributions7 helpful votes</t>
  </si>
  <si>
    <t>https://www.tripadvisor.co.uk/Hotel_Review-g186338-d13569031-Reviews-or535-Travelodge_London_City_hotel-London_England.html#REVIEWS</t>
  </si>
  <si>
    <t>Inside is much better than the outsideThe exterior of the hotel is very old, dull and run down looking unlike 
most of the other travelodges i have stayed in but once inside it was fine. 
Nice big room but the noise in the morning was horrendous, very very loud 
and i had the window shut! I have no idea if it was the bins being emptied 
or construction but there was no chance of a lie in so maybe the need to 
soundproof the windows better. Glad i only stayed 1 night.Read moreDate of 
stay: September 2019HelpfulShareResponse from TravelodgeUK, James from the 
Social Media Team at Travelodge London Covent GardenResponded 22 Sep 
2019Thank you for reviewing our Travelodge London Covent Garden Hotel. 
We're sorry to hear you weren't pleased with the wear and tear of the hotel 
as well as the external noise experienced during your stay.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</si>
  <si>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Karen S wrote a review Jun 2019Manchester, United Kingdom44 contributions12 
helpful votes</t>
  </si>
  <si>
    <t>The best Travelodge we have stayed inReally friendly staff, spotlessly clean, a nice little bar and a modern 
hotel - would recommend. Especially as its so central and near to the tube 
for access around London. We will be staying here again.Read moreReview 
collected in partnership with this hotelDate of stay: June 2019HelpfulShare</t>
  </si>
  <si>
    <t>546kieran wrote a review Sep 2019Swansea County, United Kingdom1 
contribution</t>
  </si>
  <si>
    <t>SVikash wrote a review Jun 2019Bhopal, India6 contributions1 helpful vote</t>
  </si>
  <si>
    <t>Clean and tidy, perfect for an overnight stopThe hotel was clean and tidy and room was perfect, not one fault I could 
find. The hotel was the centre to everything we had planned, Friendly staff 
around the hotel, had a good experience, would definitely stay again!!Read 
moreReview collected in partnership with TravelodgeDate of stay: September 
2019HelpfulShare</t>
  </si>
  <si>
    <t>andrewS9813GS wrote a review Sep 20191 contribution2 helpful votes</t>
  </si>
  <si>
    <t>Well maintained and awesome locationThe hotel is actually new and in mint condition. Reasonable room size and 
awesome location for tourists. 10 min walk to Tower of London ..3 min to 
aldegate and aldegate tube station. Breakfast is value deal and filling 
enough...worth a stay. A lot of eateries in proximity in case you wish to 
grab a different foodRead moreDate of stay: June 2019HelpfulShare</t>
  </si>
  <si>
    <t>Kirby1953 wrote a review Jun 2019Edinburgh, United Kingdom18 contributions5 
helpful votes</t>
  </si>
  <si>
    <t>Busy property in good location but service overall poorGood location rooms ok Room cleaning non existant - the card on the door 
system does not work - never seem this in a hotel before to clean a room - 
common areas are not cleaned - an open bag of peanuts was left next to the 
lift for all 4 days I was there - rat heavenRead moreReview collected in 
partnership with TravelodgeDate of stay: September 20192 Helpful 
votesHelpfulShareResponse from TravelodgeUK, Shaf from the Social Media 
Team. at Travelodge London Covent GardenResponded 19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</si>
  <si>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Early Check-In Charges - Be AwareA modern Travelodge, comfortable but smallish rooms. bathrooms are 'pod' 
style and quite small, especially the toilet space. But I resent being 
charged £10 to check-in early: if the room is available, let your guest in. 
There is no cost to the hotel. Just an excuse to take even more money from 
the traveller.Read moreReview collected in partnership with TravelodgeDate 
of stay: June 2019HelpfulShareResponse from TravelodgeUK, James from the 
Social Media Team at Travelodge London City hotelResponded 27 Jun 2019Thank 
you for reviewing our Travelodge London City Hotel. We're sorry to hear you 
weren't pleased with the £10.00 early check-in charge. Our rooms are all 
serviced for 3PM which is normal check in time so there is limited 
availability for early arrivals. This is why we process the charge, so we 
can ensure availability of rooms is met at all times. Please rest assured 
the hotel managers check Tripadvisor reviews of their hotels so your 
comments will be reviewed by the hotel's team. Thank you again for leaving 
this review and we do hope that you choose to stay with us again in the 
future.Read more</t>
  </si>
  <si>
    <t>Zoejaynexo wrote a review Sep 2019Southampton, United Kingdom25 
contributions25 helpful votes</t>
  </si>
  <si>
    <t>Good locationThe travelodge is in a great location about a 5 minute walk away from 
covent garden tube station and the main shopping area. We stayed in one of 
the superior rooms, which I definitely prefer having stayed in a few 
different travelodges. Would definitely go again to stay, especially 
because for London, it's a cheap nice hotel.Read moreDate of stay: June 
20191 Helpful voteHelpfulShare</t>
  </si>
  <si>
    <t>https://www.tripadvisor.co.uk/Hotel_Review-g186338-d13569031-Reviews-or540-Travelodge_London_City_hotel-London_England.html#REVIEWS</t>
  </si>
  <si>
    <t>https://www.tripadvisor.co.uk/Hotel_Review-g186338-d193057-Reviews-or620-Travelodge_London_Covent_Garden-London_England.html#REVIEWS</t>
  </si>
  <si>
    <t>Luigi wrote a review Jun 2019Rome, Italy60 contributions15 helpful votes</t>
  </si>
  <si>
    <t>Travelodge, a very good discovery!I’ve booked this hotel about 4 months before the stay with a very low-price 
offer on the official Travelodge website and I’m very satisfied! It’s a 
very good hotel! It has all you need and despite the price it’s very well 
cared, clean and elegant (in a certain way). The rooms, that are very well 
soundproofed, have curtains to cover the sunlight if you want to sleep 
during the morning. You can also choose if you want the room cleaned or not 
hanging a sign outside the door to save the planet! It’s also well linked 
with a lot of tube station and bus lines near. I advice this structure to 
who wants to spend few money without renouncing to stay in a hotel.Read 
moreDate of stay: March 2019HelpfulShare</t>
  </si>
  <si>
    <t>Lisa wrote a review Sep 20191 contribution</t>
  </si>
  <si>
    <t>Wanderer40687294660 wrote a review Jun 20191 contribution</t>
  </si>
  <si>
    <t>Close to Covent garden and central attractionsI stayed here during one of the hottest weeks of the year for work, my 
initial impression was not good when I was told on check in that I was in 
the wrong building and needed to be in the other Travelodge around the 
corner, I duly trudged off with my bags to the other Travelodge round the 
corner who dispatched me back to the original travelodge I had just come 
from! once the issue had been cleared up and I had dumped said bags in the 
standard Travelodge room I felt better in no small part due to the 
excellent vodka I was drinking! Food is standard everything with chips or 
potatoes fare but the evening staff were pleasant and happy to chat. this 
was not something that was repeated by the morning staff! As a business 
traveller through a travel agency my breakfast is always…Read moreDate of 
stay: August 2019HelpfulShare</t>
  </si>
  <si>
    <t>Perfect stay with 2 kidsWe booked a Family Room, which was great with 2 kids. And the free 
breakfast for kids is a good extra as they are "no big breakfast eaters". 
Location of the hotel close to 2 Underground Stations is perfect. Bus 
connections and walking distance to the Tower very good.Read moreReview 
collected in partnership with TravelodgeDate of stay: June 2019HelpfulShare</t>
  </si>
  <si>
    <t>Kelvin H wrote a review Sep 20193 contributions4 helpful votes</t>
  </si>
  <si>
    <t>eclare19 wrote a review Jun 2019Geraldton, Australia40 contributions10 
helpful votes</t>
  </si>
  <si>
    <t>Great location poor standardOverall tired hotel, food area kept cold and unwelcoming, poor quality food 
and served cold, more interested in keeping the sausages inline than cooked 
well and hot. Great location but don’t eat there and don’t expect plush 
rooms.Read moreDate of stay: September 20191 Helpful 
voteHelpfulShareResponse from TravelodgeUK, Ben from the Social Media Team 
at Travelodge London Covent GardenResponded 19 Sep 2019Thank you for taking 
the time to write a review about our London Covent Garden hotel. We're 
pleased to hear that you liked the location however we are sorry to learn 
of your disappointment with the age of the hotel and breakfast provided. We 
have an ongoing refurbishment program and, while we cannot refurbish every 
hotel simultaneously, we are working to make sure that hotels are 
refurbished regularly. We appreciate all the feedback we receive and our 
Hotel Managers regularly review their TripAdvisor reviews in order to fix 
any issues raised and pass on feedback to their team. Thank you once again 
and we do hope you will stay with us in the future.Read more</t>
  </si>
  <si>
    <t>Comfy stay in the cityStayed here for 4 nights with two small children. Good location and 2 
minute walk from Aldgate station. Room was compact but functional with two 
sturdy fold out beds for my kids. More and better coffee in the room would 
have been nice. Room was clean but rubbish was found under the double bed 
by my four year old. Bathroom was clean and functional but needed focus to 
mountain climb in and out of the shower over the bath. Breakfast was 
plentiful and good quality and the dinner menu was satisfactory. Staff were 
pleasant and helpful. I would go here again.Read moreDate of stay: June 
2019HelpfulShare</t>
  </si>
  <si>
    <t>Camper31578565181 wrote a review Sep 2019Papua Region, Papua New Guinea2 
contributions</t>
  </si>
  <si>
    <t>Chloe A wrote a review Jun 2019Worthing, United Kingdom3 contributions1 
helpful vote</t>
  </si>
  <si>
    <t>Great location, great stay, great roomThoroughly impressed with the hotel and location. Easy links to central 
London and walkable sights. Room spotlessly clean and comfortable. V quiet. 
Very good breakfast options good quality. An absolute bargain. Thank you! 
Would recommend. 10/10Read moreDate of stay: June 2019HelpfulShare</t>
  </si>
  <si>
    <t>Travelodge Covent GardenWell located and within walking distance of a few tourist attractions such 
as Saint Paul's Cathedral. Staff were welcoming and a special well done to 
the breakfast staff for handling so many people at one time 
efficiently.Read moreDate of stay: September 2019HelpfulShareResponse from 
TravelodgeUK, Ben from the Social Media Team at Travelodge London Covent 
GardenResponded 19 Sep 2019We would like to thank you for taking the time 
to share your experience. We are so pleased to hear that you were happy 
with the location of the Hotel, you found the team to be welcoming and that 
your overall experience was a positive one. Your comments are invaluable 
and and our Hotel Managers regularly review their TripAdvisor reviews to 
pass on feedback to their team. Thank you once again and we do hope you 
will stay with us again soon.Read more</t>
  </si>
  <si>
    <t>markwU1288BV wrote a review Jun 2019co down9 contributions</t>
  </si>
  <si>
    <t>Paul M wrote a review Sep 201978 contributions7 helpful votes</t>
  </si>
  <si>
    <t>another excellent travelodge experienceperhaps we are easily pleased but our hotel stay on our recent trip to 
London was great, staff are always super friendly and very helpful, rooms 
kept clean and smelled fresh, air con a deciding factor to book this 
particular hotel, the hotel was well located around the corner from Aldgate 
station and a 10 minute stroll from Liverpool st station, we used to pay a 
lot for 4 and 5 star hotels until we realised we only slept in the rooms 
and were out and about all day and into the evening, what's the point of a 
luxury hotel?Read moreReview collected in partnership with TravelodgeDate 
of stay: June 2019HelpfulShare</t>
  </si>
  <si>
    <t>It's a Travelodge!Based on a long weekend stay over the August bank holiday. I arrived on the 
Thursday for a four night stay checking out on the following Monday. I have 
stayed here a few times before, mainly for it's location - it's not smack 
bang in the centre of London, but is within easy walking distance of 
several attractions and has easy access to the underground. I've never had 
any major issues at the hotel, although on arrival all of the self check-in 
machines were not working and were still not working when I checked out! 
The room I stayed in was more than spacious for just myself, but I think I 
may have struggled sharing... especially the bathroom which was quite small 
(no bath just a shower). The floor I was on was very quiet, only heard 
other people going for breakfast in the…Read moreDate of stay: August 
2019HelpfulShareResponse from TravelodgeUK, Shaf from the Social Media 
Team. at Travelodge London Covent GardenResponded 18 Sep 2019Thank you for 
reviewing our London Covent Garden Travelodge. We're really pleased to hear 
you liked the location of the hotel and do apologise the check in machines 
were not working on this occasion.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</si>
  <si>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https://www.tripadvisor.co.uk/Hotel_Review-g186338-d1812157-Reviews-or100</t>
  </si>
  <si>
    <t>https://www.tripadvisor.co.uk/Hotel_Review-g186338-d13569031-Reviews-or545-Travelodge_London_City_hotel-London_England.html#REVIEWS</t>
  </si>
  <si>
    <t>https://www.tripadvisor.co.uk/Hotel_Review-g186338-d193057-Reviews-or625-Travelodge_London_Covent_Garden-London_England.html#REVIEWS</t>
  </si>
  <si>
    <t>365clivej wrote a review Jun 2019cavendish12 contributions6 helpful votes</t>
  </si>
  <si>
    <t>Great locationThe hotel was clean, in a great location and reasonably priced. The hotel 
staff were friendly too. We didn't stay for the unlimited breakfast, but it 
seemed good value. The hotel is handy for Spitalfield market which is a 
great place to visit on a Saturday with street food and goods and clothing 
you wouldn't find on the high street.Read moreReview collected in 
partnership with TravelodgeDate of stay: June 2019HelpfulShare</t>
  </si>
  <si>
    <t>Travel606957 wrote a review Jun 20195 contributions</t>
  </si>
  <si>
    <t>trampan wrote a review Sep 2019Abergwili, United Kingdom15 contributions2 
helpful votes</t>
  </si>
  <si>
    <t>Highly recomendedVery clean, quiet, modern, building, with new fornitures. Very confortable 
beds. Spacious bath, new and clean. Perfect position If you arrive in 
weekend at late night you can get piccadilly line til liverpool station. 
Ecxelent value for money, expecially if you travel with children We havn’ t 
try breakfast, but We’ll do it the next time!Read moreDate of stay: June 
2019HelpfulShare</t>
  </si>
  <si>
    <t>High HolbornBooked a family room at the High Holborn hotel. We were met with a friendly 
receptionist. booking in was quick and easy. We were on the 13th floor with 
great views over the city skyline. Room was basic, quiet, clean and the 
beds were comfortable. Breakfast was buffet, was nice, staff here were 
friendly too. Checking out was also quick and easy. Receptionist was able 
to order us a black cab on departure. On the whole, we didn't spend a lot 
of time here, but it served its purpose well, in providing a clean and 
comfortable place to stay. Thank youRead moreDate of stay: September 
2019HelpfulShare</t>
  </si>
  <si>
    <t>Alberto C wrote a review Jun 2019Mogliano Veneto, Italy48 contributions4 
helpful votes</t>
  </si>
  <si>
    <t>spud1stclassonly wrote a review Sep 2019Cambridge, United Kingdom93 
contributions79 helpful votes</t>
  </si>
  <si>
    <t>very good!this hotel is very good, great position and very calm. the staff easy. the 
room clean and very comfortable, very good breakfast. i'll return for sure. 
it was a surprise to discover this great place. raccomendedRead moreReview 
collected in partnership with TravelodgeDate of stay: June 2019HelpfulShare</t>
  </si>
  <si>
    <t>Wander33124504418 wrote a review Jun 2019London, United Kingdom1 
contribution</t>
  </si>
  <si>
    <t>WEEKEND STAY FOR HEN DOOFab location, staff were friendly, stayed for two nights as part of a group 
of 13 girls and would recommend. Free to leave luggage as room wasn’t ready 
til 3pm. Had to only get reception to sort our room key out once over the 
whole weekend, but I think it was because it had been near our mobile phone 
in our bag so sometimes this can cause issues with the room keys. They 
sorted straight away so no problem. Bar in hotel is open until 4am which 
was great. Room was nice, big and clean. Room sizes do vary in this hotel 
as our friends who were in our group had a tiny room compared to ours!!! 
Ironing board and iron all in room. Hairdryer is available via reception 
just ask plus if you need any clean towels etc reception were great just 
ask. Lots of hen and stag doos were in this hotel…Read moreDate of stay: 
September 2019HelpfulShare</t>
  </si>
  <si>
    <t>BasicMake sure to bring a hair dryer and toiletries! Kept it very minamal on the 
towel front too, x2 bath towel and a bath mat. No hand towels.... The room 
got really hot and stuffy, we tried to put the aircon on but it kept 
turning itself offRead moreReview collected in partnership with 
TravelodgeDate of stay: June 2019HelpfulShare</t>
  </si>
  <si>
    <t>joannaroberts21 wrote a review Jun 2019Norwich, United Kingdom56 
contributions22 helpful votes</t>
  </si>
  <si>
    <t>kjf_x wrote a review Sep 2019Carnoustie, United Kingdom841 contributions85 
helpful votes</t>
  </si>
  <si>
    <t>Top staffAli and Mike were absolutely fabulous! We had trouble finding the hotel and 
when we finally arrived just after midnight, they couldn’t have been more 
helpful. They advised us of the best place to park the car and truly 
couldn’t have been more obliging. After a brief nights sleep we came down 
for breakfast to find them still on duty and still smiling! All the staff 
were friendly and polite but Ali and Mike arena absolute credit to the 
hotel.Read moreDate of stay: June 2019HelpfulShare</t>
  </si>
  <si>
    <t>Great Location.Friendly staff, a great location and fab service. The staff were more than 
happy to help with any problem we were having. The rooms were cleaned daily 
and the location was just perfect for exploring London as it’s right in the 
city centre, 5 minute walk from the tube station and near bus stops! The 
shops are close by as well as lots of places to eat and the theatre 
district!Read moreDate of stay: September 2019HelpfulShare</t>
  </si>
  <si>
    <t>https://www.tripadvisor.co.uk/Hotel_Review-g186338-d13569031-Reviews-or550-Travelodge_London_City_hotel-London_England.html#REVIEWS</t>
  </si>
  <si>
    <t>https://www.tripadvisor.co.uk/Hotel_Review-g186338-d193057-Reviews-or630-Travelodge_London_Covent_Garden-London_England.html#REVIEWS</t>
  </si>
  <si>
    <t>Ievoo wrote a review Sep 2019Eindhoven, The Netherlands9 contributions</t>
  </si>
  <si>
    <t>peterkarry wrote a review Jun 2019Epsom, United Kingdom23 contributions4 
helpful votes</t>
  </si>
  <si>
    <t>Good room at good locationThe hotel was quite expensive, but you can same for all hotels at good 
locations in London. The room was quite good. The bed was ok. You could 
make (free) coffee with a Lavazza machine, however, you need to ask new 
Lavazza Cups at the reception. The shower was great. Only two problems: the 
badroom door was damaged, and not fixed during the stay. One time, the 
security card failed, which cost us 15 minutes. We knew Travelodge has 
crappy breakfast from continental perspective and many good bakeries 
(Benugo!) are nearby, so we did not book breakfast at the hotel.Read 
moreDate of stay: September 2019HelpfulShareResponse from TravelodgeUK, Ben 
from the Social Media Team at Travelodge London Covent GardenResponded 16 
Sep 2019Thank you for taking the time to write a review about our London 
Covent Garden hotel. We're pleased to hear that you liked the hotels 
location and you were generally happy with the room provided however we are 
sorry to learn of the problems with the door and of your disappointment 
with the breakfast. We appreciate all the feedback we receive and our Hotel 
Managers regularly review their TripAdvisor reviews in order to fix any 
issues raised and pass on feedback to their team. Thank you once again and 
we do hope you will stay with us in the future.Read more</t>
  </si>
  <si>
    <t>Carly wrote a review Sep 20196 contributions2 helpful votes</t>
  </si>
  <si>
    <t>Spoilt by evening meal.The accommodation, staff, location, breakfast were all praiseworthy. The 
evening meal let these down, as first the wrong meal was delivered, and 
when the correct one arrived, it still took long wait for the side to 
appear.Read moreDate of stay: June 2019HelpfulShareResponse from 
TravelodgeUK, James from the Social Media Team at Travelodge London City 
hotelResponded 24 Jun 2019Thank you for reviewing our Travelodge London 
City Hotel. We're happy to hear you were pleased with the service from the 
hotel's team during this stay as well as the location of the hotel and 
quality of the breakfast but we're sorry to hear you weren't pleased with 
the service during dinner. Please rest assured the hotel managers check 
Tripadvisor reviews of their hotels so your comments will be reviewed by 
the hotel's team. Thank you again for leaving this review and we do hope 
that you choose to stay with us again in the future.Read more</t>
  </si>
  <si>
    <t>Good locationStayed here on Friday evening for one night. The hotel is in a great 
location just a few minutes walk from Covent Garden. We paid the little 
extra for a super room which I think was worth it as we had a coffee 
machine :) the room had a few issues but as we were only there for one 
night it didn’t really matter for the price and the location. Would stay 
again.Read moreDate of stay: September 20191 Helpful voteHelpfulShare</t>
  </si>
  <si>
    <t>Dubem wrote a review Sep 20191 contribution1 helpful vote</t>
  </si>
  <si>
    <t>Not suitable for families with small childrenI hated our stay at Travelodge. I have two children under 3 years of age. 
My daughter just turned 2and half years and she is at that age of always 
talking, active and finds it hard to be entertained. My son is 6 months, 
just started to eat solid. I took his own food ( because i make it from 
home). No fridge in the room no provision to preserve it. There is no free 
WiFi to at least help my daughter to watch her tablet. They said 30 minutes 
free WiFi in 24 hours which is a lie. It never worked had to use my phone 
as hotspot. There is no telephone from the room to the reception. If I want 
anything, we had to go downstairs or you call 0871 number which has a 
charge. The weather was so hot and there was no air conditioning or even a 
fan in the room. We traveled from a far distance…Read moreDate of stay: 
September 20191 Helpful voteHelpfulShareResponse from TravelodgeUK, Shaf 
from the Social Media Team. at Travelodge London Covent GardenResponded 15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</si>
  <si>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https://www.tripadvisor.co.uk/Hotel_Review-g186338-d13569031-Reviews-or555-Travelodge_London_City_hotel-London_England.html#REVIEWS</t>
  </si>
  <si>
    <t>Dralcam wrote a review Sep 2019Melbourne15 contributions6 helpful votes</t>
  </si>
  <si>
    <t>ms168 wrote a review Jun 2019Windsor, United Kingdom36 contributions12 
helpful votes</t>
  </si>
  <si>
    <t>Great location to Liverpool Street Station and surrounding.Excellent hotel, good size and comfy, clean and tidy, service were great 
too, staffs friendly, overall the best part is the location itself, pretty 
much everything you needed from shops, tubes, station, markets, bars, cosy 
nights.Read moreReview collected in partnership with this hotelDate of 
stay: June 2019HelpfulShare</t>
  </si>
  <si>
    <t>Awful - give it a missAwful room, sticky carpeted floors, toilet leaked and ran the whole time 
and I’ve had better backpacker accommodation in South America! Hot, no air 
con (even though I booked a room with air con), basic beyond belief for 
over £200 a night. Give it a miss and stay somewhere else is my advice. 
This chair was the only place to sit ,apart from the bed, for a room that 
accommodates 4 people. if I could give it zero stars I would.Read moreDate 
of stay: September 20191 Helpful voteHelpfulShareResponse from 
TravelodgeUK, James from the Social Media Team at Travelodge London Covent 
GardenResponded 12 Sep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</si>
  <si>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Wil W wrote a review Jun 2019Watford, United Kingdom2 contributions</t>
  </si>
  <si>
    <t>https://www.tripadvisor.co.uk/Hotel_Review-g186338-d193057-Reviews-or635-Travelodge_London_Covent_Garden-London_England.html#REVIEWS</t>
  </si>
  <si>
    <t>SMALL BUT GOODThe Room Was Not As Big most Other Travelodge I have stayed, It was neat 
and clean.. I CALLED The room was small but comfortable. There was nothing 
outstanding about the staff on duty that day, However, I had no problem 
checking in. It was a clean, quiet and perfect place for me that day. It 
was not noisy considering the locationRead moreReview collected in 
partnership with TravelodgeDate of stay: June 2019HelpfulShare</t>
  </si>
  <si>
    <t>Rosie J wrote a review Jun 2019Brighton and Hove, United Kingdom4 
contributions</t>
  </si>
  <si>
    <t>MegRRolfes wrote a review Sep 2019Denver, Colorado56 contributions11 
helpful votes</t>
  </si>
  <si>
    <t>excellent budget hotelGood central location, good value, very nice and clean. I didn't have the 
breakfast so can't comment on that. I appreciated the 12pm checkout as lots 
of places are 11am. I would definitely stay again if I needed a night in a 
budget hotel in London city.Read moreDate of stay: June 2019HelpfulShare</t>
  </si>
  <si>
    <t>Mark B wrote a review Jun 2019Northampton, United Kingdom48 contributions12 
helpful votes</t>
  </si>
  <si>
    <t>Location, location!We loved the location of this hotel, easy walks everywhere, hotel is a bit 
closed dark and dirty, windows should be opened every now and then for 
ventilation, and we had to survive 4 days three nights with one toilet 
paper roll! Early check inn should be offered as transatlantic flights 
arrive very early in England, but we were more interested on location and 
we go it!Read moreDate of stay: September 2019HelpfulShareResponse from 
TravelodgeUK, Zack from The Social Media Team at Travelodge London Covent 
GardenResponded 12 Sep 2019Thank you for taking the time to review our 
London Covent Garden hotel. We are pleased to read that you were very happy 
with the location of our hotel, and that it was ideal for the needs of your 
stay, however we are sorry to hear that you were disappointed with the 
condition of the hotel, and our check in time. We will be sure to pass your 
comments on to the relevant department to be looked into so we are able to 
improve the service we offer. Thanks again, and we hope we are able to 
welcome you back soon.Read more</t>
  </si>
  <si>
    <t>Weekend AwayStayed here on a Friday night. Great value for money. New hotel in 2018. 
Check in very efficient with pleasant staff. Good room size with large 
shower room. Pleasant bar area. Good value breakfast which was evident by 
the number of people taking it. Close to tube station. Easy walk to the 
river and the Tower of London. Etc.Read moreDate of stay: June 
2019HelpfulShare</t>
  </si>
  <si>
    <t>jeeves1172 wrote a review Sep 2019Wolverhampton, United Kingdom62 
contributions42 helpful votes</t>
  </si>
  <si>
    <t>Pickupthatcan wrote a review Jun 2019Brighton, United Kingdom15 
contributions4 helpful votes</t>
  </si>
  <si>
    <t>Disappointed this tineStayed here many times, great location. It’s a basic hotel, clothes rail 
but no wardrobe, hairdryer on request, we had an iron and ironing board. 
Plenty of plug sockets, tea and coffee facilities. TV Some rooms have been 
done up to a higher standard but you pay for the privilege. Our room was an 
accessible room, which I booked as the other rooms available were double 
beds and I was sharing with my mom. Large wet room, with a fold away seat 
in the shower which was covered in limes scale, as was part of the floor 
where the water pooled after using the shower and never really dried. We 
were given 2 bath towels and 1 hand towel which I’m not sure if they 
changed in 5 days! Each day one of the towels was folded and left on the 
toilet system, how unhygienic! First day our room…Read moreDate of stay: 
September 20191 Helpful voteHelpfulShare</t>
  </si>
  <si>
    <t>Very good, clean, basic.Only complain is no free internet and there are some rough streets around 
the hotel but everything else was just fine. Clean room, opt-in 
housekeeping, new bathroom facilities, breakfast ok, staff/service just 
fine. Absolutely ok hotel.Read moreDate of stay: June 2019HelpfulShare</t>
  </si>
  <si>
    <t>https://www.tripadvisor.co.uk/Hotel_Review-g186338-d13569031-Reviews-or560-Travelodge_London_City_hotel-London_England.html#REVIEWS</t>
  </si>
  <si>
    <t>Ray C wrote a review Sep 2019Sidmouth10 contributions18 helpful votes</t>
  </si>
  <si>
    <t>MattDrewry wrote a review Jun 2019Colchester, United Kingdom98 
contributions61 helpful votes</t>
  </si>
  <si>
    <t>Covent Garden TravelodgeGreat location but unattractive and only adequate service, room was OK and 
bed comfortable. The building is ugly and the staff are OK and mostly 
polite. The public areas are functional but unattractive. If you just want 
a room for the night then it is good value.Read moreReview collected in 
partnership with TravelodgeDate of stay: September 2019HelpfulShare</t>
  </si>
  <si>
    <t>Still the best Travelodge by far......I have stayed in this particular Travelodge 3-4 times now since it opened 
in 2018, and I would say that it gets better with each visit. The teething 
troubles have been sorted, so the restaurant and bar are now great. The 
rooms whilst not huge are comfortable and spotlessly clean, the beds are 
first class, and the sound insulation means you get a good undisturbed 
nights sleep. The bathrooms are good with powerful showers and shower gel 
dispensers fitted to the wall. You can even pay a few £ extra and check in 
early or check out late. There are plenty of hotels near by offering 
similar offerings, but having not paid more than £129 for one of their 
premium rooms, you wont be able to beat the Travelodge in terms of value 
for money in the City.Read moreDate of stay: March 20191 Helpful 
voteHelpfulShare</t>
  </si>
  <si>
    <t>https://www.tripadvisor.co.uk/Hotel_Review-g186338-d193057-Reviews-or640-Travelodge_London_Covent_Garden-London_England.html#REVIEWS</t>
  </si>
  <si>
    <t>GrandTour30761936858 wrote a review Jun 2019Zurich, Switzerland1 
contribution1 helpful vote</t>
  </si>
  <si>
    <t>Snowdrop5553 wrote a review Sep 2019Oswestry, United Kingdom2 
contributions2 helpful votes</t>
  </si>
  <si>
    <t>Fantastic value for moneySuperb location and booking in advance ensured a good deal! 2 nights for 2 
people for less than £250.00 amazing value! The exterior of the hotel is 
rather untidy and not particularly welcoming, however don’t let that deter 
you, the interior was bright, clean and comfortable. We stayed on the 8th 
floor and had no traffic noise at all. Location is fantastic for a theatre 
or shopping trip, I’d book again in a heartbeat.Read moreDate of stay: 
September 2019HelpfulShare</t>
  </si>
  <si>
    <t>Michele S wrote a review Sep 2019Birmingham, United Kingdom1 contribution</t>
  </si>
  <si>
    <t>TRAVELODGE - COVENT GARDENIf it's a central location you're looking for I would suggest this hotel. 
Lots of theatres, Westminster, Buckingham Palace etc all within walking 
distance. We didn't have to use the tube once in the 2 days we were in 
London. Plenty of places to eat and drink nearby and Dominoes opposite the 
hotel was well needed after a long day out. The rooms weren't massive, but 
we didn't mind as we were out more than we were inside the hotel. We would 
definitely use this hotel as a base again when we next visit London.Read 
moreReview collected in partnership with TravelodgeDate of stay: August 
2019HelpfulShare</t>
  </si>
  <si>
    <t>Linda S wrote a review Sep 2019Manchester, England, United Kingdom277 
contributions100 helpful votes</t>
  </si>
  <si>
    <t>Good locationWe stayed 2 nights for the theatre &amp; Ronnie Scott Club it turned out to be 
an ideal location as we were able to walk to both these places &amp; Oxford 
Street. It needs to be refurbished but it is a very busy &amp; big hotel we 
felt it had all the facilities needed for a short stay. There is facilities 
to leave your luggage free of charge on arrival &amp; departure which is 
helpful. You cannot book into your room until 2pm &amp; you can purchase an 
extra 2 hours for departure for £10 ( if available) . I would add for 
anyone with mobility problems to be aware that both entrances to the hotel 
have very steep steps to the entrance. The staff are very helpful pleasant 
it is a very busy place. There is a facility for calling a taxi which is 
very helpful. A good stay slept well no noise of other…Read moreDate of 
stay: September 2019HelpfulShare</t>
  </si>
  <si>
    <t>https://www.tripadvisor.co.uk/Hotel_Review-g186338-d193057-Reviews-or645-Travelodge_London_Covent_Garden-London_England.html#REVIEWS</t>
  </si>
  <si>
    <t>Visit to LondonGood simple location, good price, clean and friendly stuff Good breakfeast, 
could be a little bit more of bread joice. Good cappucino We liked the 
hotel. Very clean room, good service, verynice stuff.Read moreDate of stay: 
June 20191 Helpful voteHelpfulShare</t>
  </si>
  <si>
    <t>Thomas W wrote a review Sep 2019Durham, England, United Kingdom57 
contributions72 helpful votes</t>
  </si>
  <si>
    <t>Robert M wrote a review Jun 20191 contribution1 helpful vote</t>
  </si>
  <si>
    <t>Would not hesitate to recommend Travelodge London CityThe whole experience from start to finish was a pleasure. The staff were 
welcoming and attentive, the room was ideal and the cost of the stay 
represented good value for money, The hotel is in a good location, just a 
relatively short walk from two Underground stations (Aldgate and Aldgate 
East) and not too far from Liverpool Street either.Read moreReview 
collected in partnership with TravelodgeDate of stay: June 20191 Helpful 
voteHelpfulShare</t>
  </si>
  <si>
    <t>Beech2013 wrote a review Jun 20191 contribution</t>
  </si>
  <si>
    <t>dagmargleditsch wrote a review Sep 20191 contribution</t>
  </si>
  <si>
    <t>AwfulFrequent business traveller in London. Booked to stay in London city but 
moved to another hotel near by due to issue at London city. Other hotel 
awful, basic, noisey, dated, not what I booked, no compensation offered!!! 
Will never risk travellodge again. Terrible experience, no communication. 
No recognition of inconvenience, terrible customer experience can see why I 
have always avoided this brand compared to others!Read moreDate of stay: 
June 2019HelpfulShareResponse from TravelodgeUK, Shaf from the Social Media 
Team. at Travelodge London City hotelResponded 19 Jun 2019Thank you for 
submitting your review of our London City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</si>
  <si>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Theezer wrote a review Jun 2019Edinburgh, United Kingdom37 contributions5 
helpful votes</t>
  </si>
  <si>
    <t>Bad experienceWhen I arrived, I had to wait for 2 hours before I could check in, unless I 
paid extra 10 pounds. Then I was moved as the lounge should be cleaned, and 
when I left I forgot a silk T-shirt, which has not been delivered to your 
lost property bin, i e the cleaning personnel has stolen it !!! I surely 
will never stay at a Travelodge Hotel again!Read moreReview collected in 
partnership with TravelodgeDate of stay: September 2019HelpfulShareResponse 
from TravelodgeUK, Niki from The Social Media Team at Travelodge London 
Covent GardenResponded 9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</si>
  <si>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Exceeded expectationsI stayed at the London City Travelodge last night and had a really good 
stay. I seemed to get upgraded to a 'Super' room which was large, with a 
big comfy bed and all mod cons (hair dryer, coffee machine, air con). I 
slept really well and liked that the check out was 12noon. Recommend, 
especially for those in London on business.Read moreDate of stay: June 
2019HelpfulShare</t>
  </si>
  <si>
    <t>123nugget wrote a review Sep 2019Bathgate, United Kingdom142 
contributions70 helpful votes</t>
  </si>
  <si>
    <t>https://www.tripadvisor.co.uk/Hotel_Review-g186338-d13569031-Reviews-or565-Travelodge_London_City_hotel-London_England.html#REVIEWS</t>
  </si>
  <si>
    <t>Basic but adequateI arrived about 12:30 but had to wait until 15:00 to check in. I sat in the 
bar area - I wanted to get a coffee but there was some redecorating going 
on. Several workmen were behind the bar - which was still open - but I 
couldn't track down any member of staff who was serving so I just did 
without. My room was a double, although it was quite small. A flat screen 
tv on the wall was a decent size and had the usual Freeview stuff on it. 
There was one of those areas for hanging clothes (not a wardrobe as such) 
and a desk with a chair. The bed was quite comfortable, but there was a lot 
of noise coming up from Drury Lane most of the time. The bathroom had a 
walk in shower. It was very powerful and the water was nice and hot. There 
were no toiletries to speak of, other than those wall…Read moreDate of 
stay: September 2019HelpfulShare</t>
  </si>
  <si>
    <t>Kara H wrote a review Jun 2019Cardiff, United Kingdom174 contributions21 
helpful votes</t>
  </si>
  <si>
    <t>TracyGradw wrote a review Sep 2019Canterbury, United Kingdom15 
contributions8 helpful votes</t>
  </si>
  <si>
    <t>Great TravelodgeStayed for a weekend with my husband Great location for central London , 
sites and east London for Spitalfields, brick lane , st Catherine’s dock 
and the Tower of London We know east London well so able to visit our 
favourite pubs and restaurants easily Opposite a great pub Modern and well 
equipped for a travel lodgedRead moreReview collected in partnership with 
TravelodgeDate of stay: June 2019HelpfulShare</t>
  </si>
  <si>
    <t>Theatre TripThis Travelodge is approximately a five minute walk to Covent Garden Plaza 
and 10 minutes to The Savoy and Adelphi Theatres. We were in Room 418 on 
this occasion. The bedroom area was clean and tidy and this room benefits 
from having air conditioning. Unfortunately the bathroom really let this 
room down. The shower curtain was dirty. The fixtures in the bath were 
discoloured and generally looked unclean. The sink also needed a good 
clean. Scum marks everywhere, the bathroom needs a complete refit. If I 
paid the original £169.00 they were asking for this room I would have been 
very disappointed I have stayed in far cleaner hotels for less. For anyone 
who has to arrive late its good to know that the Bar is open 24 hours and 
snack food is available 24 hours also. We did…Read moreReview collected in 
partnership with TravelodgeDate of stay: September 2019HelpfulShare</t>
  </si>
  <si>
    <t>Sibel wrote a review Jun 20193 contributions</t>
  </si>
  <si>
    <t>Wonderful ExperienceThe hotel was new, clean and staff were very professional. The room was 
lovely, spacious and bright and fully equipped with all the essential 
amenities. A great shower room, with space to move! Air con was modern and 
fairly quietRead moreReview collected in partnership with this hotelDate of 
stay: June 2019HelpfulShare</t>
  </si>
  <si>
    <t>https://www.tripadvisor.co.uk/Hotel_Review-g186338-d193057-Reviews-or650-Travelodge_London_Covent_Garden-London_England.html#REVIEWS</t>
  </si>
  <si>
    <t>craig93 wrote a review Sep 2019Oxfordshire, United Kingdom84 
contributions20 helpful votes</t>
  </si>
  <si>
    <t>nicolamD4663RP wrote a review Jun 2019Plymouth3 contributions1 helpful vote</t>
  </si>
  <si>
    <t>Cheap but nastyJust because it’s cheaper than most places in London doesn’t mean it has to 
be nasty! I paid over 100 gbp a night and felt let down. In my part of the 
hotel the carpets in the passage were old and marked. My bathroom basin was 
damaged and it never had a plug. Who on earth still uses shower curtains? 
You know those annoying things that stick to you when you’re trying to 
shower? Well they do...there should be a certain minimum standard for 
accommodation in London and I’m afraid this isn’t it. Honestly I’d rather 
consider other hotels in this range and avoid this one if you can.Read 
moreDate of stay: September 2019HelpfulShareResponse from TravelodgeUK, 
Niki from The Social Media Team at Travelodge London Covent GardenResponded 
8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</si>
  <si>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Excellent stayAfter not having much to say about previous stays at other Travelodges I 
found this particular Travelodge excellent. It was good value and very 
close to two underground tube stations. Would definitely recommend this 
one.Read moreDate of stay: June 2019HelpfulShare</t>
  </si>
  <si>
    <t>S000023 wrote a review Sep 20191 contribution</t>
  </si>
  <si>
    <t>Masondennis wrote a review Jun 20197 contributions</t>
  </si>
  <si>
    <t>Great locationReally nice hotel. Rooms clean and tidy. Comfy beds and good size bathroom. 
Friendly staff. Good selection of food for breakfast. Right near a tube 
station so easy to get around. Nice location with a good selection of 
restaurants nearby.Read moreDate of stay: May 2019HelpfulShare</t>
  </si>
  <si>
    <t>Just okayStayed here for a weekend in July for a hen do. It’s met the needs for the 
weekend though was also very hot due to the weather and no air con, but we 
did know about that before we got there. The room was big enough for 3 
adults though we had two in the double bed and one on the small put me out 
beds. As they were very small and not very comfy. I am not sure why they 
couldn’t of just put two double beds in. The only issue I had in my stay 
was that I had a power bank go missing. I did not take it out of the room, 
however it was not there to pack on my return. When contacting, I found 
that they were not that helpful and it is still missing.Read moreDate of 
stay: July 2019HelpfulShare</t>
  </si>
  <si>
    <t>RBW wrote a review Sep 201914 contributions9 helpful votes</t>
  </si>
  <si>
    <t>https://www.tripadvisor.co.uk/Hotel_Review-g186338-d13569031-Reviews-or570-Travelodge_London_City_hotel-London_England.html#REVIEWS</t>
  </si>
  <si>
    <t>Krzysztof B wrote a review Jun 20191 contribution</t>
  </si>
  <si>
    <t>Shabby, smelly, had to make own bedHad to make up own bed - it only had a sheet on it. Duvet (and suspect 
looking cover) was in a tatty bag in the wardrobe. Room smelled musty and 
mildewy. Window filthy - so much so there was previous occupants art work 
etched on the windows. I'd avoid it. All this for over £130Read moreDate of 
stay: September 2019HelpfulShareResponse from TravelodgeUK, Shaf from the 
Social Media Team. at Travelodge London Covent GardenResponded 8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</si>
  <si>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Group visitThank you very much for all the help and assisstance. Excellent place and 
exceptionally friendly staff, in particular Mr Nasa who was exceptionally 
helpful and gentle. Very clean ace, good breeakfast. Excellent location 5 
minute walk to the Tower Bridge, Spitafields, etc.Read moreDate of stay: 
June 2019HelpfulShare</t>
  </si>
  <si>
    <t>Sorellina wrote a review Jun 2019Lytham St Anne's, United Kingdom1,160 
contributions240 helpful votes</t>
  </si>
  <si>
    <t>Bargain!Somehow, I managed to get a Friday night, super room here for £62 which is 
astonishingly cheap for Central London so my expectations were not high! 
However, I was so pleasantly surprised! Staff were friendly and helpful, 
although small, the room was spotlessly clean and well equipped and it was 
exceptionally quiet. A couple of minutes walk from the Tube at Aldgate and 
not too far to stroll up to Spitalfields market and beyond into Hoxton so 
plenty of places to eat, drink and shop nearby. We didn’t sample the 
restaurant at all but it looked new and nicely done. Highly recommended if 
you can get a good weekend deal.Read moreDate of stay: June 20191 Helpful 
voteHelpfulShare</t>
  </si>
  <si>
    <t>https://www.tripadvisor.co.uk/Hotel_Review-g186338-d1812157-Reviews-or105</t>
  </si>
  <si>
    <t>Local_Tourist_Derby wrote a review Sep 2019Derby, United Kingdom6 
contributions1 helpful vote</t>
  </si>
  <si>
    <t>FMB041 wrote a review Jun 2019Ninole, Hawaii26 contributions15 helpful votes</t>
  </si>
  <si>
    <t>Overnight for theatreOvernight with child for theatre visit and some shopping. Hotel just 5 
minute walk from theatre land so it was perfect for us. Great location, 
close to tube and shopping in Covent Garden. Breakfast good standard and 
overall great value. Some small issues with cleanliness in the room but 
nothing that would put me off. To us a bed is a bed. I don’t believe in 
spending huge amounts on hotels. Ultimately it’s just a travel lodge. But 
it’s a good one, well placed and we received good service. We will stay 
here again. Good value for money. Might not be for you if you like to find 
a chocolate on your pillow.Read moreDate of stay: August 2019HelpfulShare</t>
  </si>
  <si>
    <t>Clean, quiet,safe.I was hesitant, but now so happy I chose this hotel. It’s safe, it’s 
spotlessly clean, it’s quiet. A few grocery stores nearby for snacks, but 
the cafe is so reasonable I ate there. I’m traveling with a 15 year old 
girl and she also likes the hotel. The reception crew(Becky and Sultana) 
were pleasant and happy to sort me out when I wished to amend my booking. 
Inexpensive doesn’t have to mean dreadful, as this wonderful Travelodge 
proves. Let your fingers fly to book here without hesitation.Read moreDate 
of stay: June 20191 Helpful voteHelpfulShare</t>
  </si>
  <si>
    <t>Ashley wrote a review Sep 2019Scotland10 contributions6 helpful votes</t>
  </si>
  <si>
    <t>martinsnos wrote a review Jun 2019Bristol, United Kingdom333 
contributions49 helpful votes</t>
  </si>
  <si>
    <t>Budget hotel - don’t hesitate to bookClean budget hotel. Some rooms have no view of street but a bonus if you 
like it quiet. Found internally the rooms were well insulated for noise 
too. Aldgate station (Circle Line) is really close. You could walk to many 
London landmarks really easily.Read moreDate of stay: June 2019HelpfulShare</t>
  </si>
  <si>
    <t>Rooms like a prison cellI stayed here for one night, for work. My room cost £125. I had one plug 
socket in the room, located in the very far corner, away from the bed and 
sitting area. One letter box sized window, that allowed in next to no light 
and the bed was as hard as a plank of wood. My room was located in a 
separate building, away from the main hotel and it was down so far, that no 
mobile reception was possible. The hotel only offered 30 mins free WiFi. 
Not suitable for work arrangements, at all. I would never stay here again. 
Outdated, poor services and a rip off.Read moreDate of stay: September 
2019HelpfulShareResponse from TravelodgeUK, Tilly from The Social Media 
Team at Travelodge London Covent GardenResponded 11 Sep 2019Thank you for 
your review of our London Covent Garden hotel. We are sorry to learn that 
you were disappointed with your room and the Wifi Extra. We do not include 
the cost of this extra in our room rates unlike some of our competitors as 
we believe this allows our guests to pay for the services they need so we 
can continue to offer great room rates. This extra is non-refundable as 
guests are able to redeem this at any of our UK hotels if not used during 
their stay We will pass your comments to the hotel team and hope to welcome 
you back soonRead more</t>
  </si>
  <si>
    <t>https://www.tripadvisor.co.uk/Hotel_Review-g186338-d13569031-Reviews-or575-Travelodge_London_City_hotel-London_England.html#REVIEWS</t>
  </si>
  <si>
    <t>https://www.tripadvisor.co.uk/Hotel_Review-g186338-d193057-Reviews-or655-Travelodge_London_Covent_Garden-London_England.html#REVIEWS</t>
  </si>
  <si>
    <t>scubiechick wrote a review Sep 2019Broadstairs, United Kingdom14 
contributions25 helpful votes</t>
  </si>
  <si>
    <t>Central LocationTicked all the boxes , central location . Very Clean . Very competitive 
prices on the bar and food menus although we did not utilize these 
facilities. I would recommend this as a place to stay and would stay here 
again. here again.Read moreDate of stay: September 2019HelpfulShare</t>
  </si>
  <si>
    <t>Sightsee50880034554 wrote a review Jun 20191 contribution</t>
  </si>
  <si>
    <t>pommyb wrote a review Sep 2019Perth, Australia2 contributions</t>
  </si>
  <si>
    <t>Money well spentI wasn't expecting much from a hotel at this price range but was very 
surprised. It felt new and was clean and the staff was helpful. Also good 
communications from Aldgate, Aldgate East and Liverpool Street Station. 
Would recommend to anyone.Read moreReview collected in partnership with 
TravelodgeDate of stay: May 2019HelpfulShare</t>
  </si>
  <si>
    <t>Chribek wrote a review Jun 2019Mansfield, United Kingdom13 contributions</t>
  </si>
  <si>
    <t>Wouldn't go backSuper room was SUPER SMALL and dark/dismal. Took 2 days to get the shower 
soap dispenser fixed. Breakfast was OK but no fried eggs, bacon was cooked 
in very large quantities, quite a lot of it was hardly cooked and it was 
covered in white bits which made it look very unappetisingRead moreReview 
collected in partnership with TravelodgeDate of stay: August 
2019HelpfulShareResponse from TravelodgeUK, Tilly from The Social Media 
Team at Travelodge London Covent GardenResponded 11 Sep 2019Thank you for 
your feedback about our London Covent Garden hotel. We are sorry to hear of 
your disappointment with your room, if the food offered in our bar cafe did 
not meet your expectations. Offering our guests a great experience is very 
important to us and we are sorry that this was not the case. We will pass 
your comments to the hotel team to help improve the service that we offer 
and we hope to welcome you back soonRead more</t>
  </si>
  <si>
    <t>Hashtag_Lola wrote a review Sep 20193 contributions2 helpful votes</t>
  </si>
  <si>
    <t>Great locationThis hotel was in a great location, plenty of bars and restaurants in the 
area and just around the corner from the tube station. It was spotlessly 
clean, although it is new. The staff were friendly and helpful ( apart from 
the lady cleaning the restaurant at breakfast, must be a stressful job? ). 
The breakfast was good, lots of choice but the coffee machines are slow and 
only one was in use both mornings we were there.Read moreReview collected 
in partnership with TravelodgeDate of stay: June 2019HelpfulShare</t>
  </si>
  <si>
    <t>allotmentlady10 wrote a review Jun 2019Tewkesbury5 contributions1 helpful 
vote</t>
  </si>
  <si>
    <t>Do not stay in the family rooms in winter or summer!I have stayed here in summer and winter now in the family rooms which are 
located in the second building of this hotel. This second building has no 
way of regulating the temperatures at all. I stayed here with two friends 
during winter and we froze during the night, we asked for extra duvets and 
about two hours afterwards sometime in the early hours they did manage to 
find us a duvet but at this point we were all in one bed with our hats, 
gloves, scarfs and coats on in bed. Our recent stay was unbearable this 
summer, the room was so hot and the window only opened a crack. You would 
be called cruel to leave a dog in this heat yet here travelodge are, 
charging us a fortune to stay in London over night in a room which was too 
hot to sleep in. We went to reception to ask for a fan…Read moreReview 
collected in partnership with TravelodgeDate of stay: August 
2019HelpfulShareResponse from Ben T, Tilly from The Social Media Team at 
Travelodge London Covent GardenResponded 11 Sep 2019Thank you for 
submitting your review of our London Covent Garden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</si>
  <si>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Great price in the City of LondonCan't go wrong at the price we paid. Quiet, very clean room, with tea &amp; 
coffee making facilities WiFi &amp; TV. Keycard entry at night which makes you 
feel extra secure.Only a few minutes walk from the tube,Read moreReview 
collected in partnership with TravelodgeDate of stay: June 2019HelpfulShare</t>
  </si>
  <si>
    <t>Nellie wrote a review Sep 20191 contribution1 helpful vote</t>
  </si>
  <si>
    <t>Ella B wrote a review Jun 2019Cambridge, United Kingdom28 contributions2 
helpful votes</t>
  </si>
  <si>
    <t>Wonderful stayHotel was lovely, room was absolutely spotless and hotel too. All staff 
were helpful &amp; happy especially Emma, Tyrone, Sergio and Kamila. Breakfast 
was good, location was ideal for what we needed with tubes near by - we 
definitely will stay again. :)Read moreDate of stay: June 2019HelpfulShare</t>
  </si>
  <si>
    <t>Super rooms are not superWe have stayed here before so this time thought we would try a super rooms. 
The shower was dirty with awful curtain that didn't fit the cubicle so the 
bathroom flooded. The bedroom table was sticky with the tray for kettle and 
cups had coffee that had been splilt from previous guests which hadn't been 
cleaned. The ordinary rooms are much better super rooms.Read moreDate of 
stay: August 2019HelpfulShareResponse from TravelodgeUK, Tilly from The 
Social Media Team at Travelodge London Covent GardenResponded 6 Sep 
2019Thank you for your review of our London Covent Garden hotel. We are 
sorry to hear of your disappointment with the cleanliness of your room and 
we will be sure to pass your feedback to the hotel team to help improve the 
service that we offer. We hope to welcome you back soonRead more</t>
  </si>
  <si>
    <t>https://www.tripadvisor.co.uk/Hotel_Review-g186338-d13569031-Reviews-or580-Travelodge_London_City_hotel-London_England.html#REVIEWS</t>
  </si>
  <si>
    <t>RodolfoHidalgo wrote a review Jun 2019New Delhi, India10 contributions4 
helpful votes</t>
  </si>
  <si>
    <t>https://www.tripadvisor.co.uk/Hotel_Review-g186338-d193057-Reviews-or660-Travelodge_London_Covent_Garden-London_England.html#REVIEWS</t>
  </si>
  <si>
    <t>Very helpful staffWhen my wife and I reached our checking time was to be waited for 3 hours. 
Otherwise we had to pay for earlier checking. I understood that as very 
"English". The rooms were ready so I thought some exception could be done 
since our flight came earlier than expected but...Prash knows very well the 
city and he helped us greatly in reaching places in alternative ways.Read 
moreDate of stay: May 2019HelpfulShare</t>
  </si>
  <si>
    <t>beccasangel wrote a review Jun 2019Leicester, United Kingdom1 contribution</t>
  </si>
  <si>
    <t>davquayle wrote a review Sep 2019Abingdon, United Kingdom57 contributions19 
helpful votes</t>
  </si>
  <si>
    <t>Great hotel lovely staff clean throughout good selective bar and always 
seems to be open the rooms are immaculately cleGreat hotel clean comfy friendly wouldn’t stay anywhere else ! Been to many 
in London this is now my number one choice breakfast great and well worth 
the money good selection to choose from self service ��Read moreReview 
collected in partnership with this hotelDate of stay: May 2019HelpfulShare</t>
  </si>
  <si>
    <t>Overnight Stay for Theatre TripThis budget hotel is well located for an overnight stay in London if you 
are going to a show in Theatreland. But you get what you pay for which is a 
basic clean and tidy room but not much more. The staff were friendly and 
helpful. The breakfast was adequate.Read moreDate of stay: September 
2019HelpfulShare</t>
  </si>
  <si>
    <t>melvyn19492016 wrote a review Sep 2019Huddersfield, United Kingdom6 
contributions2 helpful votes</t>
  </si>
  <si>
    <t>WalesMidwife wrote a review Jun 2019wales37 contributions14 helpful votes</t>
  </si>
  <si>
    <t>Disappointed visitorCleanliness has deteriorated since our stay last year. Room looked as 
though it hadn't cleaned from properly from previous guests. Bathroom not 
cleaned properly , marks on back of bathroom door that looked like dried 
soap, Dirt in tap grooves, all in all very disappointed . Food was poorly 
prepared compared to previous visit.Read moreReview collected in 
partnership with TravelodgeDate of stay: August 2019HelpfulShareResponse 
from TravelodgeUK, James from the Social Media Team at Travelodge London 
Covent GardenResponded 4 Sep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</si>
  <si>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DelightedWill definitely return to this hotel. Every staff member was eager to help 
and greeted you with a smile. The decor was modern and clean. The bed was 
very comfy and the shower was hot and powerful. Only thing i wasn’t keen on 
was the shower curtain, as opposed to a screen, but definitely not a deal 
breaker. We arrived early but they were happy to store our bags until our 
book in. The bar looked lovely and the breakfast menu looked inviting. The 
area felt safe and was a 3 minute walk from Aldgate tube station. Cant 
fault it !Read moreDate of stay: June 2019HelpfulShare</t>
  </si>
  <si>
    <t>Marcel T wrote a review Sep 2019Halifax Regional Municipality, Canada8 
contributions5 helpful votes</t>
  </si>
  <si>
    <t>Great location!Great value in a perfect location. It's a pretty basic spot, but safe, 
clean and comfortable and close to everything. If you want a 
reasonably-priced room that's centrally located, this is hard to beat.Read 
moreReview collected in partnership with TravelodgeDate of stay: August 
2019HelpfulShare</t>
  </si>
  <si>
    <t>emj0nes10 wrote a review Sep 20191 contribution</t>
  </si>
  <si>
    <t>https://www.tripadvisor.co.uk/Hotel_Review-g186338-d13569031-Reviews-or585-Travelodge_London_City_hotel-London_England.html#REVIEWS</t>
  </si>
  <si>
    <t>A nice area to staya basically good hotel, good value, needed a little improvement to the room 
and bathroom though we were comfortable. We would stay here again, as is a 
good location, and we were at the back of the hotel and reasonably 
quiet.Read moreReview collected in partnership with TravelodgeDate of stay: 
August 2019HelpfulShare</t>
  </si>
  <si>
    <t>Camper56576239207 wrote a review Jun 2019County Galway, Ireland1 
contribution</t>
  </si>
  <si>
    <t>https://www.tripadvisor.co.uk/Hotel_Review-g186338-d193057-Reviews-or665-Travelodge_London_Covent_Garden-London_England.html#REVIEWS</t>
  </si>
  <si>
    <t>Short holiday in LondonExcellent hotel with friendly staff. Well located for tourists on a 
sightseeing trip to London given its location within 10 minute walk from 
Liverpool Street train station and even closer to two tube stations at 
Aldgate and Aldgate East. Tower of London less than 15 minute walk from 
hotel which is on travel route for all hop-on, hop-off sightseeing tour 
buses.Read moreReview collected in partnership with TravelodgeDate of stay: 
June 2019HelpfulShare</t>
  </si>
  <si>
    <t>Adventure08662021844 wrote a review Jun 2019Cardiff, United Kingdom1 
contribution</t>
  </si>
  <si>
    <t>AuntiePear wrote a review Sep 2019Liverpool, United Kingdom17 contributions</t>
  </si>
  <si>
    <t>Weekend awayBooked the family room for my mother, sister and myself to share. Very 
clean and tidy room. Well stocked with towel+tea, coffee etc. Friendly and 
helpful staff. Close to the underground to get into the centre. Lovely food 
with clean and tidy dining area. Very happy with our stay.Read moreReview 
collected in partnership with this hotelDate of stay: May 2019HelpfulShare</t>
  </si>
  <si>
    <t>Hoppingrtw wrote a review Jun 2019Portsmouth108 contributions29 helpful 
votes</t>
  </si>
  <si>
    <t>Just what was neededThere was everything we needed here. We paid for the superior room so we 
had the stuff we needed in the room, we didn’t have to ask for anything. 
The room was nice and clean, the only down was I was hoping for a bath &amp; 
there was only a shower. Super easy check in, plenty of points to check in 
I think there were 5members of staff checking people in, which made it so 
easy. Then at check out the reception area was full of people, yet it took 
us 2minutes to actually speak to staff. Disabled access was round the side 
of the building, which was a bit of a walk round to reception. But there 
were 2 lifts which where pretty big which was good, so we didn’t have to 
wait for an empty lift to get the chair in. Any staff we passed always said 
hello, and good morning. Pleasant and…Read moreDate of stay: August 
2019HelpfulShare</t>
  </si>
  <si>
    <t>Great hotel!Perfect location near tower bridge and 2 minutes to the nearest tube 
station. Clean rooms just right for what we needed. Staff were friendly on 
arrival and we will definitely be returning on another trip to London!Read 
moreReview collected in partnership with this hotelDate of stay: May 
2019HelpfulShare</t>
  </si>
  <si>
    <t>derekf401 wrote a review Jun 2019Newtonhill3 contributions1 helpful vote</t>
  </si>
  <si>
    <t>Julie S wrote a review Sep 2019Arlington, Virginia29 contributions9 helpful 
votes</t>
  </si>
  <si>
    <t>Great HotelGreat hotel. Location is also great . . .minutes from Aldgate &amp; Aldgate 
East tube stations. Hotel is new . . . Really modern &amp; clean. Breakfast was 
really good. Overall . . . Brilliant value for moneyRead moreReview 
collected in partnership with this hotelDate of stay: June 2019HelpfulShare</t>
  </si>
  <si>
    <t>The price can't be beat for the locationThis hotel is a steal for the location. Stayed in a Superior room which was 
clean, quiet and can't be beat for location in London, especially at that 
price. Easing walking distance to tube station and great food and 
theaters.Read moreDate of stay: August 2019HelpfulShare</t>
  </si>
  <si>
    <t>https://www.tripadvisor.co.uk/Hotel_Review-g186338-d13569031-Reviews-or590-Travelodge_London_City_hotel-London_England.html#REVIEWS</t>
  </si>
  <si>
    <t>Peter D wrote a review Sep 2019Birmingham, United Kingdom36 contributions33 
helpful votes</t>
  </si>
  <si>
    <t>Traveler244771 wrote a review Jun 20192 contributions</t>
  </si>
  <si>
    <t>Terrible LodgeWe stayed here for 3 nights and I wont be staying here again. 1 The cleaner 
never cleaned the room or made up the beds even though I requested it, I 
had to go to reception for toilet paper and clean towels. 2. The room was 
dirty with marks on the carpet. 3. The wifi didn't work even though I paid 
for it when I complained to reception they said that's the way it is. 4. 
Its very noisy place to stay from the street and the hotel. 5. Rooms are 
very hot hardly any ventilation. 6. The breakfast is very basic and not 
worth the money. 7. The window in the bedroom was that dirty you could 
hardly see through it DISGUSTING ! Lots of complaints to reception guess 
what nothing was done at all to sort any of the problems out.Read 
moreReview collected in partnership with TravelodgeDate of stay: August 
20191 Helpful voteHelpfulShareResponse from Ben T, Niki from The Social 
Media Team at Travelodge London Covent GardenResponded 9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</si>
  <si>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Very satisfied customersIt was our first stay in Travelodge London City and we will definitely stay 
again. The staff were so friendly &amp; professional. The room was modern, 
spotless and had all the facilities needed for our stay including air con. 
It was also very quiet.Read moreReview collected in partnership with this 
hotelDate of stay: June 2019HelpfulShare</t>
  </si>
  <si>
    <t>Sunshine35007499974 wrote a review Sep 2019Kidlington, United Kingdom1 
contribution</t>
  </si>
  <si>
    <t>Erin wrote a review Jun 2019Ashington, United Kingdom6 contributions3 
helpful votes</t>
  </si>
  <si>
    <t>Couldn’t fault it!This is the second time we’ve stayed at this hotel and we absolutely love 
it! It is so quiet and so clean. The rooms are spacious, the staff are 
friendly and the location is ideal. An added bonus is the hotel being 
situated between two tube stations (Aldgate and Aldgate East) but during 
our stay this time both were shut on the Saturday and Sunday so we had to 
walk 10 minutes to Liverpool Street station.Read moreDate of stay: May 
2019HelpfulShare</t>
  </si>
  <si>
    <t>one night staygreat location for convent gardens and theaters.Travelodge with good bar 
and cafe if you need it.Rooms good size and clean and freindly staff and 
when you neede it.All in good walking distance for bars and restaurants and 
points of interestRead moreReview collected in partnership with 
TravelodgeDate of stay: August 2019HelpfulShare</t>
  </si>
  <si>
    <t>Lynsey T wrote a review Sep 2019Gosport, United Kingdom12 contributions</t>
  </si>
  <si>
    <t>https://www.tripadvisor.co.uk/Hotel_Review-g186338-d13569031-Reviews-or595-Travelodge_London_City_hotel-London_England.html#REVIEWS</t>
  </si>
  <si>
    <t>Love2travel898 wrote a review Jun 2019London, United Kingdom76 
contributions28 helpful votes</t>
  </si>
  <si>
    <t>OKChecked in to this hotel on a weekend break. First impressions were on the 
location - it is very central and close to loads of London attractions. The 
room itself was average (we were in room 710) - nothing special. We had to 
ask bath mats which apparently this hotel does not supply usually! They 
gave a us another hand towel instead. Also, the shower head sprayed in a 
lot of directions when it was switched on! The coffee wasn't replenished 
when the room was made up which usually happens, but you could collect more 
from reception. There is no hairdryer in the room, but on asking reception 
we were given one. Breakfast - had a good selection, and a good amount of 
staff. The rooms are not sound proofed particularly well, and we could hear 
the TV from the room next door. …Read moreDate of stay: August 
2019HelpfulShare</t>
  </si>
  <si>
    <t>Great HotelMy husband and I stayed here for 1 night. We paid an extra £10 to check in 
early. The room was perfect for what we needed. It was clean, the lighting 
was fine, shower was great. We also had breakfast the next morning, lovely 
buffet to set you up for the day. A variety of hot and cold food. I would 
definitely stay here again. Thank you.Read moreDate of stay: June 
2019HelpfulShare</t>
  </si>
  <si>
    <t>Connector102060 wrote a review Jun 2019Headingley, United Kingdom1 
contribution</t>
  </si>
  <si>
    <t>https://www.tripadvisor.co.uk/Hotel_Review-g186338-d193057-Reviews-or670-Travelodge_London_Covent_Garden-London_England.html#REVIEWS</t>
  </si>
  <si>
    <t>Convenient and comfortableFive minutes walk from Aldgate station but away from the noise of Aldgate 
traffic this Travelodge provides quiet and comfortable rooms. Everything is 
clean and up to date (the Travelodge is only six months old). Ten minutes 
walk from the Tower of London and St Katherine's Dock it is ideally placed 
for exploring the City. A number of high quality restaurants are also 
within easy walking distance. We will stay there again for our next 
visit.Read moreReview collected in partnership with this hotelDate of stay: 
May 2019HelpfulShare</t>
  </si>
  <si>
    <t>Dreamer23246696983 wrote a review Sep 20192 contributions</t>
  </si>
  <si>
    <t>Zebrapies wrote a review Jun 2019Norwich, United Kingdom34 contributions11 
helpful votes</t>
  </si>
  <si>
    <t>Great stay in a well priced hotel.We was really pleased with our stay at this Travelodge. The location was 
great and right near a tube stop. The room seemed quite new, was very clean 
and even had USB charging areas which was appreciated. Had no problems with 
noise, the bed was comfy and we had a great night sleep. Very pleased with 
our stay.Read moreDate of stay: June 20191 Helpful voteHelpfulShare</t>
  </si>
  <si>
    <t>Great locationGreat location , rooms were clean . I paid a bit more for the superior room 
very happy with it. Great night sleep. Met other guests who had been 
staying for years and loved it. Great stay so good I’ve booked again . 
Great for Heathrow too as the tube is direct and only a short eat walk to 
Holborn .Read moreReview collected in partnership with TravelodgeDate of 
stay: August 2019HelpfulShare</t>
  </si>
  <si>
    <t>SLF31 wrote a review Jun 2019Scunthorpe, United Kingdom195 contributions30 
helpful votes</t>
  </si>
  <si>
    <t>2Mays wrote a review Sep 2019Veligandu22 contributions7 helpful votes</t>
  </si>
  <si>
    <t>An ok stayThis wasn’t the best travelodge we’ve stayed it. It was a reasonable price 
and to have it just as a base for getting ready was fine. It was quite 
noisy and pretty run down, compared to some of the travelodge which have 
been revamped. The bathroom didn’t feel overly clean, we only had one towel 
and the shower was pretty rubbish. The location was good however - walking 
distance to lots of areas and also the tube was a two minute walk. The 
staff were friendly and helpful and we could leave our bags there till it 
was time to check in. Not a brilliant hotel and I wouldn’t pay much to stay 
there but if you can get a good deal the location is good!Read moreDate of 
stay: June 2019HelpfulShareResponse from TravelodgeUK, James from the 
Social Media Team at Travelodge London City hotelResponded 5 Jun 2019Thank 
you for reviewing our Travelodge London City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</si>
  <si>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Excellent Stay.A last minute booking, wasn’t sure what to expect as hadn’t stayed in a 
Travelodge before. We were pleasantly surprised. Location excellent, 5 mins 
walk from Holborn and 5 mins to Covent Garden Square) we stayed in the 
Drury Lane building (note this side has air con). Room was spacious and 
clean. No frills but everything we needed for an overnight stay. Tea and 
coffee making facilities. Quick and easy checkin and we where able to 
checkin at midday. Also area to leave luggage the following morning so we 
could enjoy the day without bags. Buffet breakfast was included, which was 
good quality and plentiful.Read moreDate of stay: September 2019HelpfulShare</t>
  </si>
  <si>
    <t>https://www.tripadvisor.co.uk/Hotel_Review-g186338-d13569031-Reviews-or600-Travelodge_London_City_hotel-London_England.html#REVIEWS</t>
  </si>
  <si>
    <t>markleonardowen wrote a review Sep 20191 contribution</t>
  </si>
  <si>
    <t>Gary wrote a review Jun 2019Stoke-on-Trent, United Kingdom5 contributions</t>
  </si>
  <si>
    <t>Convent GardenOn the outside this hotel looks like an old office block. On the inside 
it’s little better. It’s a functional space. But it’s comfortable and 
clean. Staff are very friendly and the room was just the job. If you want a 
room with a view, then look elsewhere and pay much more. For my stay this 
was ideal.Read moreReview collected in partnership with this hotelDate of 
stay: May 2019HelpfulShare</t>
  </si>
  <si>
    <t>Concert visitThis is a great place to stay. Very reasonably priced considering its great 
location to visit London. The tube station is a 5 minute walk. Rooms were 
very clean &amp; comfortable. It has a decent bar area with a good range of 
drinks.Read moreReview collected in partnership with TravelodgeDate of 
stay: May 2019HelpfulShare</t>
  </si>
  <si>
    <t>pammyb571 wrote a review Sep 20198 contributions4 helpful votes</t>
  </si>
  <si>
    <t>Vacationer680858 wrote a review Jun 20192 contributions1 helpful vote</t>
  </si>
  <si>
    <t>Overnight stayGood location if your going to a show which we were, rooms are clean and 
tidy, evening meal was okay, breakfast was good, staff were friendly, we 
only went for one night so our experience was a good oneRead moreDate of 
stay: August 2019HelpfulShare</t>
  </si>
  <si>
    <t>Excellent budget overnight stay!Was just in London overnight for a couples retreat. Staff were all 
welcoming and very helpful. You wont find a better budget hotel so 
centrally located and close to the underground. Fabulous and will 
definitely recommend to anyone, we will be returning too.Read moreReview 
collected in partnership with TravelodgeDate of stay: June 2019HelpfulShare</t>
  </si>
  <si>
    <t>Blake P wrote a review Jun 2019Bredon, United Kingdom1 contribution</t>
  </si>
  <si>
    <t>https://www.tripadvisor.co.uk/Hotel_Review-g186338-d193057-Reviews-or675-Travelodge_London_Covent_Garden-London_England.html#REVIEWS</t>
  </si>
  <si>
    <t>PerfectGreat easy to book at last minute. Nice room clean and tidy with everything 
you need for a few nights in London. Location was a few minute walk for a 
choice of two underground stations. Friendly staff &amp; good breakfast.Read 
moreReview collected in partnership with this hotelDate of stay: May 
2019HelpfulShare</t>
  </si>
  <si>
    <t>Gordon B wrote a review Sep 2019Barry, United Kingdom121 contributions60 
helpful votes</t>
  </si>
  <si>
    <t>Rebecca3000 wrote a review Jun 2019Retford, United Kingdom5 contributions6 
helpful votes</t>
  </si>
  <si>
    <t>Spot onClean, comfortable and quiet - very quick walk to the Tower. Rest of 
London's main attractions are in the West but the tube is only round the 
corner and your soon there - part of the London experience to use the 
underground. Found prices in hotel very reasonableRead moreReview collected 
in partnership with this hotelDate of stay: May 2019HelpfulShare</t>
  </si>
  <si>
    <t>DisappointingHaving stayed in many Travelodge’s over the years we thought Travelodge 
Covent Garden would be a reasonable choice on our visit to London. 
Significantly costlier than others we assumed this was due to location and 
the usual Travelodge standards would be present. Sadly this was not the 
case. If you are looking to stay here ensure you check it is the Drury Lane 
Travelodge and not Holborn Road as they are worlds apart in standards. 
Family rooms are in the Holborn Road site which was extremely poor. No air 
conditioning, which on a 30 degree weekend was very uncomfortable with four 
in a room. Windows were filthy, no lock on bathroom door, cracked sink and 
several stains in the corridors that looked like they were from over 
indulging guests! I did ask if we could change rooms, for…Read moreDate of 
stay: August 2019HelpfulShareResponse from TravelodgeUK, Niki from The 
Social Media Team at Travelodge London Covent GardenResponded 2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</si>
  <si>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https://www.tripadvisor.co.uk/Hotel_Review-g186338-d13569031-Reviews-or605-Travelodge_London_City_hotel-London_England.html#REVIEWS</t>
  </si>
  <si>
    <t>Resort62984975791 wrote a review Jun 2019London, United Kingdom2 
contributions</t>
  </si>
  <si>
    <t>Excellent Stay AgainStayed at this Travelodge several times now, always a good experience. Very 
close to Aldgate East Station and a short walk to Liverpool Street. Check 
In was quick and easy. Food and drink available 24hrs a day.Read moreReview 
collected in partnership with this hotelDate of stay: May 2019HelpfulShare</t>
  </si>
  <si>
    <t>z400d3 wrote a review Aug 20191 contribution</t>
  </si>
  <si>
    <t>Nomad17743559434 wrote a review Jun 2019Margate, United Kingdom1 
contribution</t>
  </si>
  <si>
    <t>Travelodge London Covent GardenFriendly staff and a very good location (short walk from Holborn tube 
station) The rooms were both clean and tidy with air conditioning and a 
good shower Good area to be based from for seeing the shows and/or general 
sight seeingRead moreReview collected in partnership with TravelodgeDate of 
stay: August 2019HelpfulShare</t>
  </si>
  <si>
    <t>London City TravelodgeFriendly and helpful staff , nice clean and comfortable room. Good location 
, nice breakfast.Breakfast served over good time span , WIFI could be 
better , but overall very good.Only other thing is the shower is ok but 
could be a little hotter and more powerfull.But again overall Travelodge 
are good.Read moreReview collected in partnership with TravelodgeDate of 
stay: June 2019HelpfulShare</t>
  </si>
  <si>
    <t>mavis v wrote a review Aug 2019Pontefract, United Kingdom4 contributions8 
helpful votes</t>
  </si>
  <si>
    <t>Odyssey38282140993 wrote a review Jun 20191 contribution</t>
  </si>
  <si>
    <t>Brand New hotelThis time the hotel was brand new with exceptionally BRILLIANT staff peps 
Breakfast was good, the kitchen and staff were excellent. The only thing 
that the serving glasses are small i wonder why otherwise is great.Read 
moreReview collected in partnership with TravelodgeDate of stay: June 
2019HelpfulShare</t>
  </si>
  <si>
    <t>good location for theatre,Hotel overall was good, location very good for theatres, covent garden 
centre and tube stations.We had a fabulous view of London landmarks from 
our 13th floor room. One downside,.instead of 2 sets of steps leading up to 
the reception area. there should be a ramp option. When using the luggage 
room, clients should not have to pull heavy suitcases up several steps.Read 
moreReview collected in partnership with TravelodgeDate of stay: August 
2019HelpfulShare</t>
  </si>
  <si>
    <t>wendys04 wrote a review Aug 2019Bedford, United Kingdom2 contributions1 
helpful vote</t>
  </si>
  <si>
    <t>https://www.tripadvisor.co.uk/Hotel_Review-g186338-d13569031-Reviews-or610-Travelodge_London_City_hotel-London_England.html#REVIEWS</t>
  </si>
  <si>
    <t>https://www.tripadvisor.co.uk/Hotel_Review-g186338-d1812157-Reviews-or110</t>
  </si>
  <si>
    <t>Spoons18 wrote a review Jun 2019Telford, United Kingdom18 contributions15 
helpful votes</t>
  </si>
  <si>
    <t>Excellent value when booking early, superb staff all very friendly and 
helpful allowing a bag drop off prior to checkingSuperb venue for theatre as is right in the heart of theatreland. Staff are 
great and allowed very early bag drop off prior to checking in. Only 
drawback is getting up a lot of steps to get into the hotel if you have 
difficulty with stairs as I did following an operation.Read moreReview 
collected in partnership with TravelodgeDate of stay: August 
2019HelpfulShare</t>
  </si>
  <si>
    <t>Great location, no noiseThis hotel was a great price. The hotel is in Whitechapel and only a short 
walk from Aldgate and Aldgate East station. We didn't have the breakfast at 
the hotel as it was better value for us to eat at Wetherspoons. 
Wetherspoons is only a 5 minute walk from the hotel. Staff at the hotel are 
friendly and the best for us was no noise from inside or outside the hotel, 
when we were in our room. We slept really well. We will definitely stay 
again.Read moreReview collected in partnership with TravelodgeDate of stay: 
May 2019HelpfulShare</t>
  </si>
  <si>
    <t>AyrshireJenice wrote a review Jun 2019Prestwick, United Kingdom25 
contributions14 helpful votes</t>
  </si>
  <si>
    <t>https://www.tripadvisor.co.uk/Hotel_Review-g186338-d193057-Reviews-or680-Travelodge_London_Covent_Garden-London_England.html#REVIEWS</t>
  </si>
  <si>
    <t>Excellent StaffI stayed in this Travelodge with two friends for three nights and the staff 
were so helpful, from printing out directions to booking taxis, nothing was 
too much trouble for them. I'll definitely be back.Read moreDate of stay: 
May 2019HelpfulShare</t>
  </si>
  <si>
    <t>spooky_babe wrote a review Aug 2019Leeds, United Kingdom8 contributions3 
helpful votes</t>
  </si>
  <si>
    <t>James M wrote a review May 2019Phoenix, AZ3 contributions1 helpful vote</t>
  </si>
  <si>
    <t>Great Stay - Great Value - Great Locationclose to Underground, clean and comfy room, excellent staff. we were 
pleasantly surprised by the location and value. Allowed for an early check 
in. breakfast was tasty. could have had more options. room was clean. we 
would happily return.Read moreReview collected in partnership with 
TravelodgeDate of stay: May 2019HelpfulShare</t>
  </si>
  <si>
    <t>talisk wrote a review May 2019nearnaples94 contributions24 helpful votes</t>
  </si>
  <si>
    <t>simply perfectwe spent 6 nights in this hotel, and I must say that it is PERFECT. A large 
room, a clean bath, a good tv screen. The a/c is a little bit noisy, but 
you can just turn it off during the night. There is a kettle in the romm 
with a large chiose of cold drink so as tea and coffee. The breackfast is 
an autentic english one, with also a large choise of vegetarian items. 
Great stay for the value (less than € 100 per night), so ad the breakfast ( 
€ 11). The staff is very nice, the hotel is well located, just a step out 
of the city, very close to two tube station (aldgate and aldgate east). 
wath i can suggest, at least, is a wardrobe, because there are just some 
hangers to put the clothes. Thank you so much, we hope to see you soon 
&lt;3Read moreDate of stay: May 2019HelpfulShare</t>
  </si>
  <si>
    <t>https://www.tripadvisor.co.uk/Hotel_Review-g186338-d13569031-Reviews-or615-Travelodge_London_City_hotel-London_England.html#REVIEWS</t>
  </si>
  <si>
    <t>DavidVignini wrote a review May 2019Miami Beach, Florida, United States22 
contributions11 helpful votes</t>
  </si>
  <si>
    <t>Average stay in central London hotelBooked this hotel for its central easy to reach location for a sightseeing 
trip to London. As a family of four we were given a room in the 2nd 
building in a family room on the 9th floor. It was a boiling hot stay in 
the 33C heatwave with no air-con in the rooms, the best we got was a small 
rotating fan, closed curtains and obviously the window only opened a small 
way. Not especially pleasant in the heat but not much you can do in a tired 
hotel that needs updating. Yes, as in other reviews the carpets had stains, 
bathroom out of date, cracked sink and a very busy breakfast dining room, 
but all we did was sleep after busy days in London and breakfast albeit not 
fancy got us up an going for the day. Service not great, staff hard to find 
- It is a no frills hotel in a good location,…Read moreDate of stay: August 
2019HelpfulShareResponse from TravelodgeUK, Niki from The Social Media Team 
at Travelodge London Covent GardenResponded 1 Sep 2019Thank you for taking 
the time to review our hotel. We hope that all of our guests enjoy a 
comfortable stay, and it is unfortunate that the high temperature had such 
an impact on your experience. Not all of our hotels have air conditioning, 
however we have taken steps within the hotels to ensure that our rooms are 
kept as cool as possible such as providing fans, adding sheets to our beds 
and keeping the duvet separate and other measures that may assist in 
reducing the temperature. We understand that these measures are sometimes 
not as effective as we would hope which we would like to apologise for. The 
comfort of our rooms are the foundations of the perfect stay we aim to 
offer to our guests, and this is why it is particularly important for us to 
feed your comments back to our colleagues at the hotel. Thank you again for 
your review and we hope to have the chance to welcome you back again 
soon.Read more</t>
  </si>
  <si>
    <t>brilliantbasic rooms with very comfortable beds, good linen and a clean bathroom 
available at very competitive rates. Staff is super friendly and helpful. 
Minor plumbing issue was resolved in a minutes. location is perfect and 
just minutes away from Alden underground. We did not like breakfast but we 
are not into English breakfast to start with. If you too are not, do 
yourself a favor and go to the Pret around the corner where you have a wide 
choice of excellent items at very reasonable prices....Read moreDate of 
stay: May 2019HelpfulShare</t>
  </si>
  <si>
    <t>HF777 wrote a review Aug 2019Stirling, United Kingdom108 contributions3 
helpful votes</t>
  </si>
  <si>
    <t>Northwestie wrote a review May 2019Great Sankey, United Kingdom55 
contributions11 helpful votes</t>
  </si>
  <si>
    <t>Smart new TravelodgeI stayed for a Sunday night in May. I liked my superior room, it was quiet 
and comfortable. The hotel is in the city of London very close to Aldgate 
tube. The room was fairly small but had what I needed and was a good price 
for a London hotel. I would recommend this hotel.Read moreReview collected 
in partnership with this hotelDate of stay: May 2019HelpfulShare</t>
  </si>
  <si>
    <t>Normal room v super roomI've stayed in this hotel twice in the past four months, once in a normal 
room and once in a super room and thought I'd give you my review of the 
differences. First of all some general info about the hotel. The location, 
as everyone else has said, is great. Close to at least three different 
underground stations (we mainly used Holborn) and close to shops, 
attractions, pubs, restaurants and theatres. Because of the proximity to 
the underground we travelled to loads of different places in London with 
ease as well. Didn't use the bus but passed bus stops round the corner in 
High Holborn and Kingsway so assume bus links would be decent too. Also the 
area feels pretty safe - it's wet lit and normally pretty busy and I never 
saw any trouble or anything that worried me. Check in…Read moreDate of 
stay: August 2019HelpfulShare</t>
  </si>
  <si>
    <t>Naomi D wrote a review May 20196 contributions5 helpful votes</t>
  </si>
  <si>
    <t>Excellent Location, great value!Highly recommended, great location, clean spacious rooms. Very central 
beside the tube station. I would stay here again. The food is good value, 
we had the buffet breakfast and it was well worth £10..Read moreReview 
collected in partnership with this hotelDate of stay: May 2019HelpfulShare</t>
  </si>
  <si>
    <t>clc9 wrote a review Aug 2019Derbyshire12 contributions31 helpful votes</t>
  </si>
  <si>
    <t>MrP0007 wrote a review May 20193 contributions3 helpful votes</t>
  </si>
  <si>
    <t>Ok for one nightThis hotel is good value for central London, and the location is excellent. 
However, it needs some updating. The rooms need air conditioning and should 
have hairdryers (you can get a hairdryer from reception but lots of them 
don’t work). It’s clean enough but the bathrooms are showing signs of wear 
that mean they don’t look clean.Read moreReview collected in partnership 
with TravelodgeDate of stay: August 2019HelpfulShare</t>
  </si>
  <si>
    <t>Short breakVery impressed everything easy from check in to drinks in the bar very 
clean . Have stopped in here before and nothing is too much trouble 
excellent staff only one thing it you don’t get a drink in happy hour 
bottle beer can be a bit expensive.Read moreReview collected in partnership 
with TravelodgeDate of stay: May 2019HelpfulShare</t>
  </si>
  <si>
    <t>Cliveton wrote a review May 2019Huddersfield, United Kingdom3 contributions</t>
  </si>
  <si>
    <t>great place to stayClean tidy and quiet room in a modern &amp; well maintained building. Pleasant 
staff, walking distance from underground, walking distance to Tower of 
London and St Katherines Dock. Great breakfast, good amenities... bar 
!!Read moreReview collected in partnership with TravelodgeDate of stay: May 
2019HelpfulShare</t>
  </si>
  <si>
    <t>https://www.tripadvisor.co.uk/Hotel_Review-g186338-d13569031-Reviews-or620-Travelodge_London_City_hotel-London_England.html#REVIEWS</t>
  </si>
  <si>
    <t>Very-Old-Man-21 wrote a review Aug 2019London, United Kingdom111 
contributions69 helpful votes</t>
  </si>
  <si>
    <t>David B wrote a review May 2019Manchester, United Kingdom26 contributions10 
helpful votes</t>
  </si>
  <si>
    <t>Perfect for the theatreWe went into London to see theatre and Covent garden, liecster Square etc 
etc and stopped here. The reception is bright and airy but the bar is a 
total rip off. I think because they have lots of overseas visitors they 
hike the bar prices right up (totally disgusting) saying that the room was 
OK except for the inner wires showing on the table lamp and tea coffee 
facility was there. Would stay again but bypass the bar.Read moreDate of 
stay: June 20192 Helpful votesHelpfulShare</t>
  </si>
  <si>
    <t>No ComplaintsGreat location for the tube and easily within walking distance of the tower 
of London and tower bridge. Rooms were clean and had good heating and air 
conditioning. Kettle supplies for tea and coffee, even gave me hot 
Chocolate sachets as I dont drink tea or coffee. Reception and Bar staff 
were polite and helpful. We have no complaints about this hotel what's so 
ever and would definitely come back.Read moreDate of stay: May 
2019HelpfulShare</t>
  </si>
  <si>
    <t>Odyssey61439185184 wrote a review May 20191 contribution</t>
  </si>
  <si>
    <t>https://www.tripadvisor.co.uk/Hotel_Review-g186338-d193057-Reviews-or685-Travelodge_London_Covent_Garden-London_England.html#REVIEWS</t>
  </si>
  <si>
    <t>Very disappointedOverall very disappointed with my stay here. For nearly £200/night I'd 
expect much better even in central London. The breakfast was poor - few 
options and low quality. The Wifi was almost unusable at times. The "super" 
rooms didn't really offer much improvement on a regular room. My room 
wasn't cleaned after my first night. Finally the hotel was without water 
for my final nightl, I appreciate this may have been out of their control, 
but it was frustrating to not be able to shower, brush my teeth etc, and 
there was no effort from the hotel to compensate the guests, e.g. free 
bottles of drinking water.Read moreReview collected in partnership with 
TravelodgeDate of stay: May 2019HelpfulShareResponse from TravelodgeUK, 
Shaf from the Social Media Team. at Travelodge London City hotelResponded 
29 May 2019Thank you for submitting your review of our London City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</si>
  <si>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kirstymelbourne8 wrote a review Aug 20197 contributions3 helpful votes</t>
  </si>
  <si>
    <t>Guide49642677692 wrote a review May 20191 contribution</t>
  </si>
  <si>
    <t>Comfortable and restful nightExceptionally, clean and fresh looking hotel. Staff very professional and 
nothing was any bother. This is my second stay at this hotel and I would 
highly recommend it. So good that I have booked for my daughter to 
stay.Read moreReview collected in partnership with TravelodgeDate of stay: 
May 2019HelpfulShare</t>
  </si>
  <si>
    <t>Great stayGreat hotel. Not far from tube stations and only a 5 minute walk away from 
oxford street. The hotel was lovely and clean and the staff were very kind 
and helpful. Check in wasn't until 3 and as we arrived early to spend the 
day in London they did have a place to store our luggage which was good. I 
had paid for a superior double room which was more expensive than a normal 
standard double room. In here we had an ironing board, nice posh coffee 
machine with a mini kitkat each and a galaxy hot chocolate each which was 
lovely. However the bed was really small. It was even smaller than the beds 
you get int he standard double room. This was really disappointing, for 
what i paid for a double room i expected the bed to be slightly bigger but 
it was really small. After having a meal…Read moreDate of stay: August 
2019HelpfulShare</t>
  </si>
  <si>
    <t>https://www.tripadvisor.co.uk/Hotel_Review-g186338-d13569031-Reviews-or625-Travelodge_London_City_hotel-London_England.html#REVIEWS</t>
  </si>
  <si>
    <t>Stay56590069626 wrote a review Aug 20191 contribution</t>
  </si>
  <si>
    <t>Eva E wrote a review May 2019Lund, Sweden190 contributions37 helpful votes</t>
  </si>
  <si>
    <t>Very good but lacking storageThe location is great with bus and tube only minutes away. The staff was 
really helpful and serviceminded and should be commended! The room was a 
nice size with a super comfy bed, I slept really well. If only there had 
been some storage space! 5 hangers is not enough - where am I supposed to 
put my underwear? It was cramped with my suitcases, I can only imagine how 
tight it would have been with two people in the room. It’s OK for a night 
or two but no more than that. I was very surprised that a newly built hotel 
didn’t have automatic doors - it’s not easy to pulling a door open and drag 
two suitcases at the same time - and what about disabled guests - how are 
they supposed to go through doors? Almost great - but not quite!Read 
moreDate of stay: May 2019HelpfulShare</t>
  </si>
  <si>
    <t>Hotel tired and requiring update.Hotel room and bathroom required updating and the corridors recarpeting and 
maintaining. Location for central London is good but the immediate area is 
run down. Bathroom door required lifting to open and close without catching 
the floor and the toilet push button flush required maintenance.Read 
moreReview collected in partnership with TravelodgeDate of stay: August 
2019HelpfulShareResponse from Ben T, Zack from The Social Media Team at 
Travelodge London Covent GardenResponded 11 Sep 2019Thank you for taking 
the time to review our London Covent Garden hotel. We are pleased to hear 
that the location of the hotel was good for your stay, however we are sorry 
for your disappointment at the condition of the room. We will be sure to 
raise your comments with the management team at the hotel so any 
maintenance issues can be resolved to improve the service we provide. 
Thanks again for leaving your review, and we hope we are able to welcome 
you back to stay with us again soon.Read more</t>
  </si>
  <si>
    <t>ag19692019 wrote a review Aug 2019Reading, United Kingdom1 contribution</t>
  </si>
  <si>
    <t>LondonRooms were good but only 2 of us could use the WiFi and our room cards 
stopped working found out later this happens if you put it near your mobile 
another guest told us this not reception apart from that it was all 
goodRead moreReview collected in partnership with TravelodgeDate of stay: 
August 2019HelpfulShare</t>
  </si>
  <si>
    <t>Stay15542799806 wrote a review May 20191 contribution</t>
  </si>
  <si>
    <t>doofvfood wrote a review Aug 2019Worldwide2,286 contributions321 helpful 
votes</t>
  </si>
  <si>
    <t>Good for what you payClean, comfortable hotel. Good communication to aldgate station and London 
Bridge. Breakfast very poor. Don't pay 10 pounds for that! Room comfy and 
very clean, regular size. It's ok for stay few days.Read moreReview 
collected in partnership with TravelodgeDate of stay: May 2019HelpfulShare</t>
  </si>
  <si>
    <t>SuzyQontour wrote a review May 2019Birmingham7 contributions3 helpful votes</t>
  </si>
  <si>
    <t>Good location; poor serviceStayed at the Travelodge for a couple of nights and having stayed in the 
chain before I didn't have high expectations. I did think as we were being 
charged ridiculous prices &amp; it's in central London, it might be better. I 
was quite wrong. Location is really good with easy access to some main 
sights - Covent Garden, Chinatown, River Thames, St Paul's Cathedral, 
Leicester Square, etc. The room I had was on the ground floor facing Drury 
Lane so really noisy - difficult to get a good night's sleep as constantly 
woken up by vehicles, bin lorries, loud music &amp; general cacophony of those 
passing. Room was small with the shower pod taking up a sizeable chunk. 
Carpet felt grimey. There didn't appear to be any attention to detail and 
customer service is practically non existent. The…Read moreDate of stay: 
August 2019HelpfulShare</t>
  </si>
  <si>
    <t>Last minute booking.I had to book the hotel last minute. It is in a great location. The staff 
were friendly and welcoming when we arrived and the check out staff were 
just as friendly. The room was clean and comfortable. I did not book 
breakfast but there are loads of great places 5 minutes away in 
Spitalfields.Read moreReview collected in partnership with TravelodgeDate 
of stay: May 2019HelpfulShare</t>
  </si>
  <si>
    <t>987emmav wrote a review Aug 20191 contribution</t>
  </si>
  <si>
    <t>https://www.tripadvisor.co.uk/Hotel_Review-g186338-d13569031-Reviews-or630-Travelodge_London_City_hotel-London_England.html#REVIEWS</t>
  </si>
  <si>
    <t>Dirty, unclean, stainedThe bedding was dirty with make up marks on it. The towels had dirty marks 
on them. The spare pillows and brown stains on it. The carpet was dirty. 
The shower head had black mould on it. There was no hair dryer available 
when I asked at reception. When we asked too move rooms or have ours 
cleaned they said it had been cleaned this morning and had no other room to 
put us in. We had drunk people trying to get in our room at 2am and then 
again at 4:30 amRead moreDate of stay: August 2019HelpfulShareResponse from 
TravelodgeUK, Shaf from the Social Media Team. at Travelodge London Covent 
GardenResponded 30 Aug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</si>
  <si>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Emily-Jayne wrote a review May 20195 contributions3 helpful votes</t>
  </si>
  <si>
    <t>https://www.tripadvisor.co.uk/Hotel_Review-g186338-d193057-Reviews-or690-Travelodge_London_Covent_Garden-London_England.html#REVIEWS</t>
  </si>
  <si>
    <t>Courtney A wrote a review Aug 20192 contributions1 helpful vote</t>
  </si>
  <si>
    <t>Great hotel in a central locationMe and my boyfriend were looking to stay close to Tower Bridge so chose 
this hotel because it is only a short walk away. On arrival we were greeted 
swiftly and professionally by staff and found the room to be extremely 
clean, comfortable and well above any TL I've previously stayed in (the 
kingsize bed meant that we slept like logs!) there was also very little 
outside noise. The location is great in that its close to Aldgate tube 
station (4 min walk) which connects you easily to all of London, a 15 min 
walk to tower bridge and there are many shops close by for amenities ect. 
We also came across the museum of london which is worth a visit which is 
around 15-20 min walk away. The staff let us keep our bags in the luggage 
room on our last day which saved a lot of carrying around.…Read moreDate of 
stay: May 2019HelpfulShare</t>
  </si>
  <si>
    <t>mfr757 wrote a review May 2019Hillerod, Denmark9 contributions</t>
  </si>
  <si>
    <t>Just greatGreat location and value for money :-) We was 10 people including 4 kids, 
and was so happy that everything was within walking distance from the 
hotel. Everything was also very clean and people was very service minded 
:-)Read moreReview collected in partnership with this hotelDate of stay: 
May 2019HelpfulShare</t>
  </si>
  <si>
    <t>Rude Staff - Especially RobMy friend and I were travelling for leisure and booked 4 nights here. When 
we went to check in we weren’t allowed an early check in even when we had 
requested it. The staff were very unprofessional and not very intelligent. 
They could never answer any questions we had. We had paid online in full 
and they made us pay again at the hotel so as we were trying to figure out 
why we needed to do this the man working at the from desk was laughing at 
our questions and treating us like children (Rob). I wish we knew the 
lady’s name as well because she was no better. Any questions we had, we 
received a rude and not helpful answer. The rooms were tiny! We had asked 
for an extra towel and were told we could only have 2 in one room. One of 
the evenings we were filling up our water…Read moreDate of stay: August 
2019HelpfulShareResponse from TravelodgeUK, Shaf from the Social Media 
Team. at Travelodge London Covent GardenResponded 30 Aug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</si>
  <si>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SKF123 wrote a review Aug 20195 contributions12 helpful votes</t>
  </si>
  <si>
    <t>https://www.tripadvisor.co.uk/Hotel_Review-g186338-d13569031-Reviews-or635-Travelodge_London_City_hotel-London_England.html#REVIEWS</t>
  </si>
  <si>
    <t>Fabioelle81 wrote a review May 20192 contributions2 helpful votes</t>
  </si>
  <si>
    <t>Great locationI have used this travel lodge quite a few times over the years. There are 2 
buildings for this travel lodge. We were placed in the 2nd building . We 
had a family room which was really spacious . As with all travel lodge 
hotels they are pretty basic but clean and all you need to lay your head at 
night. A TV , complementary tea/coffee in the room. The beds were 
comfortable. I had read many reviews about the fire alarm going off on 
people’s stay and it did go off when we were there. Apparently a hair dryer 
set the alarm off! I suppose the upside to this is at least you know their 
alarm system works VERY well . It’s in a great location, just a short 
stroll from Covent Garden it’s self.Our most recent visit we paid £135 for 
the night that was without breakfast ( lots of places…Read moreDate of 
stay: December 2018HelpfulShare</t>
  </si>
  <si>
    <t>GOOD STAYGood location in Liverpool street area, near to underground Aldgate and 
Liverpool street station. Room was clean and quiet. staff was kind. Hair 
dryer was missing but we have got it easily in reception. Good value for 
moneyRead moreReview collected in partnership with TravelodgeDate of stay: 
May 2019HelpfulShare</t>
  </si>
  <si>
    <t>PamK wrote a review Aug 2019Norwich, United Kingdom2 contributions</t>
  </si>
  <si>
    <t>Wanderer67407195930 wrote a review May 20191 contribution</t>
  </si>
  <si>
    <t>An abysmal stay in the heatwave with kids!First of all, when I booked our one-night stay online, I was given the 
option to add a pull-out bed which I did as there were 3 kids and 2 adults. 
However, upon arriving at the hotel and requesting for this, I was told 
that there is no such option in that hotel!! If that did't already set us 
off on the wrong note, the non-existent air conditioning in our family room 
and the lack of a lock on the bathroom door - or even having a door that 
will actually close - along with the heat wave and 3 tired, hot, upset 
kids, made it an abysmal stay with Travelodge Covent Garden! We were told 
that all their family rooms had NO air conditioning!!! Of ALL the rooms to 
not have one, common sense will tell you that a family room should not be 
one of them! Alas, it seems like common sense…Read moreReview collected in 
partnership with TravelodgeDate of stay: August 2019HelpfulShareResponse 
from TravelodgeUK, Zack from The Social Media Team at Travelodge London 
Covent GardenResponded 29 Aug 2019Thank you for providing feedback of our 
London Covent Garden hotel. We are sorry to hear that your stay was 
affected by the lack of air conditioning. We have taken measures to limit 
the nuisance caused by the heat and we would like to apologise if these 
were not sufficient to give you a good night’s sleep. We hope to have the 
opportunity to welcome you again in the future.Read more</t>
  </si>
  <si>
    <t>Small room with no storageBy far the smallest Travelodge room I’ve ever stayed in. There was no 
storage (no wardrobe and no chest of drawers) which made it hard work with 
two children and nowhere to put the suitcase. Also the blackout curtains 
weren’t particularly effective and there was lots of light getting into the 
room. However the beds were comfortable and the room was nice and clean. 
USB charging points were very useful. Location is good, a very short walk 
to Aldgate East tube station.Read moreReview collected in partnership with 
TravelodgeDate of stay: May 2019HelpfulShareResponse from TravelodgeUK, Ben 
from the Social Media Team at Travelodge London City hotelResponded 22 May 
2019Thank you for taking the time to share your experience of your stay at 
our London City Travelodge with us. We are pleased to hear that the hotels 
location suited your needs, you found your room to be clean and comfortable 
and that you liked the addition of USB charging points however we are sorry 
to learn of your disappointment with the size of the room and storage. We 
appreciate all the feedback we receive and our Hotel Managers regularly 
review their TripAdvisor reviews in order to fix any issues raised and pass 
on feedback to their team. Thank you once again and we do hope you will 
stay with us in the future.Read more</t>
  </si>
  <si>
    <t>Yego O wrote a review May 20191 contribution</t>
  </si>
  <si>
    <t>Patrick M wrote a review Aug 2019Lincoln, United Kingdom223 contributions38 
helpful votes</t>
  </si>
  <si>
    <t>Strategically located.I love the set up of the hotel. It has a free wi-fi and cool setting. On 
the upper part the rooms are well maintained. The services are so quick, 
you don't have to wait for long hours. Bed are net and nicely done.Read 
moreDate of stay: May 2019HelpfulShare</t>
  </si>
  <si>
    <t>Swenn wrote a review May 20192 contributions1 helpful vote</t>
  </si>
  <si>
    <t>Very goodWe stayed for 2 nights. We were given a choice of room/location. Room and 
bathroom was clean. Nice restaurant and bar area. Self service cooked 
breakfast with plenty of choice. Bar open late. Easily accessible from 
Covent Garden and Holborn Tube stations.Read moreDate of stay: August 
2019HelpfulShare</t>
  </si>
  <si>
    <t>Nice stay, well located, butNice stay, well located, but prices are quitte high regarding services. 
Rooms are clean and staff is really nice. I have not tried the restaurant 
but it seems great. I think I won't come back, exept if prices will go 
down.Read moreDate of stay: March 2019HelpfulShareResponse from 
TravelodgeUK, Shaf from the Social Media Team. at Travelodge London City 
hotelResponded 21 May 2019Thank you for reviewing our London City 
Travelodge. We're pleased to hear you enjoyed your recent stay with us and 
thank you for bringing this to our attention.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</si>
  <si>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https://www.tripadvisor.co.uk/Hotel_Review-g186338-d13569031-Reviews-or640-Travelodge_London_City_hotel-London_England.html#REVIEWS</t>
  </si>
  <si>
    <t>susan_beckwith wrote a review May 2019Clacton-on-Sea, United Kingdom4 
contributions</t>
  </si>
  <si>
    <t>https://www.tripadvisor.co.uk/Hotel_Review-g186338-d193057-Reviews-or695-Travelodge_London_Covent_Garden-London_England.html#REVIEWS</t>
  </si>
  <si>
    <t>Good locationStayed in a super room, it had all the usual facilities plus a nice coffee 
machine. The bed was comfortable, there was plenty of space. Hairdryer and 
Iron available in the room. Comfortable chair and desk chair.Read 
moreReview collected in partnership with TravelodgeDate of stay: May 
2019HelpfulShare</t>
  </si>
  <si>
    <t>Andras B wrote a review May 2019Budapest, Hungary3 contributions</t>
  </si>
  <si>
    <t>panusand wrote a review Aug 2019Madrid12 contributions12 helpful votes</t>
  </si>
  <si>
    <t>Very nice new hotel in superb locationWe stayed in this hotel with my wife for one night, and we really had a 
great time. This is a very new nice hotel with a comfortable bed in the 
very good location. It is worth paying an extra for the breakfast too. We 
would come back to this hotel with the children too next time.Read moreDate 
of stay: May 2019HelpfulShare</t>
  </si>
  <si>
    <t>Good location, room and breakfast ok, poor customer serviceGreat location, rooms are large and comfortable, but with little storage 
space (we had to keep things in the suitcase), breakfast very basic, 
customer service not caring much about customers(couple of problems with 
bathroom and late checkout not solved)Read moreReview collected in 
partnership with TravelodgeDate of stay: August 2019HelpfulShare</t>
  </si>
  <si>
    <t>MARTIN Z wrote a review May 2019Trencin, Slovakia1 contribution1 helpful 
vote</t>
  </si>
  <si>
    <t>wiggywheels wrote a review Aug 2019Sutton Coldfield, United Kingdom58 
contributions25 helpful votes</t>
  </si>
  <si>
    <t>ExcellentVery nice and well located hotel with 2 tube station just around the 
corner. We have enjoyed our 5 nights stay. Walking distance to Liverpool 
street station with couple nice pubs on your way there. There is also 
Tesco, Sainsburrys and local Weatherspoons close to this hotel.Read 
moreReview collected in partnership with this hotelDate of stay: May 20191 
Helpful voteHelpfulShare</t>
  </si>
  <si>
    <t>Trip67566192417 wrote a review May 20191 contribution</t>
  </si>
  <si>
    <t>Convenient basic hotelWe booked here as it was convenient for the theatres for us as a family of 
4. We opted for early check-in which was great. Basic accommodation which 
is expected - but it had what we needed. Had to request a hairdryer from 
reception after my shower in the morning. Breakfast was fine - including 
hot and cold food. The advertised fruit salad was a little bit 
disappointing and seemed to be mainly sliced apple. The only real downside 
was that there appeared to be a mix up at reception and another family 
checking in at 1am were allocated our room so attempted to get into our 
room. Had we not had the lock on they would have been successful. They then 
came back a second time. This was followed by someone from security 
knocking and asking for our booking name. This third disturbance…Read 
moreDate of stay: August 2019HelpfulShare</t>
  </si>
  <si>
    <t>Unacceptable service and room facility for an alleged super roomThis stay was less than satisfactory and also not up to standard. The 
manager was rude and unhelpful. The room was not as booked and my two night 
stay in a room costing over 200 per night was unpleasant.Read moreReview 
collected in partnership with TravelodgeDate of stay: May 
2019HelpfulShareResponse from TravelodgeUK, Ben from the Social Media Team 
at Travelodge London City hotelResponded 19 May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</si>
  <si>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Jan1953_12 wrote a review Aug 2019Birmingham, England, United Kingdom67 
contributions25 helpful votes</t>
  </si>
  <si>
    <t>Coul do better Travelodge Covent GardenWhen my daughter booked this hotel for a night in London with her 2 little 
girls and myself, she chose Travelodge because she has stayed in one 
before. We were a bit too early to go to our room on arrival so we asked if 
we could leave our bags and pick them up when the room was available. We 
were directed to the side of the building where there was a facility to 
leave luggage, manned by the worst customer service I have ever seen. I 
don't think he spoke very good English, but a smile is a smile in any 
language. He looked at us as if we were a major inconvenience. My daughter 
asked Can we leave these cases here please? Grunt ...how many? 4 cases. 
Long silence. So.er.. what do we do? Grunt,comere Followed him into a room 
with shelves piled with peoples cases etc. You put…Read moreDate of stay: 
August 2019HelpfulShare</t>
  </si>
  <si>
    <t>allrico wrote a review Aug 2019Chepstow, United Kingdom6 contributions3 
helpful votes</t>
  </si>
  <si>
    <t>Joggie wrote a review May 2019Manchester14 contributions15 helpful votes</t>
  </si>
  <si>
    <t>Best Travelodge!Often stay in Travelodges when I travel as they're convenient and the beds 
are extremely comfortable. This has to be the best one I've stayed in. It 
is new so therefore looks fresh. Breakfast is good as you would expect from 
a travelodge. It is conveniently situated less than a 5 minute walk from 
Aldgate tube station. The staff were lovely and welcoming. The bar area is 
really nice and had a lovely buzz and atmosphere in the evening. Will be 
staying there next time I'm in London.Read moreReview collected in 
partnership with this hotelDate of stay: May 2019HelpfulShare</t>
  </si>
  <si>
    <t>https://www.tripadvisor.co.uk/Hotel_Review-g186338-d13569031-Reviews-or645-Travelodge_London_City_hotel-London_England.html#REVIEWS</t>
  </si>
  <si>
    <t>Christopher C wrote a review Aug 2019Norwich, United Kingdom2 
contributions2 helpful votes</t>
  </si>
  <si>
    <t>Resort11967808683 wrote a review May 20191 contribution</t>
  </si>
  <si>
    <t>Good valueWent for a weekend stay with unlimited breakfast. Was a very pleasant stay 
with friendly staff, good food and modern, clean and comfortable bedroom. I 
chose this location because it is close to tube and other stations and I 
like to visit Spitalfields Market during my stay.Read moreReview collected 
in partnership with this hotelDate of stay: May 2019HelpfulShare</t>
  </si>
  <si>
    <t>AvoidFilthy, noisy avoid like the plague. Worst hotel I have ever stayed in. 
Staff could not care less, the only redeeming factor is that it is central 
but honestly so dirty you would not believe this as part of a international 
chain.Read moreDate of stay: July 20192 Helpful votesHelpfulShareResponse 
from TravelodgeUK, Zack from The Social Media Team at Travelodge London 
Covent GardenResponded 28 Aug 2019We're concerned to hear of your recent 
experience at our London Covent Garden Travelodge and we appreciate you 
taking the time to leave us your review. We're sorry to learn your room was 
not cleaned to our usual high standard, however we're happy that you found 
our hotel to be an ideal location for your needs. Please accept our 
apologies that on this occasion you did not receive the best experience 
possible. Thank you again for sharing your insightful comments and we hope 
you stay with us in the future.Read more</t>
  </si>
  <si>
    <t>5BJF6 wrote a review May 2019Ipswich, United Kingdom18 contributions6 
helpful votes</t>
  </si>
  <si>
    <t>Clean, tidy and helpful staffWell positioned for easy tube and bus access. Only 7 minutes from Liverpool 
Street Station and Aldegate only 4 minutes away. A very clean, tidy and 
comfortable. hotel Found the staff helpful and friendly. I felt that they 
genuinely cared about their customers. I would not hesitate to stay again 
and will happily recommend to family and friends.Read moreReview collected 
in partnership with TravelodgeDate of stay: May 2019HelpfulShare</t>
  </si>
  <si>
    <t>https://www.tripadvisor.co.uk/Hotel_Review-g186338-d193057-Reviews-or700-Travelodge_London_Covent_Garden-London_England.html#REVIEWS</t>
  </si>
  <si>
    <t>sh3ppo wrote a review May 2019Cardiff, United Kingdom2 contributions6 
helpful votes</t>
  </si>
  <si>
    <t>Nothing to complain aboutEverything was perfect nothing to complain about. Staff we’re friendly and 
helpful, rooms clean and tidy and the location was perfect. I would always 
choose Travelodge over the more expensive hotels because they treat 
everybody the same.Read moreReview collected in partnership with 
TravelodgeDate of stay: May 2019HelpfulShare</t>
  </si>
  <si>
    <t>pikapolonica75 wrote a review May 2019slovenia5 contributions3 helpful votes</t>
  </si>
  <si>
    <t>Denise wrote a review Aug 20192 contributions</t>
  </si>
  <si>
    <t>Very goodI really enjoyed it. The location was great (very near tube and bus station 
with direct connection to the centre). And within walking distance form 
Tower Bridge. Room was big enough for sleeping and rest (we were out most 
of the day). Bathroom was ok, there was always warm water. I could use a 
wardrobe, but for a few days we managed without it. There were some hangers 
for jackets, which was ok. Beds were very comfortable. We had breakfast at 
the hotel. It was the same every day, but ther was enough to choose. I 
loved the take-away cups for coffee. The hotel was very quiet, there was no 
noise in the evening or at night. (OK, we heard the traffic from the road, 
but we were in London :) ) The staff was very nice and helpful when I 
needed help with printing my plane boarding pass.…Read moreReview collected 
in partnership with this hotelDate of stay: May 2019HelpfulShare</t>
  </si>
  <si>
    <t>Leisure tripVery friendly staff.They were keen to make sure we were comfortable in our 
room. Good range of hot food, cereals, fresh fruit and yoghurt at breakfast 
and excellent location. Able to leave luggage there when checked out.Read 
moreDate of stay: August 2019HelpfulShare</t>
  </si>
  <si>
    <t>pddownunder wrote a review Aug 2019Sydney557 contributions63 helpful votes</t>
  </si>
  <si>
    <t>https://www.tripadvisor.co.uk/Hotel_Review-g186338-d13569031-Reviews-or650-Travelodge_London_City_hotel-London_England.html#REVIEWS</t>
  </si>
  <si>
    <t>Sandygirl2015 wrote a review May 2019Deal, United Kingdom24 contributions14 
helpful votes</t>
  </si>
  <si>
    <t>Comfortable and quietNew hotel, we stayed on a quiet floor and it was just that. Well located 
round the corner from Aldgate tube, less than 10 minutes to Liverpool 
Street. Helpful staff, reasonably priced bar. Tesco and Sainsbury 
nearbyRead moreReview collected in partnership with TravelodgeDate of stay: 
May 2019HelpfulShare</t>
  </si>
  <si>
    <t>Sleepless with Security IssuesWhat was supposed to be a fun, girly getaway in London turned into a 
sleepless nightmare. At about 1.45am our neighbours returned to their room 
- at least 5 people entered the room, shouting, laughing and screaming. We 
could hear every single thing they said - the walls are paper thin. As 
there was no phone in the room to call reception, I got dressed and planned 
to go downstairs but when I looked out of the peep hole a man was lying 
outside our door in the corridor. I felt unsafe and did not want to leave 
the room. At about 2.30 some of the people left next door and eventually 
the strange man left the corridor. At approximately 4.30am we were woken 
again, this time by extremely loud music from our other neighbours on the 
other side. It was loud base music so loud that our…Read moreDate of stay: 
August 2019HelpfulShareResponse from TravelodgeUK, Zack from The Social 
Media Team at Travelodge London Covent GardenResponded 28 Aug 2019Thank you 
for taking the time to review our hotel. We are really sorry to hear that 
you encountered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</si>
  <si>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Larissa Soare wrote a review May 20193 contributions</t>
  </si>
  <si>
    <t>Denise B wrote a review Aug 2019Sutton in Ashfield, United Kingdom50 
contributions15 helpful votes</t>
  </si>
  <si>
    <t>Good choice for a few days in LondonWe spent 2 night at this new hotel and overall the hotel is good, very 
close by metro station (Aldgate) and buses, even if Aldgate metro station 
is stopped on Saturday. No noise in the room, good breakfast even if it was 
the same every morning. I did not appreciate at all the absence of 
hair-dryer, fridge and a proper wardrobe in the room. We could not set the 
temperature inside the room, so it was a bit cold during the night. No 
cleaning services in the room during our staying. We had to pay extra 10 
pounds to check-in earlier.Read moreReview collected in partnership with 
TravelodgeDate of stay: May 2019HelpfulShareResponse from TravelodgeUK, 
James from the Social Media Team at Travelodge London City hotelResponded 
15 May 2019Thank you for reviewing our Travelodge London City Hotel. We're 
happy to hear that you were pleased with the location of this hotel as well 
as the quietness and the breakfast facilities but we are sorry to hear you 
weren't pleased with the facilities offered in our rooms as well as the 
issues you experienced with temperature and operational services.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</si>
  <si>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daniellewilliams97 wrote a review May 2019Leeds, United Kingdom2 
contributions2 helpful votes</t>
  </si>
  <si>
    <t>Sleepless nightI booked 2 rooms for a 2 night stay at this hotel for myself, my elderly 
mother and 2 sister-in-laws. We were looking forward to a girly family 
couple of days. Check in was a little bit slow as the receptionist seemed 
to have problems programming the keys. Once we got to the room, we unpacked 
then went into London sight seeing. I have stayed at this hotel lots of 
times previous and loved the location of the hotel. Our first nights sleep 
was OK disturbed by the noise from the pub across from our room, but to be 
expected in central London. Breakfast the next morning was great as per 
usual. However the problem was on our second night. At 2.30am my 2 
sister-in-laws were awoken by a very drunk man trying to get into their 
room. He was banging, head butting and running into the door…Read moreDate 
of stay: August 20191 Helpful voteHelpfulShareResponse from TravelodgeUK, 
Ben from The Social Media Team at Travelodge London Covent GardenResponded 
8 Sep 2019Thank you for your review. We are sorry to hear that noise 
affected the comfort of your stay. We strive to make our customers as 
comfortable as possible and we would like to apologise if on this occasion 
we were not able to offer you a good night's sleep. We have passed on your 
feedback to the hotel team and we hope that there will be another occasion 
to welcome you again and improve your views on Travelodge.Read more</t>
  </si>
  <si>
    <t>Clean, great location and friendly staffHad a lovely stay at this new Travelodge hotel! The family room was the 
perfect size with very comfy beds and a good sized bathroom. Not too far 
from London city centre, easy access to the tube and buses.Read moreReview 
collected in partnership with TravelodgeDate of stay: May 2019HelpfulShare</t>
  </si>
  <si>
    <t>John N wrote a review Aug 2019Cardiff, United Kingdom28 contributions13 
helpful votes</t>
  </si>
  <si>
    <t>GoPlaces56183581851 wrote a review May 2019Livingston, United Kingdom1 
contribution</t>
  </si>
  <si>
    <t>lovely hoteleverything you would expect , clean rooms lovely filling breakfast , 
friendly helpful staff , only dissapointment [ and it wasnt a big deal ] 
was the lack of or no cupboard or drawer space , only blight on our 
stayRead moreReview collected in partnership with TravelodgeDate of stay: 
May 2019HelpfulShare</t>
  </si>
  <si>
    <t>Good stayGood location, convenient for underground, Covent Garden and surrounding 
areas,. Staff friendly with good service. Ample, good breakfast. Had a good 
night's sleep each of the 2 nights we stayed and will stay again when next 
visiting London.Read moreReview collected in partnership with 
TravelodgeDate of stay: August 2019HelpfulShare</t>
  </si>
  <si>
    <t>Resort39684832676 wrote a review May 2019Emmen, The Netherlands1 
contribution</t>
  </si>
  <si>
    <t>Great hotel!I always love staying at Travelodge. The rooms are very clean and comfy, 
the staff is always friendly. I pretty much always pick a Travelodge hotel 
when staying in London because I know what to expect and I'm never 
disappointed.Read moreReview collected in partnership with TravelodgeDate 
of stay: May 2019HelpfulShare</t>
  </si>
  <si>
    <t>https://www.tripadvisor.co.uk/Hotel_Review-g186338-d193057-Reviews-or705-Travelodge_London_Covent_Garden-London_England.html#REVIEWS</t>
  </si>
  <si>
    <t>https://www.tripadvisor.co.uk/Hotel_Review-g186338-d13569031-Reviews-or655-Travelodge_London_City_hotel-London_England.html#REVIEWS</t>
  </si>
  <si>
    <t>Sightseer42363796707 wrote a review May 2019Leeds, United Kingdom1 
contribution</t>
  </si>
  <si>
    <t>London Birthday TripGreat value for money being right next to Aldgate station and a short walk 
away from Liverpool Street Station. The staff were very helpful and the 
rooms tidy and clean. The only things to note are there was no hair dryer 
in our room that I could find and there were no coat hooks. No major 
issuesRead moreReview collected in partnership with TravelodgeDate of stay: 
May 2019HelpfulShare</t>
  </si>
  <si>
    <t>taniafromessex wrote a review Aug 2019Southend-on-Sea, United Kingdom14 
contributions</t>
  </si>
  <si>
    <t>Wanderer68127165575 wrote a review May 2019Hove, United Kingdom2 
contributions</t>
  </si>
  <si>
    <t>Good location fro East EndWarm and welcoming staff comfortable rooms and relaxing bar area. Like the 
fact you could open the window a little. Family Room single beds very 
comfortable Easy access to Brick lane Liverpool Street and the 
Walkie-Talkie buildingRead moreReview collected in partnership with 
TravelodgeDate of stay: May 2019HelpfulShare</t>
  </si>
  <si>
    <t>Travelodge Covent Garden.Stayed there for 1 night. Excellent location. Close to theatres, Covent 
Garden, Chinatown. very short walk to British Museum. Room was clean. bed 
comfortable, with pillows to choose. USB socket, no need to bring charger. 
stayed there many times, never had any problems. Plan to come back-))Read 
moreReview collected in partnership with TravelodgeDate of stay: August 
2019HelpfulShare</t>
  </si>
  <si>
    <t>ZoeLincoln_UK wrote a review May 2019Lincoln, UK64 contributions27 helpful 
votes</t>
  </si>
  <si>
    <t>BoydSi wrote a review Aug 2019Gloucester, United Kingdom27 contributions17 
helpful votes</t>
  </si>
  <si>
    <t>Tip topThis is the best travelodge I have stayed in, it is very new, the rooms are 
clean and fresh, nicely decorated with comfortable beds and pillows. The 
staff were really friendly and we were able to leave our bags at reception 
on checkout. Location is excellent, short walk to Spitafields Market, Tower 
of London , London Bridge, Tower bridge and HMS belfast. We had the 
breakfast one morning which we couldn’t fault and stayed in a standard 
room, easy to get to from Kingscross on the bus or a tube station is 
nearby. Overall a great stay and going to return in June.Read moreDate of 
stay: April 2019HelpfulShare</t>
  </si>
  <si>
    <t>https://www.tripadvisor.co.uk/Hotel_Review-g186338-d1812157-Reviews-or115</t>
  </si>
  <si>
    <t>Polydolly1981 wrote a review May 2019Glasgow, United Kingdom35 
contributions18 helpful votes</t>
  </si>
  <si>
    <t>Needs updatingAwful place to stay, usually stay round the corner at the Holborn Travel 
lodge which is much better. Drury Lane is quieter but needs complete 
renovation. Windows were so dirty you couldn’t see through them, the bath 
and basin were stained and the whole room looked looked grubby. 
Housekeeping arrived late afternoon, forgot to replace towels and twice 
left our door open. Reception said it would report this to managers as it 
was ‘unacceptable’. We stayed for 3 nights and had to get the key card 
recharged everyday, as we were on the 7th floor, having to go back to 
reception after a long day wasn’t ideal. Overheard others complaining, so 
think that staff were bored of listening to people moaning. This hotel is 
in a perfect location, and could be a great budget option, but needs 
to…Read moreReview collected in partnership with TravelodgeDate of stay: 
August 2019HelpfulShareResponse from TravelodgeUK, Tilly from The Social 
Media Team at Travelodge London Covent GardenResponded 27 Aug 2019Thank you 
for submitting your review of our London Covent Garden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</si>
  <si>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Perfect locationClean well presented hotel. Really helpful staff. 2 minute walk from 
Aldgate and 5 mins from Liverpool Street for easy access to all of London. 
I wouldn’t hesitate to stay here again. Great value for money!Read 
moreReview collected in partnership with TravelodgeDate of stay: May 
2019HelpfulShare</t>
  </si>
  <si>
    <t>Edith G wrote a review Aug 2019Portsoy, United Kingdom69 contributions20 
helpful votes</t>
  </si>
  <si>
    <t>https://www.tripadvisor.co.uk/Hotel_Review-g186338-d13569031-Reviews-or660-Travelodge_London_City_hotel-London_England.html#REVIEWS</t>
  </si>
  <si>
    <t>Annabelle Thomas wrote a review May 20192 contributions1 helpful vote</t>
  </si>
  <si>
    <t>Brilliant TravelodgeTravelodge London City Hotel is a brilliant hotel to stay in. Bedroom 
lovely, crisp clean white bedsheets. Breakfast delicious and good value. 
The staff at the hotel were warm and welcoming. The hotel is very near to 
tube station so very accessible. We would not hesitate to staying here 
again and we are looking forward to our next stay very much.Read moreReview 
collected in partnership with TravelodgeDate of stay: May 2019HelpfulShare</t>
  </si>
  <si>
    <t>Reyes wrote a review May 2019Madrid, Spain6 contributions2 helpful votes</t>
  </si>
  <si>
    <t>Disappointing visitHaving stayed here previously 2 years ago decided to stay here again as 
location great being very central and on the Piccadilly line straight from 
Terminal 5 at the airport. Decided to book a Super room this time around 
but do not be fooled that "Super"means bigger as it certainly was not that. 
Room we had previously was twice as big and just a normal room! We were 
allocated a room on the 9th floor and walking up to room fabulous views of 
the London skyline-not so in the room-view was into an opposite building! 
Got surprise at size of room though-didnt expect it to be so small! One set 
of towels for 2 people and when we flagged down one of the cleaning staff 
she wasn't very willing to give us a 2nd hand towel and tried to say she 
didn't understand what we meant! The toilet seat…Read moreDate of stay: 
August 20191 Helpful voteHelpfulShareResponse from TravelodgeUK, Ben from 
the Social Media Team at Travelodge London Covent GardenResponded 1 Sep 
2019Thank you for taking the time to write a review about our London Covent 
Garden hotel. We're pleased to hear that you like the hotels location and 
the team are friendly however we are sorry to learn of your disappointment 
with the size of the SuperRoom and facilities provided and that your room 
was not serviced. In our SuperRooms we provide an in-room Lavazza A Modo 
Mio coffee machine, Hansgrohe Raindance 3jet adjustable shower, a choice of 
firm or soft hypoallergenic pillows, blackout curtains, 32” Samsung 
Freeview TV and an in-room hairdryer, iron &amp; ironing board as well as a few 
other extras. We appreciate all the feedback we receive and our Hotel 
Managers regularly review their TripAdvisor reviews in order to fix any 
issues raised and pass on feedback to their team. Thank you once again and 
we do hope you will stay with us in the future.Read more</t>
  </si>
  <si>
    <t>Great HotelWe chose this hotel for a family trip to London. Brand new hotel, quiet, 
clean comfortable rooms, great location and friendly staff. We had a family 
room and it was perfect. The breakfast option was also great value for 
money.Read moreReview collected in partnership with TravelodgeDate of stay: 
May 2019HelpfulShare</t>
  </si>
  <si>
    <t>https://www.tripadvisor.co.uk/Hotel_Review-g186338-d193057-Reviews-or710-Travelodge_London_Covent_Garden-London_England.html#REVIEWS</t>
  </si>
  <si>
    <t>emsey78 wrote a review May 2019Worcester, United Kingdom9 contributions1 
helpful vote</t>
  </si>
  <si>
    <t>Siobhan O wrote a review Aug 2019Birmingham, United Kingdom10 
contributions4 helpful votes</t>
  </si>
  <si>
    <t>Great location and comfortable stayThe hotel is located within short walking distance of tube stations and 
sights such as the Tower of London. There are numerous pubs, restaurants 
and shops nearby. The room was clean, quiet and of a decent size.Read 
moreReview collected in partnership with TravelodgeDate of stay: May 
2019HelpfulShare</t>
  </si>
  <si>
    <t>Lovely hotel in a great locationLovely room and excellent value for money for a central London location. 
Travelodge always great choice as offers way better value than most other 
hotels especially for London where prices are really high.Read moreDate of 
stay: August 2019HelpfulShare</t>
  </si>
  <si>
    <t>https://www.tripadvisor.co.uk/Hotel_Review-g186338-d13569031-Reviews-or665-Travelodge_London_City_hotel-London_England.html#REVIEWS</t>
  </si>
  <si>
    <t>Jelena Qwaraski wrote a review Aug 2019Central Romania, Romania3 
contributions</t>
  </si>
  <si>
    <t>MJW998 wrote a review May 2019Peterlee, United Kingdom68 contributions35 
helpful votes</t>
  </si>
  <si>
    <t>Best Ever TravelodgeCannot fault this place. Exceptional staff throughout, very obliging in all 
departments. All hardworking to ensure it all works for the customers, and 
it certainly does ! The food and drink is of very high quality and at an 
exceptional price for London. Price excellent too.Read moreDate of stay: 
May 2019HelpfulShare</t>
  </si>
  <si>
    <t>Enjoyable stay from central shoreLoved the stay in travel lodge though room service is needed to be 
improved. But overall me and my friend enjoyed our stay here. Wish they 
could offer hot breakfast , one of the thing I love about English 
culture.Read moreDate of stay: August 2019HelpfulShare</t>
  </si>
  <si>
    <t>jaywhay1 wrote a review May 2019Trentham, United Kingdom100 contributions27 
helpful votes</t>
  </si>
  <si>
    <t>2nd Visit &amp; Great againWe stayed for our 2nd stay for 2 nights. Check in was easy and swift , all 
the staff are excellent , friendly &amp; helpful . Ideally located , 2 mins 
walk from tube . Clean comfy rooms , room 445 nice &amp; quiet shower fab , tv 
great , bed comfy . Bar area lovely , all in all a really nice clean modern 
hotel , reasonably priced too . This is our favourite Travelodge and we 
will 100% be back .Read moreDate of stay: May 2019HelpfulShare</t>
  </si>
  <si>
    <t>London__Love_1 wrote a review May 2019Manchester, United Kingdom3 
contributions1 helpful vote</t>
  </si>
  <si>
    <t>Rob J wrote a review Aug 2019Keele, United Kingdom46 contributions24 
helpful votes</t>
  </si>
  <si>
    <t>FabBrilliant stay, quite central to most attractions in London, Plus 5 minutes 
from two tube stations. Loved the idea of the coffee machine in the room, 
and the kitkats! Will stay here again in future whenever I am in London 
againRead moreReview collected in partnership with TravelodgeDate of stay: 
May 2019HelpfulShare</t>
  </si>
  <si>
    <t>A well located hotel off Drury Lane in central LondonI stayed in this hotel for one night in August 2019 for a business trip. 
The main reason I chose it was that I got a good price compared with other 
hotels in the area, but it is well located for Covent Garden, Oxford Street 
and the British Museum, and the rooms are standard Travelodge format - 
comfortable and clean. My only issue was in the restaurant in the evening, 
where the staff member taking our order didn't really know what he was 
doing, and initially we were overcharged. It was eventually rectified, but 
some improved staff training is clearly needed.Read moreDate of stay: 
August 2019HelpfulShare</t>
  </si>
  <si>
    <t>https://www.tripadvisor.co.uk/Hotel_Review-g186338-d13569031-Reviews-or670-Travelodge_London_City_hotel-London_England.html#REVIEWS</t>
  </si>
  <si>
    <t>https://www.tripadvisor.co.uk/Hotel_Review-g186338-d193057-Reviews-or715-Travelodge_London_Covent_Garden-London_England.html#REVIEWS</t>
  </si>
  <si>
    <t>Kim v wrote a review May 20191 contribution</t>
  </si>
  <si>
    <t>Phill999535 wrote a review Aug 2019Manchester, United Kingdom23 
contributions5 helpful votes</t>
  </si>
  <si>
    <t>Perfect for a city trip!This hotel is new, clean, modern! Friendly hotel staff, 4 minutes from 
metro and close to train station! Coffee and tea in the room and iron 
facility! Perfect hotel for a city trip! Next time when I go to London I 
return to this hotel!Read moreReview collected in partnership with 
TravelodgeDate of stay: May 2019HelpfulShare</t>
  </si>
  <si>
    <t>Flying visit thankfullyNot up to standard of what you would expect of a major hotel group. The 
initial thought on entering the hotel were ok but once in the corridors on 
the floor in this case the 3rd floor the appearance looked a bit worse for 
wear. The rooms we booked as well left a lot to be desired. The bathroom 
doors wouldn’t close in either room and the tv in my room was small and 
looked like a botch up job on being connected to the wall and the rooms as 
a whole with the furniture looked drab. Sorry but it did. The shower was 
good but overall the bathroom was dated and had that cheap feel to it. 
Sorry Travellodge. On the plus side the staff were helpful and friendly 
enough and the location if you know London was good. 3/5 minutes from 
Covent Garden and 10 minte walk to Leicester Square. Would I…Read moreDate 
of stay: August 2019HelpfulShareResponse from TravelodgeUK, James from the 
Social Media Team at Travelodge London Covent GardenResponded 29 Aug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</si>
  <si>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https://www.tripadvisor.co.uk/Hotel_Review-g186338-d13569031-Reviews-or675-Travelodge_London_City_hotel-London_England.html#REVIEWS</t>
  </si>
  <si>
    <t>Lily H wrote a review Aug 2019Cornwall UK4 contributions2 helpful votes</t>
  </si>
  <si>
    <t>Harvey W wrote a review Apr 2019Alresford, United Kingdom54 contributions13 
helpful votes</t>
  </si>
  <si>
    <t>Perfect location!Fast stress free check in. Great staff. We had a room on the ground floor 
so it took seconds to exit the hotel &amp; into the buzz of Covent Garden! The 
room smelt lovely &amp; fresh, really clean, I was impressed for the price we 
paid. Definitely great value for money. We will definitely book this hotel 
again!Read moreReview collected in partnership with TravelodgeDate of stay: 
August 2019HelpfulShare</t>
  </si>
  <si>
    <t>Modern hotelI stayed here on an overnight stay and it was a really nice surprise. Very 
modern and updated, room was clean, warm and spacious. Bed was great and I 
was comfortable. Self check in was easy to use, and the facilities looked 
good, but I didn’t use them. My only gripe is the charge for WiFi - come 
on, it’s not necessary...Read moreDate of stay: March 2019HelpfulShare</t>
  </si>
  <si>
    <t>DCorby wrote a review Aug 2019United Kingdom234 contributions36 helpful 
votes</t>
  </si>
  <si>
    <t>Dave504076 wrote a review Apr 2019Worksop, United Kingdom10 contributions7 
helpful votes</t>
  </si>
  <si>
    <t>Value for moneyGreat stay very nice room and all the staff were friendly .Good atmosphere 
in this hotel with a very good breakfast included for a very low price. Our 
room was on the 6th floor and although the hotel was full the lifts were 
quick and it was very quiet in the room which had a very comfortable bed. 
Thanks Travelodge had a great stay.Read moreReview collected in partnership 
with TravelodgeDate of stay: April 2019HelpfulShare</t>
  </si>
  <si>
    <t>mpsrent wrote a review Apr 2019Orillia, Canada85 contributions62 helpful 
votes</t>
  </si>
  <si>
    <t>Nice hotelLovely hotel right in the middle of Covent Garden. Great access to shops 
and food. Great transport with Covent Garden tube 5 minute walk. Leicester 
Square tube 10 minute walk. Great hotel for all the theatres. Big hotel 
with friendly staff great reception area and bar and food is reasonably 
priced. Quiet considering location. Room has iron ironing board kettle 
hangers and extra pillows. All rooms are air conditioned. Nice shower. 
Highly recommend.Read moreDate of stay: August 2019HelpfulShare</t>
  </si>
  <si>
    <t>Good location, value and property.Clean, modern and efficient offered at fair value, exactly what Travelodge 
is known for. A good location, near the Aldgate Underground station yet set 
back enough from the main road that the hotel is quiet.Read moreDate of 
stay: April 2019HelpfulShare</t>
  </si>
  <si>
    <t>ItsSnowBunny wrote a review Aug 2019UK8 contributions7 helpful votes</t>
  </si>
  <si>
    <t>PatandPeteMarriott wrote a review Apr 2019Bedford, United Kingdom24 
contributions6 helpful votes</t>
  </si>
  <si>
    <t>Value for moneyA well located hotel near underground. Comfortable and quiet room. No 
hairdryer and none available when requested which was the only negative 
with regards to room facilities and a small leak in the bathroom.Read 
moreReview collected in partnership with TravelodgeDate of stay: April 
2019HelpfulShare</t>
  </si>
  <si>
    <t>What has happened to the Travelodge?Previous visits have been fine. This time staff were unable to give 
accurate information on the rooms. Ask for a quiet room got one on the 
ground floor, opposite the pub next to the road. No sleep ensued.Read 
moreDate of stay: August 2019HelpfulShareResponse from TravelodgeUK, James 
from the Social Media Team at Travelodge London Covent GardenResponded 29 
Aug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</si>
  <si>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https://www.tripadvisor.co.uk/Hotel_Review-g186338-d13569031-Reviews-or680-Travelodge_London_City_hotel-London_England.html#REVIEWS</t>
  </si>
  <si>
    <t>TravelfunBedford wrote a review Aug 2019Bedford353 contributions64 helpful 
votes</t>
  </si>
  <si>
    <t>Good location and stayGood clean room, Quiet room, tea making facilities were good. Appreciated 
being able to open outside window for fresh air. Would be helpful to have a 
hair dryer in the room rather than having to go back to reception for one. 
The shower curtain was ineffective and flooded the bathroom.Read moreReview 
collected in partnership with TravelodgeDate of stay: August 
2019HelpfulShare</t>
  </si>
  <si>
    <t>Freedom216075 wrote a review Apr 20191 contribution</t>
  </si>
  <si>
    <t>https://www.tripadvisor.co.uk/Hotel_Review-g186338-d193057-Reviews-or720-Travelodge_London_Covent_Garden-London_England.html#REVIEWS</t>
  </si>
  <si>
    <t>Right in the Citystrategic location near subway and public transport and quiet room, 
comfortable bed, friendly and helpful staff, good breakfast. Poor carpet 
cleaning and bedside tables too small. There are no cabinets.Read 
moreReview collected in partnership with this hotelDate of stay: April 
2019HelpfulShare</t>
  </si>
  <si>
    <t>Kevan T wrote a review Apr 2019Pretoria190 contributions68 helpful votes</t>
  </si>
  <si>
    <t>Louise P wrote a review Aug 2019Hebden Bridge, United Kingdom1 contribution</t>
  </si>
  <si>
    <t>Brand new TravelodgeConveniently situated near Underground Stations and tourist attractions. 
Not sure if parking was offered. Eg Tower Bridge 15mins , St Pauls 25mins. 
Although there are so many lesser known interesting buildings on the way it 
can take much longer:-) Being very new all the areas in the hotel were 
modern, bright and spotless. All the staff were friendly and helpful 
Bedroom had very comfortable bed,pillows , again new bathroom (shower only) 
. TV, coffee tea etc. available in the room Although it had a small open 
hanging area there were no other clothes storage area meaning "living out 
of the suitcase" , which for 3 nights was not a problem. We did not have an 
inclusive breakfast deal which many guests obviously had. Breakfast was 
9.25 GBP and was unlimited buffet style and…Read moreDate of stay: April 
2019HelpfulShare</t>
  </si>
  <si>
    <t>Excellent Value for MoneyThe hotel is centrally located - easy to find. Check in and out was very 
easy and quick and the staff were efficient and friendly. The room was 
immaculately clean, quiet and the bed was very comfy. It had a great 
shower, good wifi and television service. Everything you need for a short 
stay in London.Read moreReview collected in partnership with TravelodgeDate 
of stay: August 2019HelpfulShare</t>
  </si>
  <si>
    <t>https://www.tripadvisor.co.uk/Hotel_Review-g186338-d13569031-Reviews-or685-Travelodge_London_City_hotel-London_England.html#REVIEWS</t>
  </si>
  <si>
    <t>bujumarley247 wrote a review Aug 2019london3 contributions</t>
  </si>
  <si>
    <t>TheNatGee wrote a review Apr 20195 contributions1 helpful vote</t>
  </si>
  <si>
    <t>West end hotelReally nice place to stay but i you are a wheelchair user you will have to 
go around the back of the hotel up 3 ramps buzz on the intercom go across 
the courtyard down a ramp press the button to let yourself in then make 
your way to receptionRead moreReview collected in partnership with 
TravelodgeDate of stay: August 2019HelpfulShare</t>
  </si>
  <si>
    <t>First classFor an 'inexpensive' hotel, this place is fabulous. Room is modern and 
clean. Bed comfortable. Staff incredibly polite and professional. Shower 
amazing... more than than that, totally awesome...! What else can you ask 
for? Evening dinner really good, and kitchen was more than happy to adapt 
to my needs. Staying for business so breakfast included - my only negative. 
The cooked breakfast was a tad tasteless and dry. However, the positives 
far outweigh any negatives so more than happy to give 5 stars. Thank you 
for a clean, restful stay - would definitely book again. Thank you!Read 
moreDate of stay: April 2019HelpfulShare</t>
  </si>
  <si>
    <t>karenbX1361VP wrote a review Aug 20194 contributions</t>
  </si>
  <si>
    <t>Dave L wrote a review Apr 2019Cranfield, United Kingdom27 contributions9 
helpful votes</t>
  </si>
  <si>
    <t>Fantastic location and value for money!The hotel was in a great location, just a short walk from lots of tourist 
attractions. The room was a good size (twin) and all the facilities were in 
good working order. Will definitely be booking again!Read moreReview 
collected in partnership with TravelodgeDate of stay: August 
2019HelpfulShare</t>
  </si>
  <si>
    <t>Very NiceWent for an 1 night stay to London. Very close to Aldergate Underground, 
which was handy. The room was clean and tidy as was the Hotel. Nice and 
friendly staff. There is a Bar Cafe and WIFI at the hotel.Read moreDate of 
stay: April 2019HelpfulShare</t>
  </si>
  <si>
    <t>helene232019 wrote a review Aug 20192 contributions</t>
  </si>
  <si>
    <t>Japetu wrote a review Apr 2019Helsinki, Finland, Europe44 contributions30 
helpful votes</t>
  </si>
  <si>
    <t>Average hotel in great locationGreat location, close to centre and underground. But the hotel itself is 
just average, it’s very big and you don’t feel very welcome there. Rooms 
are big but not very modern. We also had dirty sheets, which we then had to 
change ourselves. And although we booked two rooms we were put in the two 
different houses they have. Staff was not very helpful or sorry here. Also 
our room was never cleaned, even after asking for it. Also here the staff 
was not really interested.Read moreDate of stay: August 2019HelpfulShare</t>
  </si>
  <si>
    <t>71jones wrote a review Aug 2019Wrexham, United Kingdom32 contributions30 
helpful votes</t>
  </si>
  <si>
    <t>Pleasant stay in Travelodge London CityStayed for 4 nights in Travelodge London City just around the corner from 
Aldgate Underground station. Well located, with just a short walk to 
Shoreditch, Spitalfields market, Brick Lane, Whitechapel and Liverpool 
Street Station. Hotel was quite new, and looked like it. Its basic, but for 
£380 we paid for 4 nights for 4 people (including buffet breakfast), its 
VERY good value for money. It was a bank holiday, and hotel was packed to 
the max, but it was quiet and beds are very comfortable. Slept like a baby. 
And it was a first London hotel that actually had a shower that had proper 
water pressure! Cons: - No hand towel in room - If you wanted more toilet 
paper you had to go and ask for more yourself. - During busy hours the 
breakfast staff didnt seem know what they were…Read moreReview collected in 
partnership with TravelodgeDate of stay: April 2019HelpfulShare</t>
  </si>
  <si>
    <t>Family room higher Holborn siteWe stayed in a family room on the higher Holborn. Was nervous after reading 
reviews about the room and expected the worst. However we were very happy 
with the room. It was big and clean (windows shockingly dirty though with 
‘clean me’ written into them!). No air con but bearable with fan. Excellent 
central location. However hotel let itself down. On our second day a 
message on my phone was asking why our stuff was still in our room! It 
asked us to call reception. However the number it gave was City Road 
travelodge. They were confused but gave the correct number. After 1/2 hour 
of phoning Covent Garden and no answer we had to abandon the London bus 
tour and tickets for the London eye to return to the hotel. In the meantime 
I phoned central reservations who said our final two…Read moreDate of stay: 
August 2019HelpfulShare</t>
  </si>
  <si>
    <t>https://www.tripadvisor.co.uk/Hotel_Review-g186338-d13569031-Reviews-or690-Travelodge_London_City_hotel-London_England.html#REVIEWS</t>
  </si>
  <si>
    <t>Jill W wrote a review Apr 2019Plymouth, United Kingdom3 contributions</t>
  </si>
  <si>
    <t>https://www.tripadvisor.co.uk/Hotel_Review-g186338-d193057-Reviews-or725-Travelodge_London_Covent_Garden-London_England.html#REVIEWS</t>
  </si>
  <si>
    <t>A good choiceGood location near tubes and buses for exploring central London. Staff were 
friendly and knowledgeable about local area. Room was clean and comfortable 
and sound proofing was also good so no disturbances from hall or other 
rooms as can sometimes happen in more expensive brands.Read moreReview 
collected in partnership with TravelodgeDate of stay: April 2019HelpfulShare</t>
  </si>
  <si>
    <t>Lally-Anna22 wrote a review Aug 2019Newport, United Kingdom226 
contributions32 helpful votes</t>
  </si>
  <si>
    <t>Not too impressedMy daughter and I had a weekend here for our annual theatre trip. First 
time we've stayed in travel lodge accommodation and not sure I would 
return. The room was listed a superior, bed was comfy lighting and air con 
fine, use of iron and board plus hairdryer. You leave a door hanger outside 
if you want your room done. This we did and all that happened was the bed 
being made! Bathroom not cleaned nor bath mat replaced, got very wet due to 
shower curtain not covering well. Shower head was static and shower gel 
container empty. There was only a brick wall visible from the window, hence 
the curtains being closed. Breakfast was buffet style, not a huge choice if 
you wanted continental style. Scrambled eggs only option on cooked 
breakfast. The area where breakfast is served got…Read moreDate of stay: 
August 2019HelpfulShare</t>
  </si>
  <si>
    <t>DarlCap wrote a review Aug 2019Calgary, Canada70 contributions28 helpful 
votes</t>
  </si>
  <si>
    <t>Location is the bestStayed at Travelodge for one night. Let me start by saying that their 
location is the best feature of the hotel. It is walking distance to 
Leicester Square and Trafalgar Square. I paid extra for early check-in. As 
per their website, if you book a family room, you go and check-in at 
Holborn Road. So, I did but when I got there, I was told that we were 
assigned a room at Covent Garden which is like a 2-minute walk. When we got 
there, our room has no hot water but I didn't complain because we just came 
from an 8-hour flight and just wanted to shower. The room was super tiny. 
They provided very basic amenities Then came the worst part, the toilet was 
clogged. We tried to call Reception but the room has no phone. They don't 
have phones in the room! My son…Read moreDate of stay: July 
2019HelpfulShareResponse from TravelodgeUK, Shaf from the Social Media 
Team. at Travelodge London Covent GardenResponded 20 Aug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</si>
  <si>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EssexGirlAtHeart wrote a review Aug 2019Yeovil, United Kingdom30 
contributions11 helpful votes</t>
  </si>
  <si>
    <t>Return Trip - Still Just as GoodSpent two nights in this hotel last summer, and returned for another two 
nights last week. The hotel is still just as good, and it was lovely to see 
Renata still working there (her cheerful, sing-song, voice as you check in 
for breakfast is a delight). Once again we had a room on the first floor 
(of the Drury Lane site), and it was clean, well appointed and perfectly 
adequate for our needs. Bed was really comfy, and, as we were on the back 
of the hotel, there was no noise from the road/street - it was so quiet 
that it was almost impossible to believe that we were in central London. 
Breakfast was great; yes it was busy, but it's a big hotel with a lot of 
guests, and the staff were working their socks off clearing tables and 
replenishing the food. From our experience, for the…Read moreDate of stay: 
August 2019HelpfulShare</t>
  </si>
  <si>
    <t>https://www.tripadvisor.co.uk/Hotel_Review-g186338-d13569031-Reviews-or695-Travelodge_London_City_hotel-London_England.html#REVIEWS</t>
  </si>
  <si>
    <t>LYNNE B wrote a review Aug 2019Arundel, United Kingdom10 contributions6 
helpful votes</t>
  </si>
  <si>
    <t>What more do you want?I dont see the point in paying a lot of money to stay in other hotels when 
this one ticks all the boxes. I have stayed in a hotel just round the 
corner that cost 5 times as much. Yes, very nice furnishings, beautifully 
decorated, luxury bath products, but I'd rather save my money to spend 
elsewhere. Have stayed at this Travelodge twice before. Speedy check in &amp; 
out, immaculate room &amp; bedding, tea/coffee - kit kats! Will be going 
again.Read moreDate of stay: August 2019HelpfulShare</t>
  </si>
  <si>
    <t>paul j wrote a review Apr 20196 contributions1 helpful vote</t>
  </si>
  <si>
    <t>great stay friendly staffWe stayed here was a nice room clean hotel and friendly staff , we had a 
good nights sleep and it met our needs was priced fair for the time of year 
it is we like travelodge because its checkout time is middayRead moreDate 
of stay: April 2019HelpfulShare</t>
  </si>
  <si>
    <t>https://www.tripadvisor.co.uk/Hotel_Review-g186338-d193057-Reviews-or730-Travelodge_London_Covent_Garden-London_England.html#REVIEWS</t>
  </si>
  <si>
    <t>Michael S wrote a review Apr 2019South East England, United Kingdom25 
contributions2 helpful votes</t>
  </si>
  <si>
    <t>RoadTrip_Kids wrote a review Aug 2019Cambridge, United Kingdom14 
contributions6 helpful votes</t>
  </si>
  <si>
    <t>London basePerfect location to everything 5 mins max to Aldgate East tube to 
Embankment which you can easily walk to Covent Garden, Southbank brand new 
very comfortable, breakfast was ok if you like cooked breakfast but very 
little option other than this cereal, small section of fruit &amp; plain 
croissant we did eat dinner here as was always out.Read moreDate of stay: 
April 2019HelpfulShare</t>
  </si>
  <si>
    <t>Lore S wrote a review Apr 2019Reading, United Kingdom106 contributions25 
helpful votes</t>
  </si>
  <si>
    <t>AWFUL SMELLY ROOMS!! (Mum &amp; Young Child)I have been trying to find contact details for this hotel online or via 
phone and am constantly told the ‘chatbot advisors’ are not available. 
Therefore I’m forced to vent here to try and get someones attention from 
this hotel/company. I was terribly disappointed and upset with my recent 
stay at this Covent Garden Hotel. I booked well in advance and was offered 
an early check in for £10 when my little boy and I arrived at 12 noon-ish 
on the 6th of August after travelling from Northamptonshire. We were 
travelling alone and had booked for 2 nights to be as central as possible, 
for safety reasons, and to have easy access to the West End. On entering 
the room there was a rancid, overwhelming smell that was horrendous and 
made us both gag. I still can’t really explain what the…Read moreDate of 
stay: August 2019HelpfulShareResponse from TravelodgeUK, Niki from The 
Social Media Team at Travelodge London Covent GardenResponded 19 Aug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</si>
  <si>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what a wonderful hotela surprise, never expected to be this good.. close to 2 metro stops, 
walking distance to shoreditch or tower of london..food market close 
by..quiet and clean..anything you wish for from a hotel and at a decent 
price! thank youRead moreReview collected in partnership with 
TravelodgeDate of stay: April 20191 Helpful voteHelpfulShare</t>
  </si>
  <si>
    <t>Minijellybaby wrote a review Aug 2019Telford, United Kingdom30 
contributions6 helpful votes</t>
  </si>
  <si>
    <t>https://www.tripadvisor.co.uk/Hotel_Review-g186338-d13569031-Reviews-or700-Travelodge_London_City_hotel-London_England.html#REVIEWS</t>
  </si>
  <si>
    <t>Nick T wrote a review Apr 2019Snaith, United Kingdom8 contributions2 
helpful votes</t>
  </si>
  <si>
    <t>Excellent location - average hotelWe stayed for a night in this hotel in August. Myself and my son as I took 
him to London to watch a show at kids week. The location of the hotel is 
amazing close to all central attractions and the tube Their is a small park 
just off Drury lane which smaller kids would love with a water fountain for 
free water too. The staff were amazing and couldn’t do enough to help . The 
parking is expensive ( but if you ask the staff on arrival they can give 
you a discount card which gives 50% off but this doesn’t work for weekends 
) The breakfast was average and a bit of a scramble But it’s a central 
London cheap hotel so I would have expected it to be very busy. It was 
clean and there was everything we needed The room and the hotel are dated . 
Rough around the edges ( skirting /…Read moreDate of stay: August 
2019HelpfulShareResponse from TravelodgeUK, Zack from The Social Media Team 
at Travelodge London Covent GardenResponded 19 Aug 2019Thank you for taking 
the time to review our London Covent Garden hotel. We are pleased to hear 
that you found the location of the hotel to be ideal for your stay, and 
that our staff provided great service during your stay. We will be sure to 
pass your comments on to the hotel regarding the breakfast and the dated 
rooms so we are able to try to improve the service we can provide to our 
guests. Thank you again for leaving a review of our London Covent Garden 
hotel.Read more</t>
  </si>
  <si>
    <t>Great Location, helpful staff and very clean room.A great 3 night break in a fab part of London. Easy access to a range of 
tube lines and also on a few bus routes too. The bar is pleasant for a 
nightcap and the room was very quiet despite its location. This is the 
fourth time we’ve stayed at this Travelodge, now our first choice place to 
stay for any London trip.Read moreReview collected in partnership with 
TravelodgeDate of stay: April 2019HelpfulShare</t>
  </si>
  <si>
    <t>RICHARD G wrote a review Apr 2019EAST YORKSHIRE126 contributions147 helpful 
votes</t>
  </si>
  <si>
    <t>clairecollyer75 wrote a review Aug 2019Bristol, United Kingdom1 contribution</t>
  </si>
  <si>
    <t>Excellent LocationMy wife and I have just returned from a 2 night stay at this Travelodge. 
Firstly the checking in staff on reception were friendly and helpful. The 
Hotel is clean and light with a modern feel. Security was good as access to 
the rooms from reception was via a swipe card system.The room was clean and 
modern. The only down side was no view of any description as we had frosted 
glass in our window. Storage space for clothes is at a minimum, but an Iron 
and Ironing board was available in the room should you have to leave 
clothes in your case. Tea and Coffee making in the room, with extra coffee 
sugar etc available from the reception. Could really have done with a small 
fridge in the room to keep drinks cold. Good choice at breakfast. Also 
fresh fruit available. Hotel is very close to…Read moreDate of stay: April 
2019HelpfulShare</t>
  </si>
  <si>
    <t>AverageThe rooms were very basic, old windows which did not block out the traffic 
noise and the carpets in the corridors leading to the rooms were very old 
and dirty. Bathroom was very basic. However, breakfast was good.Read 
moreReview collected in partnership with TravelodgeDate of stay: August 
2019HelpfulShare</t>
  </si>
  <si>
    <t>Global41084769209 wrote a review Apr 2019Hamburg, Germany1 contribution</t>
  </si>
  <si>
    <t>Baz Harding-Clark wrote a review Aug 2019Bath, United Kingdom38 
contributions16 helpful votes</t>
  </si>
  <si>
    <t>Great hotel and nice peopleI stayed for 3 nights. Checking in was easy, checking out was easy. Stay 
was great and I feel absolutely secure. Different security options to open 
doors etc. Easy to keep your luggage after checking out. Reception 24hrs 
and always friendly and interested people you look after you.Read 
moreReview collected in partnership with TravelodgeDate of stay: April 
2019HelpfulShare</t>
  </si>
  <si>
    <t>Pinheadplanet wrote a review Apr 2019London, United Kingdom1,253 
contributions271 helpful votes</t>
  </si>
  <si>
    <t>PerfectFor the location and price this hotel is perfect.. the only negative is the 
windows was filthy which ruined the view.. other than that great place, we 
have stayed here twice now and will rebook in the futureRead moreDate of 
stay: August 2019HelpfulShare</t>
  </si>
  <si>
    <t>Spot on. So much better than Premier Inn in DalstonGreat hotel for the price. If you happen to need the local area then it's 
great. I was working in north London but this was still the cheapest place. 
Very comfortable room as the hotel is still very new. Would definitely stay 
again if the rates remain at these levels. Think l paid less than £100 for 
2 nights.Read moreDate of stay: April 2019HelpfulShare</t>
  </si>
  <si>
    <t>https://www.tripadvisor.co.uk/Hotel_Review-g186338-d193057-Reviews-or735-Travelodge_London_Covent_Garden-London_England.html#REVIEWS</t>
  </si>
  <si>
    <t>https://www.tripadvisor.co.uk/Hotel_Review-g186338-d13569031-Reviews-or705-Travelodge_London_City_hotel-London_England.html#REVIEWS</t>
  </si>
  <si>
    <t>scottfamily123 wrote a review Apr 2019stratford upon avon3 contributions</t>
  </si>
  <si>
    <t>Gabsysian wrote a review Aug 20194 contributions4 helpful votes</t>
  </si>
  <si>
    <t>Very noisyhotel doors being slammed shut all night long. very noisy from our room 115 
could even hear people talking outside. room very large and spacious and 
beds comfortable. breakfast nice and all hot. reception staff friendly. 
good location.Read moreReview collected in partnership with TravelodgeDate 
of stay: April 2019HelpfulShareResponse from TravelodgeUK, Tilly from The 
Social Media Team at Travelodge London City hotelResponded 30 Apr 2019Thank 
you for your comments about our London City hotel. We're sorry to learn 
that your stay was affected by internal noise, however we are pleased to 
hear that you were happy with your room, you enjoyed breakfast, our hotel 
team were friendly and you enjoyed the location of the hotel. We will pass 
your feedback to the hotel team to help improve the service that we offer 
and we hope to welcome you back soonRead more</t>
  </si>
  <si>
    <t>Filthy, non frills for over £200 a night ��Filthy windows, bathroom smelt of urine, excessively hot rooms, bathroom 
smelt of urine, stained towels, torn chair and a rusty old pedal bin in the 
bathroom. When I complained at re epitome, was advised to resolve online as 
I declined their voucher offering to stay st another TravelodgeRead 
moreReview collected in partnership with TravelodgeDate of stay: August 
2019HelpfulShareResponse from TravelodgeUK, Shaf from the Social Media 
Team. at Travelodge London Covent GardenResponded 18 Aug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</si>
  <si>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trzy_ptaki wrote a review Apr 2019Warsaw, Poland47 contributions14 helpful 
votes</t>
  </si>
  <si>
    <t>Barney wrote a review Aug 201968 contributions11 helpful votes</t>
  </si>
  <si>
    <t>Would stay there agsinNew, clean and well maintained hotel. Family friendly. Great location. Easy 
access to buses, tube and trains. Breakfast possibile however we didnt 
tried it. Restaurant serves dinners as well, not bad, dont expect master 
chef level though.Read moreReview collected in partnership with 
TravelodgeDate of stay: April 2019HelpfulShare</t>
  </si>
  <si>
    <t>SeanFC wrote a review Apr 2019Manchester, United Kingdom3 contributions</t>
  </si>
  <si>
    <t>Fully FunctionalLet's face it you don't stay in London to sit in a hotel. Room was fine. 
Don't know what they'd say on TV's Four in a Bed about the bathroom�� but 
does what it says on the tin. Bed REALLY comfortable and room air 
conditioned. Although the outside of the building looks like a 1960's B 
movie.Read moreDate of stay: August 2019HelpfulShare</t>
  </si>
  <si>
    <t>https://www.tripadvisor.co.uk/Hotel_Review-g186338-d1812157-Reviews-or120</t>
  </si>
  <si>
    <t>Clean, convenient and reasonable priceStayed here for two nights with my wife and two children aged 6 and 2. With 
the two single beds out there was only a little bit of room between each 
bed but enough to walk through when going to the toilet. The room was clean 
and the beds comfortable and it was nice and quiet for a good nights sleep. 
The bathroom was small but totally functional and we had no problem bathing 
the children in there. We had a suitcase with us and there was no real room 
to open it out other than on the bed, as we also had a pushchair in the 
room. The breakfast was good and the staff were friendly and helpful. A 
good location near enough equidistant between Aldgate and Aldgate East tube 
station which access different lines, neither of these is wheelchair (or in 
our case push chair) friendly and this…Read moreReview collected in 
partnership with TravelodgeDate of stay: April 2019HelpfulShare</t>
  </si>
  <si>
    <t>cranfk wrote a review Aug 2019Aberdeen, United Kingdom34 contributions21 
helpful votes</t>
  </si>
  <si>
    <t>Liesbet G wrote a review Apr 2019Turnhout, Belgium77 contributions14 
helpful votes</t>
  </si>
  <si>
    <t>Good basic hotel for a very good price!Standard room is a good size (place enough around the bed, and for your 
suitcases and on the desk and two chairs!). Bathroom is not big but clean 
and enough space to put your belongings. Douche ok, but not that pleasant 
with the shower curtain. Water pressure was a bit low. Very close to Aldate 
Station! Clean area and very new, clean hotel! Very good rate for this size 
of rooms in Londen!!!Read moreReview collected in partnership with 
TravelodgeDate of stay: April 2019HelpfulShare</t>
  </si>
  <si>
    <t>Double BookedVery disappointed as arrived late to our family room due to airline delay - 
1am precisely, to find someone in our room that I booked in May. The staff 
offered us a place in North London so no good to us as we had trains booked 
etc for Saturday and a show so would have been a nightmare. Eventually told 
they had two separate rooms at 2 am only after I asked for the person in 
charge. This morning we had to leave the rooms and they have promised a 
family room for tonight but on the computer system we have been cancelled 
totally, so I’m not holding my breath. My pre paid WiFi was also then not 
working so I will be asking for a refund. I will be raging tonight if we 
return to find no room available. Very poor service by a well known company 
and it has ruined our little weekend trip.Read moreDate of stay: August 
2019HelpfulShareResponse from TravelodgeUK, Shaf from the Social Media 
Team. at Travelodge London Covent GardenResponded 18 Aug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</si>
  <si>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https://www.tripadvisor.co.uk/Hotel_Review-g186338-d13569031-Reviews-or710-Travelodge_London_City_hotel-London_England.html#REVIEWS</t>
  </si>
  <si>
    <t>nicola g wrote a review Apr 2019Peterborough, United Kingdom6 
contributions5 helpful votes</t>
  </si>
  <si>
    <t>Overnight stayStayed here one night 2adults 2 children to visit London tourist areas. We 
got off at Aldgate tube station and went to hotel which was just round the 
corner from station less than a 5 min walk excellent as stayed in London 
before with kids and tubes hav been quite a walk from the tube which late 
at night not keen on.Reception staff were lovely we were located on first 
floor room was nice and clean had 2 put me up beds and a double in the 
middle which really there was just enough room to walk round beds but 
adequate for one night bathroom was clean and shower powerful. Not much of 
a view from our room on to some gravel and what looks like a car park 
maybe.In the restaurant we did not eat or drink but looked nice.On the 
second day we asked if there was somewhere we could leave our…Read moreDate 
of stay: April 2019HelpfulShare</t>
  </si>
  <si>
    <t>Kayla wrote a review Aug 20191 contribution</t>
  </si>
  <si>
    <t>Christine B wrote a review Apr 2019London, United Kingdom24 contributions4 
helpful votes</t>
  </si>
  <si>
    <t>Good stayOur stay was good overall, the breakfast team especially Caroline was 
amazing and really helpful. The bag drop staff were rude but overall the 
experience was good value for money and great location for all 
activities.Read moreDate of stay: August 2019HelpfulShare</t>
  </si>
  <si>
    <t>Room for improvementRoom was basic but comfortable. Good shower. Check in was quick but could 
of been more informative, such as telling as what time breakfast was. 
Breakfast wasn't a very good experience, the cups had run out and when I 
asked for some was told they were on there way, waited 5 mins and then told 
somebody else. The person I originally spoke to over heard me and then just 
said they're in the dishwasher. Poor attitude, no apology or solution 
given. Slow service for food on the night we stayed and we had only ordered 
puddings.Read moreReview collected in partnership with TravelodgeDate of 
stay: April 2019HelpfulShareResponse from TravelodgeUK, Ben from the Social 
Media Team at Travelodge London City hotelResponded 30 Apr 2019Thank you 
for taking the time to share your experience of your stay at our London 
City Travelodge with us. We're pleased to hear that you found your room to 
be comfortable however we are sorry to learn of your disappointment with 
the service in the bar cafe. We appreciate all the feedback we receive and 
our Hotel Managers regularly review their TripAdvisor reviews in order to 
fix any issues raised and pass on feedback to their team. Thank you once 
again and we do hope you will stay with us in the future.Read more</t>
  </si>
  <si>
    <t>E R wrote a review Apr 20191 contribution</t>
  </si>
  <si>
    <t>https://www.tripadvisor.co.uk/Hotel_Review-g186338-d193057-Reviews-or740-Travelodge_London_Covent_Garden-London_England.html#REVIEWS</t>
  </si>
  <si>
    <t>London City TravelodgeVery handy for the Tube. Good for families. Breakfast was really good and 
excellent value for 4 (2 free children) at £18.50! The room was large and 
there was also free tea and coffee (and extra from Reception). Let us store 
our bags and come back for them at 5pm before the train home. Would stop 
there again.Read moreReview collected in partnership with TravelodgeDate of 
stay: April 2019HelpfulShare</t>
  </si>
  <si>
    <t>Loobyloo285 wrote a review Apr 2019Coventry, United Kingdom20 
contributions4 helpful votes</t>
  </si>
  <si>
    <t>Nomad42050410385 wrote a review Aug 20191 contribution</t>
  </si>
  <si>
    <t>Quiet oasis!We stayed here for one night - considering we were in London there was no 
noise, the bed was really comfy, great shower and only 10 mins by tube from 
the theatre district. Would definitely stay again!Read moreDate of stay: 
April 2019HelpfulShare</t>
  </si>
  <si>
    <t>Discover65434194359 wrote a review Apr 20191 contribution</t>
  </si>
  <si>
    <t>Excellent LocationPerfect location for theatre land. Lovely clean room. Don,t have to check 
out till midday. Breakfast was amazing and as much as you want for £9.25. 
Excellent value for money. Friendly helpful staff. Would stop again ��Read 
moreReview collected in partnership with TravelodgeDate of stay: August 
2019HelpfulShare</t>
  </si>
  <si>
    <t>Short stay with childrenVery pleasant stay, all staff friendly. A special mention to Idil, Jeanine 
and Ana, but Wendy in particular who made breakfast fun for both of my 
children. Room was very clean and nothing was too much trouble.Read 
moreReview collected in partnership with this hotelDate of stay: April 
2019HelpfulShare</t>
  </si>
  <si>
    <t>Ann M wrote a review Aug 20193 contributions1 helpful vote</t>
  </si>
  <si>
    <t>https://www.tripadvisor.co.uk/Hotel_Review-g186338-d13569031-Reviews-or715-Travelodge_London_City_hotel-London_England.html#REVIEWS</t>
  </si>
  <si>
    <t>Relax602888 wrote a review Apr 20191 contribution</t>
  </si>
  <si>
    <t>Theatre breakGood location, clean And quite, great breakfast, can't understand why 
people moan, if you want luxury pay for it. We had 3 rooms, and all were 
happy. Would definitely go back on next visit to Covent Garden.Read 
moreDate of stay: August 2019HelpfulShare</t>
  </si>
  <si>
    <t>Great HQ for a night outBrought the squad down together for a night of banter. Room was excellent 
and served its purpose well. Great location and amazing view of a wall 
which had some fantastic artwork on it. Really recommend this place staff 
was friendly.Read moreReview collected in partnership with this hotelDate 
of stay: April 2019HelpfulShare</t>
  </si>
  <si>
    <t>Fredholl wrote a review Aug 2019Northern Ireland213 contributions122 
helpful votes</t>
  </si>
  <si>
    <t>Alfredo B wrote a review Apr 20191 contribution</t>
  </si>
  <si>
    <t>Very nice, new HotelOther than the lack of a telephone to call reception or anywhere the hotel 
is really nice. Wifi is a bit more complicated that it should be. Breakfast 
is very good. New Hotel close to underground and good valueRead moreReview 
collected in partnership with TravelodgeDate of stay: April 2019HelpfulShare</t>
  </si>
  <si>
    <t>Geeeeeeeeem wrote a review Apr 2019Brighton, United Kingdom4 contributions</t>
  </si>
  <si>
    <t>A great stay for very little money!This was a perfect stay, we only wanted somewhere to rest overnight for a 
girls shopping trip in london and was so happy with our experience. Easy to 
get to, clean and modern. Some may say basic but as we only payed £42 
including breakfast it was faultless! Breakfast included a range of choices 
and a good start to the day. Was very happy with our stay and will 
defiantly use this hotel again should we be looking for somewhere easy, 
reasonable and friendly!Read moreReview collected in partnership with 
TravelodgeDate of stay: April 2019HelpfulShare</t>
  </si>
  <si>
    <t>ida1951 wrote a review Aug 2019Haslemere, United Kingdom5 contributions</t>
  </si>
  <si>
    <t>Matei C wrote a review Apr 20193 contributions</t>
  </si>
  <si>
    <t>Central locationI appreciated the central London location with a choice of Holborn or 
Tottenham Court Road tube stations to choose from. The staff here are 
welcoming and efficient. I was pleasantly surprised woth how very quiet the 
hotel was. It was convenient to have hairdryers, iron/board &amp; both a kettle 
and coffee maker in the room. The one drawback was the flight of steps up 
to the hotel's entrance at the 10 Drury Lane address - there now is a 
recently opened Travelodge opposite on Holborn with its' entrance at street 
level.Read moreReview collected in partnership with TravelodgeDate of stay: 
August 2019HelpfulShare</t>
  </si>
  <si>
    <t>Very Good value for the service and locationVery good quality of the service of this Travelodge hotel compared to other 
similar hotels for about the same price in the last 9-12 months in Paris, 
Viena, Salzburg, Berlin also with the family. Very good location. Hotel 
pretty new, very well maintained. Breakfast with good quality and good 
variety. Very good food in the evening at hotel bistro. Good WiFi. The only 
Con is that the room size was very small for a family room, actually it 
looked as a standard double room where it were installed two extra 
beds.Read moreReview collected in partnership with TravelodgeDate of stay: 
April 2019HelpfulShare</t>
  </si>
  <si>
    <t>HullCityTravel wrote a review Aug 2019Kingston-upon-Hull, United Kingdom16 
contributions13 helpful votes</t>
  </si>
  <si>
    <t>Excellent location and Super Rooms well worth it!We found the Travelodge in Covent Garden to be in the ideal location for 
many of the capital's major tourist spots. We stayed here as we were 
attending the Harry Potter play over 2 nights in August and it was superbly 
located so that we could walk back each night. We upgraded to the 'Super 
room' which for a few extra pounds per night appeared well worth it. 
Although small the room was clean, modern and seemed relatively new. We 
wouldn't hesitate to stay here again.Read moreDate of stay: August 20191 
Helpful voteHelpfulShare</t>
  </si>
  <si>
    <t>https://www.tripadvisor.co.uk/Hotel_Review-g186338-d193057-Reviews-or745-Travelodge_London_Covent_Garden-London_England.html#REVIEWS</t>
  </si>
  <si>
    <t>Discover26300424945 wrote a review Apr 20191 contribution</t>
  </si>
  <si>
    <t>Angela B wrote a review Aug 2019Warwickshire, United Kingdom12 
contributions2 helpful votes</t>
  </si>
  <si>
    <t>leisure breakOne night stay with hubby for his birthday . , great location for going out 
and about and near to the tube. The staff were very friendly , and the 
breakfast set us up nicely for the next days sight seeingRead moreReview 
collected in partnership with TravelodgeDate of stay: April 2019HelpfulShare</t>
  </si>
  <si>
    <t>https://www.tripadvisor.co.uk/Hotel_Review-g186338-d13569031-Reviews-or720-Travelodge_London_City_hotel-London_England.html#REVIEWS</t>
  </si>
  <si>
    <t>Disaster tripDespite the room being clean and comfortable,nothing was done to repair a 
blocked toilet which resulted in us having to use the reception one and 
the. Coffee maker was broken too. After a complaint afterwards we were 
offered a 30% refund on our stay however it didn’t come anywhere near the 
inconvenience that was caused during our stay.Read moreDate of stay: August 
2019HelpfulShareResponse from TravelodgeUK, James from the Social Media 
Team at Travelodge London Covent GardenResponded 16 Aug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</si>
  <si>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stanb5050 wrote a review Apr 2019Northampton, United Kingdom5 contributions</t>
  </si>
  <si>
    <t>Great Stay in the City of LondonExcellent hotel, clean, tidy, efficient and friendly. Breakfast splendid 
and Dinner menu and prices are very, very reasonable. Considering the 
location in the middle of the City of London, noise from outside was very 
slight.Read moreReview collected in partnership with TravelodgeDate of 
stay: April 2019HelpfulShare</t>
  </si>
  <si>
    <t>scottybod wrote a review Aug 2019San Antonio, TX66 contributions45 helpful 
votes</t>
  </si>
  <si>
    <t>Jayne R wrote a review Apr 2019Wigan, United Kingdom2 contributions</t>
  </si>
  <si>
    <t>Fantastic value, great locationGreat hotel and fantastic value for London city. Brilliant location to many 
areas whether you’re a tourist or on business. Travelled with my young son 
and the hotel staff couldn’t help enough! The staff truly make this hotel a 
perfect place to stay. Will definitely stay again!Read moreReview collected 
in partnership with TravelodgeDate of stay: April 2019HelpfulShare</t>
  </si>
  <si>
    <t>great location in the heart of the theater districtBooked it online; not cheap but reasonable value for the money; you have to 
call them and request a room in the main building so you will have 
air-conditioning; room was on 5th floor; small but comfortable; bed very 
comfy; shower had good flow of hot water; controls fairly easy to work out; 
great window insulation to keep out street noise; internet three pounds per 
24 hours; cooked buffet breakfast for under 10 pounds per day; floor carpet 
looked grubby and was needing replaced - or at least cleaned; room not 
completely cleaned each day; staff overworked but quite efficient and 
helpful; customers looked like tourists [as you would expect]Read moreDate 
of stay: August 2019HelpfulShare</t>
  </si>
  <si>
    <t>Sarah S wrote a review Apr 2019Hoddesdon, United Kingdom1 contribution</t>
  </si>
  <si>
    <t>Fernando1806 wrote a review Aug 2019Buenos Aires, Argentina136 
contributions66 helpful votes</t>
  </si>
  <si>
    <t>Good budget hotelPro, location and price quality relationship. Good coffee in room. Rooms 
OK, not very large but OK (superior room). Location is excellent. Minus. I 
paid for wifi and could only connect 2 devices per room -ridiculous- free 
wifi only lasts 20 minutes at best (should change this) Had to climb a few 
steps with my luggage since there is no ramp to pull your bags. Paid for 
breakfast and is good but not excellent, and can get quite crowded at 9 am. 
Staff not very friendly, just correct.Read moreDate of stay: July 
2019HelpfulShare</t>
  </si>
  <si>
    <t>Fantastic!!Just spent a night here with my mother.Immaculate hotel,great location and 
yummy breakfast.I would also like to add,they have the most helpful 
friendly staff I have ever known at any hotel,they helped us out by giving 
us directions #twodumbblondes��I Wouldn't hesitate to stay here again.Thank 
you all.Read moreDate of stay: April 2019HelpfulShare</t>
  </si>
  <si>
    <t>Yolb12 wrote a review Apr 201924 contributions26 helpful votes</t>
  </si>
  <si>
    <t>Perfect base for exploring londonStayed at this Travelodge for a weekend away in London with 2 teenage 
children! Really clean and comfortable, staff helpful. Short walk to 
Aldgate tube station which meant travelling around to sight see was very 
easy. We had 4 people in a family room and were impressed with the size of 
the room! Breakfast was excellent with a good variety for everyone and the 
staff were helpful and very efficient. It was a buffet style which is ideal 
for us and despite it being very busy, was always well stocked. Would 
definitely return againRead moreReview collected in partnership with this 
hotelDate of stay: April 2019HelpfulShare</t>
  </si>
  <si>
    <t>Abigail T wrote a review Aug 2019Swalwell, United Kingdom4 contributions</t>
  </si>
  <si>
    <t>https://www.tripadvisor.co.uk/Hotel_Review-g186338-d13569031-Reviews-or725-Travelodge_London_City_hotel-London_England.html#REVIEWS</t>
  </si>
  <si>
    <t>Really bad customer serviceReception start are really rude and more concerned playing on their 
phones!! Bar staff are friendly and helpful. Hotel is clean and basic in a 
good location. Really let down by front of house staff!! I asked where the 
luggage store was and all i got was a finger point, looking for around like 
an idiot to be told it’s actually in another building!! Had to laugh at the 
ignoranceRead moreDate of stay: August 2019HelpfulShareResponse from 
TravelodgeUK, Ben from the Social Media Team at Travelodge London Covent 
GardenResponded 15 Aug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</si>
  <si>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99Teresa wrote a review Apr 2019Southampton, United Kingdom15 
contributions33 helpful votes</t>
  </si>
  <si>
    <t>Excellent serviceWe were able to leave our bags before we checked in. The receptionist 
brought me up a hairdryer when one became available staff were courteous at 
all times but most of all they located and returned a bracelet that I had 
left in the room. Many thanks.Read moreDate of stay: April 20192 Helpful 
votesHelpfulShare</t>
  </si>
  <si>
    <t>https://www.tripadvisor.co.uk/Hotel_Review-g186338-d193057-Reviews-or750-Travelodge_London_Covent_Garden-London_England.html#REVIEWS</t>
  </si>
  <si>
    <t>Companion14360931472 wrote a review Apr 2019Norwich, United Kingdom1 
contribution1 helpful vote</t>
  </si>
  <si>
    <t>rvkelly57 wrote a review Aug 20192 contributions</t>
  </si>
  <si>
    <t>Great locationLondon City Hotel is very close to a couple of underground stations so is a 
great base if you are out and about sightseeing in London and just far 
enough away not to be disturbed by traffic, train noise etc. Staff very 
helpful in keeping luggage safe before and after checking in and out so you 
don't have to carry luggage around if still sightseeing on day of 
checkout.Read moreReview collected in partnership with TravelodgeDate of 
stay: April 20191 Helpful voteHelpfulShare</t>
  </si>
  <si>
    <t>Michelle C wrote a review Apr 2019Shropshire, United Kingdom2 contributions</t>
  </si>
  <si>
    <t>Fantastic ValueThis hotel is in an excellent location to explore London, only a few 
minutes by taxi from Euston. Our room was clean and comfortable, and big 
enough for our family. The staff were extremely helpful and the breakfast 
was excellent value with kids eating free. There is also a free left 
luggage service which we used on our checkout day which allowed us to 
sightsee without worrying about baggage. This was a great experience and I 
would definitely recommend this Travelodge to anyone!Read moreReview 
collected in partnership with TravelodgeDate of stay: August 
2019HelpfulShare</t>
  </si>
  <si>
    <t>No nonsense, clean and efficientVery tidy and clean. A very welcoming hotel without overwhelming upsale on 
restaurant &amp; bar. For a simple stay over, I would highly recommend! Our 
room was designed for disabled, not that we needed it, it was exchanged for 
a twin. However, it seemed very well equipped for the disabled with wet 
room, low sink &amp; light switches, etc.Read moreReview collected in 
partnership with TravelodgeDate of stay: April 2019HelpfulShare</t>
  </si>
  <si>
    <t>MrMasterBates wrote a review Aug 2019Plymouth, United Kingdom1 contribution</t>
  </si>
  <si>
    <t>bluemoon4 wrote a review Apr 2019England33 contributions20 helpful votes</t>
  </si>
  <si>
    <t>Modern and Value for MoneyBeing fairly new, this Travelodge is modern and in good condition. It is 
very well served by the underground and is in walking distance to some 
attractions such as The Tower of London (15 mins). We liked the restaurant 
for dinner as the food was very good quality, reasonably priced and the 
staff were friendly. A quiet night's sleep. We would stay here again.Read 
moreDate of stay: April 2019HelpfulShare</t>
  </si>
  <si>
    <t>Cheap and not cheerful. AVOID!The bed was extremely uncomfortable. To the point Id question there was 
even a mattress. More like sleeping on a slab of concrete. There were no 
plug sockets located by the bed side tables. The closest plugs were on the 
other side of the room which was quite a distance from the bed. The TV was 
too small considering the distance from the Bed. There were staines on the 
floors. The windows were dirty. The room was too hot with only a small fan 
which could only be plugged in on the other side of the room to the bed. 
Quite allot of noise from outside. You had to leave the window open to get 
the room to some sort of comfortable temperature. The shower was very 
slippery it was borderline dangerous getting in and out. Fire doors were 
routinely propped open. The Breakfast was inedible.…Read moreReview 
collected in partnership with TravelodgeDate of stay: August 
2019HelpfulShareResponse from TravelodgeUK, Ben from the Social Media Team 
at Travelodge London Covent GardenResponded 15 Aug 2019We appreciate the 
time you have taken to review our London Covent Garden hotel. We are sorry 
to learn that the higher temperatures had a negative impact on your 
experience and of your disappointment with other aspects of your stay. In 
our ongoing efforts to beat the heat, we do offer fans and lighter bed 
linen for guests at reception, however we fully appreciate and do apologise 
that you were not comfortable during your time with us. If you wish to 
contact us directly to give us more feedback, please be aware that you can 
always contact our Customer Services team via our website. Thank you again 
for reviewing our hotel.Read more</t>
  </si>
  <si>
    <t>https://www.tripadvisor.co.uk/Hotel_Review-g186338-d13569031-Reviews-or730-Travelodge_London_City_hotel-London_England.html#REVIEWS</t>
  </si>
  <si>
    <t>Wendy M W wrote a review Aug 2019Hastings, United Kingdom3 contributions</t>
  </si>
  <si>
    <t>Val M wrote a review Apr 20192 contributions1 helpful vote</t>
  </si>
  <si>
    <t>Fulfilled all expectationsRoom was perfect: neat, clean, with all facilities. Quiet location. 
Breakfast bar had fresh food - none of those dusty old jars of cereal, just 
packets. The staff were extremely helpful - nothing was too much bother. 
They kept the very busy breakfast area clean. They were unsurpassed for 
amenities, cleanliness and cheerful staff - and beat a 5-star 'up-market' 
hotel that we used recently all hands down.Read moreDate of stay: April 
2019HelpfulShare</t>
  </si>
  <si>
    <t>Very poor customer service.Hotel on two sites. Steps up to second site. Disabled access poorly 
signposted, if it was there. Was allocated dungeon room. No prior statement 
about this possibility. Told absolutely no other rooms available until I 
was willing to pay for 'superior ' room not in the dungeon. As I suffer 
from mental health issues the poor treatment by staff caused a meltdown for 
me. No sympathy from staff. I was too much trouble. Shocking!Read moreDate 
of stay: August 2019HelpfulShareResponse from TravelodgeUK, Ben from the 
Social Media Team at Travelodge London Covent GardenResponded 14 Aug 
2019Thank you for taking the time to write a review about our London Covent 
Garden hotel. We are sorry to learn of your disappointment with the 
entrance to the hotel, the room you were provided and the service from the 
hotel team. It’s really important to us that our teams provide a fantastic 
service to our guests and remain professional at all times so we are sorry 
to learn that you feel this was not the case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</si>
  <si>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Myjorca wrote a review Apr 2019Formby, United Kingdom19 contributions1 
helpful vote</t>
  </si>
  <si>
    <t>Littleleg64 wrote a review Aug 2019Portsmouth, United Kingdom39 
contributions11 helpful votes</t>
  </si>
  <si>
    <t>Overnight Sunday family roomClean, modern hotel with 4 comfortable beds in family room. 2mins walk from 
Aldgate Station and 10mins walk to Tower of London. Breakfast was good 
despite it being busy. Hair dryers available at reception. Shower very 
good.Read moreDate of stay: April 2019HelpfulShare</t>
  </si>
  <si>
    <t>Lisa G wrote a review Apr 2019Newbury, United Kingdom8 contributions2 
helpful votes</t>
  </si>
  <si>
    <t>Girlie weekend awayWhat a super hotel, great location, very friendly and helpful staff. Room 
was as fresh and clean as a new pin..I'll be coming back..Was on the top 
7th floor very quiet...Would recommend to others, and have a top floor 
room..Read moreReview collected in partnership with TravelodgeDate of stay: 
April 2019HelpfulShare</t>
  </si>
  <si>
    <t>766betty wrote a review Apr 2019Silsden, United Kingdom137 contributions35 
helpful votes</t>
  </si>
  <si>
    <t>Good location , cheap and cheerfulStayed for 2 nights. The rooms are a decent size and clean. We had to 
request a towel as only one towel for a double room was issued. Staff were 
friendly and polite. The breakfast is nice . This is great value for a 
short stay- cheap and cheerfulRead moreDate of stay: April 2019HelpfulShare</t>
  </si>
  <si>
    <t>abbey jahan wrote a review Apr 2019London, United Kingdom4 contributions2 
helpful votes</t>
  </si>
  <si>
    <t>https://www.tripadvisor.co.uk/Hotel_Review-g186338-d193057-Reviews-or755-Travelodge_London_Covent_Garden-London_England.html#REVIEWS</t>
  </si>
  <si>
    <t>Jean M wrote a review Aug 201915 contributions5 helpful votes</t>
  </si>
  <si>
    <t>Wow, what an amazing hotel. If only all Travelodge hotels could be as good 
as this!The Staff were super helpful, especially given that I had a shoulder injury 
and needed a walk in shower room. Very clean, nice setup with bar and cafe 
all night long! Cracking location next to both Aldgate stations and the 
City of London.Read moreDate of stay: March 2019HelpfulShare</t>
  </si>
  <si>
    <t>Great locationGreat location. Staff are very friendly and helpful. Breakfast is great but 
sometimes a bit busy. Room is small but clean beds are comfortable. We have 
stayed here before and will use it again. Bar prices are reasonableRead 
moreDate of stay: August 2019HelpfulShare</t>
  </si>
  <si>
    <t>K6278BTchristinac wrote a review Aug 2019Solihull2 contributions1 helpful 
vote</t>
  </si>
  <si>
    <t>https://www.tripadvisor.co.uk/Hotel_Review-g186338-d13569031-Reviews-or735-Travelodge_London_City_hotel-London_England.html#REVIEWS</t>
  </si>
  <si>
    <t>FabFlemings wrote a review Apr 2019Aberdeen, United Kingdom4 contributions7 
helpful votes</t>
  </si>
  <si>
    <t>Great location basic roomsWe stayed for one night as a family of 4 with 2 children aged 4 and 7 and 
found everything we needed within walking distance. Covent garden picadilly 
circus all within 10 minute walk. I think it's a silly idea that the 
building with the family rooms has no luggage facility so familys need to 
take their young children and luggage across to another building. However 
it was helpful to have this facility. Although clean it was the most basic 
travelodge I've stayed in bathrooms need updating.Read moreReview collected 
in partnership with TravelodgeDate of stay: August 20191 Helpful 
voteHelpfulShare</t>
  </si>
  <si>
    <t>Fab city break, great value hotel in great location!Modern hotel in great location. Friendly staff. Nice quiet room. Room could 
have benefitted from more storage, but otherwise excellent! Breakfasts were 
great and very good value, set you up for a day's sightseeing.Read 
moreReview collected in partnership with TravelodgeDate of stay: March 
2019HelpfulShare</t>
  </si>
  <si>
    <t>amilou2018 wrote a review Aug 2019Portsmouth, United Kingdom2 contributions</t>
  </si>
  <si>
    <t>LetsGetAway-ca wrote a review Apr 2019Alberta21 contributions9 helpful votes</t>
  </si>
  <si>
    <t>Nice, new, clean, and comfortable.Not to mention, cheap and well-located! Not a thing I could fault with this 
hotel. A great lower-cost option in London in a great location, near 
Liverpool Station, and London Bridge area. Loved this place! Can't complain 
about a thing.Read moreReview collected in partnership with TravelodgeDate 
of stay: March 2019HelpfulShare</t>
  </si>
  <si>
    <t>Tired HotelStaff lovely, friendly and helpful but this hotel is in real need of a 
makeover. Very tired looking and bathroom needed a deep clean and 
modernisation. Central location and affordable for a cheap london stay.Read 
moreReview collected in partnership with TravelodgeDate of stay: August 
2019HelpfulShare</t>
  </si>
  <si>
    <t>426grahamf wrote a review Aug 2019Surrey, United Kingdom4 contributions</t>
  </si>
  <si>
    <t>whatname wrote a review Apr 2019London, United Kingdom11 contributions2 
helpful votes</t>
  </si>
  <si>
    <t>New hotel in a convenient locationThe hotel is within easy access to three different tube stations. The room 
(Super Room) is new and clean with an ironing board, a hair dryer and a 
coffee machine. You can adjust the room temperature using the 
thermostat.Read moreReview collected in partnership with this hotelDate of 
stay: April 20191 Helpful voteHelpfulShare</t>
  </si>
  <si>
    <t>Best Value Hotel in the epi-centre of Tourist LondonUsual high standard Travelodge but in the most brilliant west end of London 
location. The cafe on Drury Lane opp the main building is superb with the 
prices being the most reasonable in the whole area. There is a pub just a 
few doors along from here that is a hidden treasure - again prices service 
etc amongst the best in the area and is open to 2am at the weekend.Read 
moreReview collected in partnership with this hotelDate of stay: August 
2019HelpfulShare</t>
  </si>
  <si>
    <t>Nicola W wrote a review Apr 2019Downpatrick, United Kingdom203 
contributions86 helpful votes</t>
  </si>
  <si>
    <t>Great stay.We only stayed for one night at the hotel. It is almost brand new &amp; every 
thing is fresh and clean. We chose a super room and it was worth spending 
the extra small amount. It’s in a great location near two Underground 
stations. Just one stop from Tower Hill. Thank you to the staff!Read 
moreDate of stay: March 2019HelpfulShare</t>
  </si>
  <si>
    <t>https://www.tripadvisor.co.uk/Hotel_Review-g186338-d1812157-Reviews-or125</t>
  </si>
  <si>
    <t>Dawn W wrote a review Apr 20194 contributions3 helpful votes</t>
  </si>
  <si>
    <t>https://www.tripadvisor.co.uk/Hotel_Review-g186338-d193057-Reviews-or760-Travelodge_London_Covent_Garden-London_England.html#REVIEWS</t>
  </si>
  <si>
    <t>Clean, comfortable and modern hotel in central locationVery impressed with this hotel, which was far exceeded my expectations. 
Room was clean, bed very comfortable and the hot, high pressure shower was 
amazing. At £8.95, the all you can eat breakfast was a good deal for 
London, though we did decode to venture out on both days. Only slight 
quibble was lack of hairdryer in the room, though reception were happy to 
provide one when we asked.Read moreReview collected in partnership with 
TravelodgeDate of stay: April 2019HelpfulShare</t>
  </si>
  <si>
    <t>https://www.tripadvisor.co.uk/Hotel_Review-g186338-d13569031-Reviews-or740-Travelodge_London_City_hotel-London_England.html#REVIEWS</t>
  </si>
  <si>
    <t>Laura M wrote a review Apr 20191 contribution</t>
  </si>
  <si>
    <t>Scenic71410 wrote a review Aug 20191 contribution</t>
  </si>
  <si>
    <t>AWESOME!Very affordable, clean, modern, excellent bar/cafe and breakfast. The only 
tips I would give would be to be sure to ask them for a hairdryer if you 
need one, they don't come standard in the room. Also, if you need lotion or 
hair conditioner, be sure to bring some with you. Even without these 
things, I loved staying here, the staff are amazing, and it was well worth 
the price.Read moreReview collected in partnership with TravelodgeDate of 
stay: March 2019HelpfulShare</t>
  </si>
  <si>
    <t>angvilthegreat wrote a review Apr 2019Glasgow, United Kingdom1 contribution</t>
  </si>
  <si>
    <t>Covent Garden Central Travelodge lonsonA very satisfactory stay for 3 nights - very suitable for family's with 
children, good value for money in central London at the height of the 
holiday season.In particular the staff were very helpful and pleasant both 
on reception and in the breakfast room.Read moreDate of stay: August 
2019HelpfulShare</t>
  </si>
  <si>
    <t>Great hotelNight and day compared to the other travelodge nearby. Liverpool street 
travelodge had been a bit of a nightmare when I visited in September with 
noise waking me up during the night! Clean, quiet and modern. Really 
enjoyed my stay and the location is great for getting about London.Read 
moreReview collected in partnership with TravelodgeDate of stay: March 
2019HelpfulShare</t>
  </si>
  <si>
    <t>SueHarshefi wrote a review Aug 2019Ein Yahav, Israel1 contribution</t>
  </si>
  <si>
    <t>Lo-Ca-So-Pi wrote a review Apr 2019Gallarate, Italy20 contributions15 
helpful votes</t>
  </si>
  <si>
    <t>Good Value for MoneyGreat location, comfortable and clean. The staff was very helpful and kind. 
The room was a bit hot and stuffy with only a small ventilator/fan to cool 
it down. There were not many vegan options at breakfast.Read moreReview 
collected in partnership with TravelodgeDate of stay: August 
2019HelpfulShare</t>
  </si>
  <si>
    <t>Highly recommendedWe had a great time, brand new structure, clean rooms, friendly staff, 
great location, 10 minutes walk from Tower Bridge, the Aldgate metro stop 
one step away. Abundant breakfast and, if you want to have dinner, there is 
a good choice of dishes at reasonable prices. Highly recommended.Read 
moreReview collected in partnership with TravelodgeDate of stay: March 
2019HelpfulShare</t>
  </si>
  <si>
    <t>https://www.tripadvisor.co.uk/Hotel_Review-g186338-d193057-Reviews-or765-Travelodge_London_Covent_Garden-London_England.html#REVIEWS</t>
  </si>
  <si>
    <t>wishywish wrote a review Aug 2019Stratford-upon-Avon, United Kingdom151 
contributions69 helpful votes</t>
  </si>
  <si>
    <t>https://www.tripadvisor.co.uk/Hotel_Review-g186338-d13569031-Reviews-or745-Travelodge_London_City_hotel-London_England.html#REVIEWS</t>
  </si>
  <si>
    <t>SiuMui wrote a review Apr 2019Zurich, Switzerland350 contributions117 
helpful votes</t>
  </si>
  <si>
    <t>Very happy that I made the right choice!Extremely fair price for a city like London. Even the standard room has a 
comfortable size. Everything is clean. The location is super, close to 3 
Underground station, 2 withing 2 to 3 min walk. The area is an upcoming 
area, with many affordable restaurants. The fact that it is close to 
Spitalfield area is also a big plus. Extremely convenient to reach the 
Heathrow airport. The staffs are friendly and efficient. I will definitely 
come back to this hotel.Read moreReview collected in partnership with 
TravelodgeDate of stay: March 2019HelpfulShare</t>
  </si>
  <si>
    <t>Security issuesCheck in experience was awful - having checked in, I wasn't given my key. 
The receptionist started checking in another guest, and then looked at me 
puzzled as to why I was still there! She proceeded to give me my key, and I 
went to my room. My room was very basic and set up with two Queen beds and 
the sofa bed pulled out. All beds seemed to be missing duvets - just the 
duvet cover! I appreciate it was warm, but this is poor! Having gone to 
bed, I was woken in the middle of the night by a group of men down the 
corridor. They went into their room and then came back out again. The next 
thing I knew, I had this group trying to enter my room. When their key 
didn't work they started talking about kicking the door down. I looked for 
the phone to call reception, but there was no…Read moreDate of stay: August 
2019HelpfulShareResponse from TravelodgeUK, Niki from The Social Media Team 
at Travelodge London Covent GardenResponded 12 Aug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</si>
  <si>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SJHY1980 wrote a review Aug 2019Newport, United Kingdom1 contribution</t>
  </si>
  <si>
    <t>Sightseer29208702540 wrote a review Apr 20191 contribution</t>
  </si>
  <si>
    <t>Great location and CleanThis hotel is in a great location to explore London, only a 2 min walk from 
the tube. Lovely clean, tidy and well thought out rooms. All the staff were 
helpful and well presented. The breakfast was also great value.Read 
moreReview collected in partnership with TravelodgeDate of stay: March 
2019HelpfulShare</t>
  </si>
  <si>
    <t>Tired and in need of refurbismentUsually no problem with Travelodge, generally rate it 9/10 This is a tired 
hotel needs revamping, our kettle and shower curtian basically needed 
replacing. Avoid the underground rooms, dismal cells. Got moved above 
ground the following day but no discount for the cellar room and that 
disrupted our Saturday out in London. Otherwise standard Travelodge Bar and 
breakfast OKRead moreReview collected in partnership with TravelodgeDate of 
stay: July 2019HelpfulShare</t>
  </si>
  <si>
    <t>paul e wrote a review Mar 2019Norwich, United Kingdom183 contributions132 
helpful votes</t>
  </si>
  <si>
    <t>matats2019 wrote a review Aug 20191 contribution</t>
  </si>
  <si>
    <t>Clean clean perfectSuperb location, great room, friendly service and informative. Some rooms 
sadly face brick walls, most face sunny spots. More importantly it is close 
to everything London has to offer. Fantastic value for the Capital.Read 
moreDate of stay: March 20191 Helpful voteHelpfulShare</t>
  </si>
  <si>
    <t>Roy_Imeson wrote a review Mar 2019Devon UK15 contributions8 helpful votes</t>
  </si>
  <si>
    <t>great locationGreat location, walking distance to Trafalgar square, National Gallery, 
Oxford street, Leicester Square and more. Good breakfast but every day it 
is the same. Weather was very hot but no air conditioning. We received fans 
and it was tolerable.Read moreReview collected in partnership with this 
hotelDate of stay: August 2019HelpfulShare</t>
  </si>
  <si>
    <t>Top hotel for people with eyesight issuesAs a blind person I struggle with some hotels that have low engergy lights, 
compact breakfast rooms and inconsiderate staff. I am pleased to recommend 
the hotel as a visually impaired successful hotel. The lighting was great, 
the location was step free and the breakfast room and staff great. Well 
done lol #TeamRNIB. #BlindManRoyRead moreReview collected in partnership 
with TravelodgeDate of stay: March 20191 Helpful voteHelpfulShare</t>
  </si>
  <si>
    <t>https://www.tripadvisor.co.uk/Hotel_Review-g186338-d13569031-Reviews-or750-Travelodge_London_City_hotel-London_England.html#REVIEWS</t>
  </si>
  <si>
    <t>Heiko wrote a review Mar 2019Berlin, Germany3 contributions2 helpful votes</t>
  </si>
  <si>
    <t>Keith E wrote a review Aug 2019Standish, United Kingdom2 contributions1 
helpful vote</t>
  </si>
  <si>
    <t>New hotel in great locationNew hotel only opened last summer. Rooms are fresh and bright. Got a great 
promotional offer, when booking. Great locatin between Aldgate and Aldgate 
East Station. Was offered free upgrade to a super room which was really 
nice and spacious. Also only 10 mins walk from Liverpool Street Station. 
The hotel offers a good variety for breakfast and also some dinner options. 
Nicer than other Travelodges, I booked before in Central London.Read 
moreReview collected in partnership with this hotelDate of stay: March 
20191 Helpful voteHelpfulShare</t>
  </si>
  <si>
    <t>Travelodge London Covent GardenThe hotel is on Drury Lane it was clean, well maintained and the hotel team 
looked after us really well. The room had air conditioning that was very 
welcome as the 3 days we stayed were really hot. Our Grandson who is 9 left 
his mobile in the room when vacating and it was handed in and posted back 
to him. I cannot rate this service any higher and all at a fantastic price 
for central London.Read moreReview collected in partnership with 
TravelodgeDate of stay: August 2019HelpfulShare</t>
  </si>
  <si>
    <t>elizabethwS7120TU wrote a review Mar 2019Bristol, United Kingdom6 
contributions1 helpful vote</t>
  </si>
  <si>
    <t>Excellent Staff, Hotel and LocationThis Travelodge has become a favourite, it stands out from many others in 
that I have confidence in the staff, who are welcoming, friendly and 
conscientious, I believe they are proud of Hotel in which they work. The 
staff were able to book the room we had stayed in on a previous occasion. 
The bar is great often there are good discounts on the drinks, I love 
coffee in the morning and the cappuccinos I ordered were really good. The 
reception, bar and cafe area is pristine clean and there water is always 
available. Location for the tube is served well by at least two nearby 
stations and a City walk is a few minutes walk. I almost don’t want to say 
it’s amazing and affordable because I may find it difficult to book again 
if it gets too popular. Well done the Staff - Travelodge…Read moreReview 
collected in partnership with this hotelDate of stay: March 2019HelpfulShare</t>
  </si>
  <si>
    <t>https://www.tripadvisor.co.uk/Hotel_Review-g186338-d193057-Reviews-or770-Travelodge_London_Covent_Garden-London_England.html#REVIEWS</t>
  </si>
  <si>
    <t>Guiseppe53 wrote a review Mar 2019London, United Kingdom14 contributions5 
helpful votes</t>
  </si>
  <si>
    <t>Malcolm wrote a review Aug 201912 contributions</t>
  </si>
  <si>
    <t>Trip to LondonGreat hotel reasonably priced and helpful staff - positioned well in the 
city. You can have meals there also which are well priced and reasonable 
basic fare. Rooms are tidy and well presented....would return...its good to 
book in advanceRead moreReview collected in partnership with TravelodgeDate 
of stay: March 2019HelpfulShare</t>
  </si>
  <si>
    <t>weatherhead1 wrote a review Mar 2019Wallasey, United Kingdom64 
contributions28 helpful votes</t>
  </si>
  <si>
    <t>Great Place for a short stayThe location of this hotel is great - close to the theatres and so many 
places to eat and drink and also close to the underground station. Had 
breakfast there and it was always hot and plentiful, with everything being 
replenished frequentlyRead moreDate of stay: August 2019HelpfulShare</t>
  </si>
  <si>
    <t>PerfectThis Travelodge is a short walk to Tower Bridge . Just a couple of mins 
walk from Aldgate underground. Staff were lovely. Breakfast was great and 
reasonably priced. Choice of hot or cold. Happy hour between 4-6pm every 
night so my g&amp;t was only £4! ��Read moreReview collected in partnership 
with TravelodgeDate of stay: March 2019HelpfulShare</t>
  </si>
  <si>
    <t>drooper1966 wrote a review Mar 2019Salisbury, United Kingdom4 
contributions5 helpful votes</t>
  </si>
  <si>
    <t>AJ542014 wrote a review Aug 2019Norwich, United Kingdom37 contributions9 
helpful votes</t>
  </si>
  <si>
    <t>Overnight stayCan’t fault the hotel, new clean, very close to two underground stations. 
All was excellent apart from one bar person who “eye rolled” me after I was 
trying to receive the correct change, I obviously annoyed them by their 
reaction.Read moreReview collected in partnership with TravelodgeDate of 
stay: March 2019HelpfulShareResponse from TravelodgeUK, Ben from the Social 
Media Team at Travelodge London City hotelResponded 28 Mar 2019Many thanks 
for taking the time to write a review of our London City Travelodge. We are 
pleased to learn you were happy with the Hotel’s location and that your 
overall experience was a positive one. We aim to offer our guests great 
value stays in comfortable surroundings and we are happy to see that this 
has been achieved. Feedback is invaluable and a copy of your comments will 
be forwarded to the Hotel. Thank you once again and we do hope you will 
stay with us in the future.Read more</t>
  </si>
  <si>
    <t>Dirty, disinterested staffNot a great experience. Plug blocked in bath (there was water over the 
waste before any water was run that fluctuated when toilet was flushed..). 
Windows had “please clean me” written in the dirt. Breakfast was chaotic, 
Cutlery dirty, we tried three bowls before we got a clean one...no salt in 
shaker, floor soaking wet. Staff could not give two hoots. Service at check 
in and in bar was tardy to say the least. It needed someone in charge that 
cared.... won’t be going back. I took the time to fill in their on line 
feedback form and heard nothing. Some customer focused training needed at 
this business....Read moreDate of stay: August 2019HelpfulShareResponse 
from TravelodgeUK, James from the Social Media Team at Travelodge London 
Covent GardenResponded 12 Aug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</si>
  <si>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https://www.tripadvisor.co.uk/Hotel_Review-g186338-d13569031-Reviews-or755-Travelodge_London_City_hotel-London_England.html#REVIEWS</t>
  </si>
  <si>
    <t>Blessing T wrote a review Mar 201939 contributions1 helpful vote</t>
  </si>
  <si>
    <t>denise s wrote a review Aug 2019London, United Kingdom3 contributions</t>
  </si>
  <si>
    <t>Amazing price and location is very accessible to other areasYou can easily get to anywhere you need to go staying at this hotel. The 
staff were very helpful. Kept our luggage for free and even help give me 
hot water after I checked out to make my baby’s food. Overall great value 
for moneyRead moreReview collected in partnership with TravelodgeDate of 
stay: March 2019HelpfulShare</t>
  </si>
  <si>
    <t>sbS1808JA wrote a review Mar 2019Sidmouth, United Kingdom1 contribution</t>
  </si>
  <si>
    <t>Never ever againWouldn’t bother, rude and intimidating staff, better off at premier inn. 
With a mixture of a very musty smelling room and kids very smelly trainers, 
I brought and lit a candle, can’t use air freshener because of asthma, to 
be then woken up at 1.30am wrongly accused of smoking and made to pay £150, 
wouldn’t even let me speak to explain and totally threatening, an awful, 
horrible experience.Read moreDate of stay: August 2019HelpfulShareResponse 
from TravelodgeUK, Tilly from The Social Media Team at Travelodge London 
Covent GardenResponded 11 Aug 2019Thank you for taking the time to write a 
review with regards to our London Covent Garden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</si>
  <si>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Great value and location in a brand new hotelCan't really fault the hotel or it's very friendly and efficient staff. 2nd 
visit in a month and very pleased again. This Travelodge is top for value 
for money as far as I am concerned. So clean, so quiet and so 
welcoming!Read moreReview collected in partnership with TravelodgeDate of 
stay: March 2019HelpfulShareResponse from TravelodgeUK, Ben from the Social 
Media Team at Travelodge London City hotelResponded 28 Mar 2019We're 
thankful to learn that our hotel team were helpful and friendly throughout 
your recent stay with us at our London City Travelodge and we would like to 
thank you for sharing your fantastic experience with us. We're thrilled to 
hear you had a great stay and we will be sure to pass your feedback onto 
the hotel for you. Thank you again for your comments and we hope to welcome 
you back to us soon.Read more</t>
  </si>
  <si>
    <t>Margaret62Ireland wrote a review Aug 2019Ireland9 contributions18 helpful 
votes</t>
  </si>
  <si>
    <t>PaulT73 wrote a review Mar 2019London428 contributions222 helpful votes</t>
  </si>
  <si>
    <t>Great choiceGreat location!! This travelodge is in an ideal location for walking around 
the city !! Its got a great restaurant serving food from very early to very 
late plus it has a very well stocked bar on site ! Great value for money 
aswell which always helps ����Read moreReview collected in partnership with 
this hotelDate of stay: August 2019HelpfulShare</t>
  </si>
  <si>
    <t>Another Good StayI work very close to this hotel so its very convenient for those times I 
need to stay in town. Very clean hotel, no frills or luxury extras per 
normal Travelodge standard but when location is this good and price this 
reasonable who's complaining. Bar is good and a nice thing to have in the 
hotel and staff are amazing, top top marks for both check in and out, took 
seconds - literally! Next stay already booked!Read moreDate of stay: March 
2019HelpfulShare</t>
  </si>
  <si>
    <t>E H wrote a review Aug 2019East Kilbride, United Kingdom4 contributions8 
helpful votes</t>
  </si>
  <si>
    <t>Kevla11 wrote a review Mar 2019Norwich, United Kingdom289 contributions138 
helpful votes</t>
  </si>
  <si>
    <t>Good value for London overnightNew and modern hotel near Liverpool Street station. Very good value for 
money. Room was not huge, a cube with a pod style bathroom but it was all 
very clean and the bed was very comfortable. 10 minute walk gets you to The 
Tower and Tower Bridge.Read moreDate of stay: March 
2019HelpfulShareResponse from TravelodgeUK, Ben from the Social Media Team 
at Travelodge London City hotelResponded 26 Mar 2019Many thanks for 
bringing your review of our London City Travelodge to our attention. We're 
pleased to learn your stay was great value and your room was clean. We aim 
to provide a comfortable stay for our guests, so we're happy to hear this 
has been achieved. Your feedback is invaluable and we thank you for taking 
the time to review our hotel.Read more</t>
  </si>
  <si>
    <t>Great location and excellent value for mioneyVery happy with our recent stay. Great location with Theatres and Covent 
Garden close by. Easy to get to as Holbourn and Covent garden tube stations 
only a 5 min walk away. Rooms and facilities where clean and comfortable 
and the breakfast was freshly cooked and topped up regularly.Freindly and 
helpfull staff. The left luggage facility is also a great service as we 
left our bags on check out day and came back for them mid afternoon. 
Excellent value for a good location.Read moreReview collected in 
partnership with TravelodgeDate of stay: July 2019HelpfulShare</t>
  </si>
  <si>
    <t>Ganesen M A wrote a review Mar 2019Petaling Jaya, Malaysia2 contributions1 
helpful vote</t>
  </si>
  <si>
    <t>https://www.tripadvisor.co.uk/Hotel_Review-g186338-d193057-Reviews-or775-Travelodge_London_Covent_Garden-London_England.html#REVIEWS</t>
  </si>
  <si>
    <t>Pleasant stayServed the purpose of travel for the duration of stay. The location was 
ideal as it was fairly close to the nearest tube station and there were 
convenience store and Tesco nearby within walking distance.Read moreReview 
collected in partnership with TravelodgeDate of stay: March 
2019HelpfulShareResponse from TravelodgeUK, Tilly from The Social Media 
Team at Travelodge London City hotelResponded 27 Mar 2019Thank you for your 
feedback about our London City hotel We are really pleased to learn that 
you enjoyed your stay and we will be sure to pass your comments to the 
hotel team. We hope to have the opportunity to welcome you back soonRead 
more</t>
  </si>
  <si>
    <t>chardygirl_10 wrote a review Aug 2019Cardiff, United Kingdom2 contributions</t>
  </si>
  <si>
    <t>https://www.tripadvisor.co.uk/Hotel_Review-g186338-d13569031-Reviews-or760-Travelodge_London_City_hotel-London_England.html#REVIEWS</t>
  </si>
  <si>
    <t>Curiosity14254334726 wrote a review Mar 2019Randers, Denmark1 contribution</t>
  </si>
  <si>
    <t>Excellent place to stayTravelodge Covent Gardens is Excellent ! Highly recommend!! The staff were 
pleasant and helpful, room ,good breakfast used this hotel before back 
again December . Fantastic location Highly recommend !!Read moreReview 
collected in partnership with this hotelDate of stay: August 
2019HelpfulShare</t>
  </si>
  <si>
    <t>Excellent!A very nice hotel with good and friendly service. Our room was nice and 
clean, with a good bed. The breakfast was also fine. Really good location 
from Liverpool Street Station and Aldgate sub. We would definatly recommend 
it to other!Read moreReview collected in partnership with TravelodgeDate of 
stay: March 2019HelpfulShare</t>
  </si>
  <si>
    <t>fredmilne1946 wrote a review Mar 2019Inverness, United Kingdom22 
contributions2 helpful votes</t>
  </si>
  <si>
    <t>Super valueThis is a nice clean hotel situated on the edge of Petticoat Lane.Reception 
staff were efficient and friendly at all times.We did not eat in the 
restaurant but it looked busy and the menu was tempting and inexpensive.Our 
room was comfortable and clean.Read moreReview collected in partnership 
with this hotelDate of stay: March 2019HelpfulShare</t>
  </si>
  <si>
    <t>judyg81 wrote a review Mar 2019Essex, United Kingdom28 contributions7 
helpful votes</t>
  </si>
  <si>
    <t>donnellycaroline wrote a review Aug 2019Blantyre, United Kingdom1 
contribution</t>
  </si>
  <si>
    <t>Ideal location for cityFriendly hotel with excellent comfortable rooms.Not over priced and very 
clean. Good breakfast to start you on your day. 5 minute walk to 
underground station so ideal location for city. Petticoat lane, Brick lane 
markets on your doorstep and spitalfields is a 10 minute walk. Staff very 
friendly and helpful.Read moreDate of stay: March 2019HelpfulShare</t>
  </si>
  <si>
    <t>Ines V wrote a review Mar 2019Antwerp, Belgium30 contributions1 helpful vote</t>
  </si>
  <si>
    <t>Covent gardensGreat location and great service! Hotel very central! Lovely bar and great 
selection of drinks. Stayed here for 3 nights and reasonable prices. I 
would highly recommend this hotel and will b returningRead moreDate of 
stay: July 2019HelpfulShare</t>
  </si>
  <si>
    <t>New, clean and inexpensive!First visit to this new hotel and it was so cheap we were a bit anxious. No 
need! Spotless, clean, friendly staff and great room. We slept so well. 
Tube round the corner, cannot be more convenient. Book a room here, you 
won’t complain!Read moreDate of stay: March 2019HelpfulShare</t>
  </si>
  <si>
    <t>Helen wrote a review Mar 2019Ipswich, United Kingdom2 contributions</t>
  </si>
  <si>
    <t>Excellent value.Great location. Fabulous StaffClean &amp; comfortable rooms. A short walk from Liverpool Street Train station 
&amp; ideally located for Tower Bridge etc. The staff were so effortlessly 
friendly &amp; helpful. I will definitely return &amp; would highly recommend.Read 
moreReview collected in partnership with this hotelDate of stay: March 
2019HelpfulShare</t>
  </si>
  <si>
    <t>https://www.tripadvisor.co.uk/Hotel_Review-g186338-d193057-Reviews-or780-Travelodge_London_Covent_Garden-London_England.html#REVIEWS</t>
  </si>
  <si>
    <t>https://www.tripadvisor.co.uk/Hotel_Review-g186338-d13569031-Reviews-or765-Travelodge_London_City_hotel-London_England.html#REVIEWS</t>
  </si>
  <si>
    <t>Tony k wrote a review Mar 2019Welling, United Kingdom425 contributions51 
helpful votes</t>
  </si>
  <si>
    <t>Michael M wrote a review Aug 2019Kingston-upon-Hull, United Kingdom3 
contributions5 helpful votes</t>
  </si>
  <si>
    <t>Convenient !!Very nice place to stay , if visiting London and need a convenient place to 
stay , near all attractions and airport friendly staff , always willing to 
help and advise you , highly recommend enjoy your stayRead moreDate of 
stay: December 2018HelpfulShare</t>
  </si>
  <si>
    <t>Just like to say thanks to all the staff for always making me so welcomeI have worked away with work and spend a lot of time staying in verious 
hotels mostly travel lodges. after arriving back working in London 6 weeks 
ago I've stayed in the drury lane Covent Garden travel lodge. well I have a 
few health problems that can make it hard staying in hotels ,after staying 
here the staff are very friendly and helpful, but I have found for the 
first time I wanted to say on trip advisor thank you to the manageress " 
Deeqa" That always ask if there is anything They can do to make my stay any 
more comfortable. she's gone out here way to make me feel nothing is a 
problem to make my stay compatible my Work is for around the next year and 
I have no doubt I will be here for the time I'm here. I can say all the 
staff and management are very welcoming and the…Read moreDate of stay: 
August 2019HelpfulShare</t>
  </si>
  <si>
    <t>Louise Ryan wrote a review Aug 2019Glasgow, United Kingdom105 
contributions20 helpful votes</t>
  </si>
  <si>
    <t>Julia W wrote a review Mar 201943 contributions10 helpful votes</t>
  </si>
  <si>
    <t>Overnight Stay for Hen Weekend in ShoreditchLovely nice, new, modern Travelodge. Very helpful and friendly staff. Rooms 
were nice but did not have a hairdryer in - had to go to reception to 
request one (this was free). Used the left luggage service with no problem. 
Great location for public transport (Liverpool Street and Aldgate).Read 
moreDate of stay: March 2019HelpfulShare</t>
  </si>
  <si>
    <t>A comfortable stay and a very helpful managerWe had a comfortable stay, room and bed was good. The shower was great and 
nice and warm. I would say a blind along with the curtains would be better 
at stopping the bright sunshine coming in early in the morning. After we 
checked out my daughter and I headed out but she became sick and we had no 
where for her to go. We headed back to the hotel to see if I could pay for 
a room for a couple of hours so she could get a sleep as we had a lot of 
travelling to do later on in the afternoon to get home. The receptionist 
told us this wasn’t possible but the manager saw my daughter was really 
unwell and offered to look after her while I went to the pharmacy. When I 
got back she had gave us a room for her to rest in for a few hours free of 
charge. I was so very grateful to her for helping…Read moreDate of stay: 
August 2019HelpfulShare</t>
  </si>
  <si>
    <t>https://www.tripadvisor.co.uk/Hotel_Review-g186338-d13569031-Reviews-or770-Travelodge_London_City_hotel-London_England.html#REVIEWS</t>
  </si>
  <si>
    <t>Steffi C wrote a review Aug 20191 contribution</t>
  </si>
  <si>
    <t>Beverley C wrote a review Mar 2019Fife, United Kingdom6 contributions</t>
  </si>
  <si>
    <t>Excellent facilitiesGreat location easily accessible for the tube and very central. Good value 
for money. Hotel is well maintained with extremely and friendly staff. 
Evening meal was lovely and good value 2 courses for £12.Read moreReview 
collected in partnership with TravelodgeDate of stay: March 2019HelpfulShare</t>
  </si>
  <si>
    <t>Wiktoria wrote a review Mar 201914 contributions10 helpful votes</t>
  </si>
  <si>
    <t>Stay here if you don’t want to see any sunlight and want to be woken up at 
weird hours of the morningThe room floor was so dirty and underground, so there was no sunlight. But 
that was dismissible since the location is alright. The closest tube 
station is a longer walk away than some of the other places we’ve stayed 
at, but there’s plenty of things to see in convent garden. But then we 
would get woken up by a pumping noise that would happen every 5 seconds at 
weird hours of the morning. It was coming from right next to the bed. When 
we asked to change rooms, we were told we had to come back at 2pm to see if 
any rooms were available. We decided we wouldn’t alter our holiday plans 
just to come back so that we could POSSIBLY get a room change. There are 
other hotels with better value for money out there.Read moreReview 
collected in partnership with TravelodgeDate of stay: August 
2019HelpfulShareResponse from TravelodgeUK, Tilly from The Social Media 
Team at Travelodge London Covent GardenResponded 9 Aug 2019Thank you for 
submitting your review of our London Covent Garden.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</si>
  <si>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Nice stagWas very with my stay overall in Travelodge. I’ve stayed in many Travelodge 
hotel before but this one was my favourite. The staff were very nice, 
helpful and welcoming. The room was very clean and comfortable. I stayed in 
a room at the back of the hotel and it was very quiet, didn’t hear any 
traffic. Breakfast was nice also.Read moreDate of stay: March 
2019HelpfulShare</t>
  </si>
  <si>
    <t>Catherine R wrote a review Aug 2019Cape Town Central, South Africa3 
contributions</t>
  </si>
  <si>
    <t>Sightsee37992885855 wrote a review Mar 20191 contribution</t>
  </si>
  <si>
    <t>Extended weekend stayPerfect choice for an active trip. Safe location with good public transport 
connection. Clean rooms, friendly staff, great value for money overall. 
Take your own adapter if you're travelling from outside the UK.Read 
moreReview collected in partnership with TravelodgeDate of stay: March 
2019HelpfulShare</t>
  </si>
  <si>
    <t>A Covent Garden GemYou cannot get more central than this. Excellent value for money and safe 
neighbourhood, with cosy, welcoming coffee shop and breakfast spot across 
the road (The Drury). We return to this hotel every year.Read moreReview 
collected in partnership with TravelodgeDate of stay: August 
2019HelpfulShare</t>
  </si>
  <si>
    <t>Chris B wrote a review Mar 20193 contributions</t>
  </si>
  <si>
    <t>Jo :) wrote a review Aug 20193 contributions3 helpful votes</t>
  </si>
  <si>
    <t>Outstanding ServiceFrom the moment we arrived at this new Travelodge we found the staff 
outstanding. Nothing was too much trouble from this highly motivated team. 
Our super room was quiet and spotless with good heating and ventilation. 
Breakfast was excellent and all food was freshly cooked and plentiful. I 
must go back to the staff again because I can’t praise them enough for 
their courtesy and help. This hotel is the best value for money we have 
ever stayed in. Well done team. Chris BakerRead moreDate of stay: March 
2019HelpfulShare</t>
  </si>
  <si>
    <t>Overnight stayGreat location, close to lots of London's sights. Great food, available 
early and late. Rooms were very clean, great price, staff friendly and 
helpful. Close to the underground. Overall a great experience.Read moreDate 
of stay: July 2019HelpfulShare</t>
  </si>
  <si>
    <t>https://www.tripadvisor.co.uk/Hotel_Review-g186338-d13569031-Reviews-or775-Travelodge_London_City_hotel-London_England.html#REVIEWS</t>
  </si>
  <si>
    <t>https://www.tripadvisor.co.uk/Hotel_Review-g186338-d193057-Reviews-or785-Travelodge_London_Covent_Garden-London_England.html#REVIEWS</t>
  </si>
  <si>
    <t>Huddersfield40 wrote a review Mar 2019176 contributions58 helpful votes</t>
  </si>
  <si>
    <t>Great place very clean and great serviceStayed here for 2 nights hotel very conveniently placed between Aldgate and 
Aldgate East stations. Place has a modern feel, room although small had 
everything you need and very comfortable. Breakfast was really good quality 
and plenty of choice. Staff very friendly. We paid £148 for 2 nights (Thurs 
and Fri) which for London is very reasonable. We would definitely recommend 
and will stay here againRead moreDate of stay: March 2019HelpfulShare</t>
  </si>
  <si>
    <t>Sunshine761210 wrote a review Aug 2019Stourbridge, United Kingdom3 
contributions1 helpful vote</t>
  </si>
  <si>
    <t>Great hotel for the price.Great central location, in walking distance of Covent Garden, Leicester 
Square etc. Handy for the tube stations. We went to London to watch School 
of Rock, and the hotel was literally around the corner, so we could drop 
stuff off before going the the show. The room had all that we needed, but 
could have done with air con - it was particularly hot on our first night 
and the fan in the room barely made a difference, the other nights were 
bearable.Read moreReview collected in partnership with TravelodgeDate of 
stay: August 2019HelpfulShare</t>
  </si>
  <si>
    <t>Suemarg wrote a review Mar 2019Hong Kong, China16 contributions5 helpful 
votes</t>
  </si>
  <si>
    <t>clean and comfortableThe hotel and room were clean and comfy. The shower was nice and powerful 
and hot. Nice quality, clean and fresh bedding and comfortable bed. 
Breakfast offered a good choice of lovely hot food and cold buffet.Read 
moreReview collected in partnership with TravelodgeDate of stay: March 
2019HelpfulShare</t>
  </si>
  <si>
    <t>Langers76 wrote a review Aug 2019Exeter27 contributions3 helpful votes</t>
  </si>
  <si>
    <t>https://www.tripadvisor.co.uk/Hotel_Review-g186338-d13569031-Reviews-or780-Travelodge_London_City_hotel-London_England.html#REVIEWS</t>
  </si>
  <si>
    <t>Loved It Exactly How A Travel Lodge Should BeEasy checkin. Lovely clean rooms, fresh linen. Amazing breakfast selection, 
with only a short wait, even during the busy weekend. Friendly staff. Bar 
with reasonable prices for London. Near to tube station and night life. 
Felt safe walking around the area.Read moreDate of stay: July 
2019HelpfulShare</t>
  </si>
  <si>
    <t>Beryl L wrote a review Mar 20192 contributions</t>
  </si>
  <si>
    <t>Great location in londonA very clean hotel with really helpful staff and good value for money in a 
central location. Nothing was too much trouble , the receptionist helped us 
with directions and finding somewhere for dinner.Read moreReview collected 
in partnership with TravelodgeDate of stay: March 2019HelpfulShare</t>
  </si>
  <si>
    <t>Voyage03528664584 wrote a review Mar 2019Kent, United Kingdom1 contribution</t>
  </si>
  <si>
    <t>philmA9030DC wrote a review Aug 2019Kendal, United Kingdom1 contribution</t>
  </si>
  <si>
    <t>Brilliant stayGreat birthday weekend plenty to see and do great show and evening 
entertainment staff very friendly and helpful clean and open 24hrs bar for 
drinks and snacks very sociable and continental vibe would stay againRead 
moreReview collected in partnership with this hotelDate of stay: March 
2019HelpfulShare</t>
  </si>
  <si>
    <t>Much better than expected!My experiences of Travelodge in the past have not been great so I was not 
expecting much. I was very pleasantly surprised from the start. The early 
drop off of luggage was really helpful and the subsequent check in was very 
quick. The “super “ room was great, clean, quiet and with everything we 
needed. Breakfast was really good and well organised with lots of very 
helpful staff. We also took advantage of the left luggage service on our 
final day which enabled us to maximise our time in London without 
baggage.Read moreReview collected in partnership with TravelodgeDate of 
stay: August 2019HelpfulShare</t>
  </si>
  <si>
    <t>WorkPlayPaddle wrote a review Mar 20191 contribution1 helpful vote</t>
  </si>
  <si>
    <t>https://www.tripadvisor.co.uk/Hotel_Review-g186338-d193057-Reviews-or790-Travelodge_London_Covent_Garden-London_England.html#REVIEWS</t>
  </si>
  <si>
    <t>Brand new, yet already feels datedI frequently stay at the nearby Premier Inn hub hotel on Brick Lane for 
work, but on this occasion decided to try something new. If all you want is 
a clean, reasonably comfortable bed, then this will probably be fine for 
you. If you actually want to sleep, look somewhere else - this is next to a 
noisy road and several pubs and night clubs. The curtains don’t do much to 
block out light, nor do the windows block much of the noise. Compared to 
the similarly priced hub hotel just a short walk away, this comes away much 
worse. Where the hub has a large TV with films on demand, free, high-speed 
(and secure) WiFi, and an overall modern feel, the Travelodge gives you 
painfully slow WiFi, and only 30 minutes of it. It is possible to pay for 
more, though having examined the security…Read moreDate of stay: March 
20191 Helpful voteHelpfulShare</t>
  </si>
  <si>
    <t>Joanne B wrote a review Mar 2019Wigan, United Kingdom14 contributions2 
helpful votes</t>
  </si>
  <si>
    <t>Does exactly what you expectA clean, comfortable no frills hotel. Extremely close to Aldgate and 
Aldgate East tube stations. Pleasant staff and great value for money. Had 
the unlimited breakfast on 2 mornings, again great value for the price. 
There is no problem in leaving your luggage before or after check out as 
they have a room for this purposeRead moreReview collected in partnership 
with TravelodgeDate of stay: March 2019HelpfulShare</t>
  </si>
  <si>
    <t>dorothyn195 wrote a review Aug 2019East Sussex, United Kingdom7 
contributions</t>
  </si>
  <si>
    <t>https://www.tripadvisor.co.uk/Hotel_Review-g186338-d13569031-Reviews-or785-Travelodge_London_City_hotel-London_England.html#REVIEWS</t>
  </si>
  <si>
    <t>Alan E wrote a review Mar 2019Letchworth, United Kingdom11 contributions1 
helpful vote</t>
  </si>
  <si>
    <t>Good LocationGreat location,loads to see and do but also everything was pretty much in 
walking distance, Leicester square, British Museum etc .Lovely comfortable 
bed,clean room,very enjoyable stay,good hot breakfast. My only complaint 
was the WiFi I paid £3 for 24hrs but it wouldn't let me add a 2nd 
deviceRead moreDate of stay: August 2019HelpfulShare</t>
  </si>
  <si>
    <t>London City ExcellentExcellent location, hotel and facilities. Well looked after, check in was 
quick and easy, rooms all fresh and well maintained. Food and drink very 
good and very reasonable. Good central location, near to all the main sites 
and stations, and being a newer hotel very clean.Read moreReview collected 
in partnership with TravelodgeDate of stay: March 2019HelpfulShare</t>
  </si>
  <si>
    <t>Alan H wrote a review Mar 2019Norwich, United Kingdom8 contributions</t>
  </si>
  <si>
    <t>traveller3329 wrote a review Aug 2019West Midlands, United Kingdom36 
contributions19 helpful votes</t>
  </si>
  <si>
    <t>Fabulous weekend staySecond time we've stayed at this Travelodge, and very pleased we decided to 
use it again. We were greeted by a very good team of staff who helped us 
and made us feel welcome. The hotel was quite busy, but we were checked in 
very quickly and offered two room keys for the two of us.Read moreReview 
collected in partnership with TravelodgeDate of stay: March 2019HelpfulShare</t>
  </si>
  <si>
    <t>mten38 wrote a review Mar 20192 contributions</t>
  </si>
  <si>
    <t>Okay...Stayed for one night. The hotel was booked predominantly for its location 
and price. For the £63 we paid for 3 adults, you cannot complain but if I 
were paying more, I would expect more. The family room block is dated: the 
carpets are loose and you fall over them. However, the house keeping team 
appear to be doing a good job keeping it as clean as they can. Would I stay 
here again? Yes for £63, but it isn’t worth anymore!Read moreDate of stay: 
August 2019HelpfulShare</t>
  </si>
  <si>
    <t>https://www.tripadvisor.co.uk/Hotel_Review-g186338-d1812157-Reviews-or130</t>
  </si>
  <si>
    <t>Excellent stayVisited as a party of ten women for a birthday weekend. The rooms were 
comfortable and clean. All staff we encountered were helpful and friendly. 
Shower was lovely and fast. Having the cafe bar open on an evening was 
great. We came in after a show and tried the pizza which was cooked fresh 
and tasted great. All of us said we’d definitely stay again!!Read 
moreReview collected in partnership with TravelodgeDate of stay: March 
2019HelpfulShare</t>
  </si>
  <si>
    <t>Nadinefiveacreview wrote a review Mar 2019England340 contributions28 
helpful votes</t>
  </si>
  <si>
    <t>https://www.tripadvisor.co.uk/Hotel_Review-g186338-d193057-Reviews-or795-Travelodge_London_Covent_Garden-London_England.html#REVIEWS</t>
  </si>
  <si>
    <t>Second chance but would rather pay more.The first time we stayed here we thought it was ok, but would rather of had 
a bath and there were no glasses in the room. So, the next time we paid £30 
more to upgrade to a 'super room' and telephoned the hotel to ensure we had 
a bath. When we arrived, we went to our room which had no bath, returned to 
reception where staff did not seem overly bothered but gentleman sorted out 
our problem and we had a room with a bath (?) in the narrowest sense of the 
word. To rinse your hair you had to put your legs up the tiled wall as it 
was too small to lie down in and I am only 5'2 BUT the room did have a 
coffee machine and a bottle opener, but you are not entrusted with any form 
of glasses or even plastic cups. To be honest, think we would rather pay a 
bit more and have a better standard…Read moreDate of stay: February 
2019HelpfulShare</t>
  </si>
  <si>
    <t>https://www.tripadvisor.co.uk/Hotel_Review-g186338-d13569031-Reviews-or790-Travelodge_London_City_hotel-London_England.html#REVIEWS</t>
  </si>
  <si>
    <t>Michelle1712 wrote a review Aug 2019Bradford, United Kingdom9 
contributions4 helpful votes</t>
  </si>
  <si>
    <t>mickeastlake wrote a review Mar 2019Bedlington, United Kingdom262 
contributions104 helpful votes</t>
  </si>
  <si>
    <t>Ideal locationUsed this hotel as a base whilst visiting family. Ideally located. Near 
tube stations and ease of transport for where we needed to be. The hotel 
room was fairly basic even for a travelodge but clean and tidy with a 
comfortable bed so no great issue. The bar area was good and for the area 
good value. Only negative was we arrived early. We could book in at the 
time for an extra £10 or await normal check in time. Now if your room is 
ready it’s ready. I believe good customer relations was lost a bit here. 
All in all a good hotel thoughRead moreDate of stay: March 2019HelpfulShare</t>
  </si>
  <si>
    <t>Trace wrote a review Mar 2019Bedford, United Kingdom1 contribution</t>
  </si>
  <si>
    <t>humankendoll wrote a review Aug 2019London, United Kingdom23 contributions4 
helpful votes</t>
  </si>
  <si>
    <t>OutstandingExceptional hotel. Very inviting, professional staff at all levels. 
Exceptionally clean and comfortable throughout hotel. Would definitely 
recommend and will make more reservations here in the future.Read 
moreReview collected in partnership with TravelodgeDate of stay: March 
2019HelpfulShare</t>
  </si>
  <si>
    <t>Stayed here, was pretty Meh...I stayed here overnight for a meeting the following day. Staff are 
extremely friendly but overall the hotel isn’t anything special. The 
location is extremely handy for the center of London, but the price for a 
room does reflect this. I have since tried to rebook for following meetings 
but they are booked out, so they must be doing something right. My stay was 
middle of the road, nothing special. Food service downstairs at the evening 
and the following morning were to be expected for the Hotel Chain 
experience. Need somewhere quick and convenient to stay? Go here.Read 
moreDate of stay: February 2019HelpfulShare</t>
  </si>
  <si>
    <t>Anne wrote a review Mar 2019Halle (Saale), Germany3 contributions</t>
  </si>
  <si>
    <t>Happysunshine31 wrote a review Aug 2019Haarlem, The Netherlands4 
contributions1 helpful vote</t>
  </si>
  <si>
    <t>Perfect locationWe had 4 wonderful nights at the Travelodge London City. The hotel is 
located next to Brick Lane and right next to two stations (district line 
and circle line) - 2 min. food walk. The hotel was clean and tidy and the 
staff extraordinary friendly. The bar is nice as well. I really recommend 
this hotel.Read moreReview collected in partnership with TravelodgeDate of 
stay: March 2019HelpfulShare</t>
  </si>
  <si>
    <t>Callum Davy wrote a review Mar 2019Glastonbury, United Kingdom9 
contributions2 helpful votes</t>
  </si>
  <si>
    <t>Travelodge Covent GardenThe Location is great. I stayed many times at other Travelodge locations. 
This time it was my third time at the location Covent Garden. I must say 
that the third time was the worst of all. We did not stayed in the main 
building. It was better to stay in the main building. Bed is comfy and 
clean. Also this was the first time that housekeeping did not clean our 
room. Bed was a mess. The dirty towels still on the bathroom floor. No 
clean towels. They can do better.Read moreReview collected in partnership 
with TravelodgeDate of stay: August 2019HelpfulShare</t>
  </si>
  <si>
    <t>Perfect location, beautiful rooms and wonderful staff.From the Reception to the Housekeeping everyone I encountered here was 
wonderful. Special mention to Mikki who was helping out with Breakfast for 
the day. Mikki was friendly, bubbly and full of smiles. She asked me how I 
slept, what I had planned and generally just went the extra mile to make 
sure my stay was perfect. The rooms and Barcafe here are exceptionally 
clean! I’d recommend this hotel to anyone here on business or even families 
looking to see the sights.Read moreDate of stay: March 2019HelpfulShare</t>
  </si>
  <si>
    <t>Paula S wrote a review Aug 2019Isle of Portland, United Kingdom2 
contributions</t>
  </si>
  <si>
    <t>https://www.tripadvisor.co.uk/Hotel_Review-g186338-d13569031-Reviews-or795-Travelodge_London_City_hotel-London_England.html#REVIEWS</t>
  </si>
  <si>
    <t>OK for localityVery basic Clean room, No hairdryer, only one teabag each One night alright 
but wouldn't like to stay longer Close to amenities required around Covent 
Garden. Hotel looking tired but means to an end and fitted purpose.Read 
moreReview collected in partnership with TravelodgeDate of stay: August 
2019HelpfulShare</t>
  </si>
  <si>
    <t>Coastal44745602823 wrote a review Mar 2019Chichester, United Kingdom1 
contribution</t>
  </si>
  <si>
    <t>Family birthday in LondonThis hotel and location was a great option for our family group birthday in 
London. We had planned several trips around the area and this location gave 
us a great base location. The staff were extremely helpful on numerous 
occasions. Our large group of 10 was able to meet for breakfast and finish 
the day with a drink st the bar and a hot snack if reqd. The rooms on the 
5th floor were well finished, modern and good value for money. We would all 
use this location again for future visits to London.Read moreReview 
collected in partnership with this hotelDate of stay: March 2019HelpfulShare</t>
  </si>
  <si>
    <t>https://www.tripadvisor.co.uk/Hotel_Review-g186338-d193057-Reviews-or800-Travelodge_London_Covent_Garden-London_England.html#REVIEWS</t>
  </si>
  <si>
    <t>SeefoodLondon wrote a review Mar 2019London16 contributions8 helpful votes</t>
  </si>
  <si>
    <t>Cruiser19977177628 wrote a review Aug 2019London, United Kingdom2 
contributions</t>
  </si>
  <si>
    <t>Great new TravelodgeGreat customer service and comfy as a brand new hotel. Fairly standard but 
good comfy beds, bathroom basic but nice.. Not good for parking but good 
overall. Great for the City and East London. Did not try food. Room was 
quiet.Read moreDate of stay: January 2019HelpfulShare</t>
  </si>
  <si>
    <t>Mobile34240110772 wrote a review Mar 20192 contributions</t>
  </si>
  <si>
    <t>Great comfortable hotel, shame about the food.Had a nice stay, however be cautious about ordering food from the bar, it 
was terrible! Burnt chips with a burger that had been cooked at least 
twice! Otherwise a nice stay and decent location. I would book again 
however just skip buying a meal here.Read moreReview collected in 
partnership with TravelodgeDate of stay: March 2019HelpfulShare</t>
  </si>
  <si>
    <t>TerribleDirty rooms, Moved back and forth from covent garden - high holborn - 
covent garden Poor customer service, staff do not care. Hotel needs 
rennovating Bathrooms need looking after No comfortable seating area. 
Luggage dropp off is outside not inside - needs to be moved insideRead 
moreReview collected in partnership with TravelodgeDate of stay: August 
2019HelpfulShareResponse from TravelodgeUK, James from the Social Media 
Team at Travelodge London Covent GardenResponded 6 Aug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</si>
  <si>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Departure780951 wrote a review Mar 20191 contribution</t>
  </si>
  <si>
    <t>Michaela Paraskevaides wrote a review Aug 20191 contribution</t>
  </si>
  <si>
    <t>Relax and Enjoy.Friendly staff, polite and professional. Very clean accomodation. Good 
breakfast. Central for tube station/bus route.Tower Bridge within walking 
distance, Would highly recommend Travelodge London City Hotel.Read 
moreReview collected in partnership with TravelodgeDate of stay: March 
2019HelpfulShare</t>
  </si>
  <si>
    <t>Summer school tripComing from Cyprus we found the breakfast very poor, we paid in advance and 
was very difficult for me and my 15 year old to find something to eat. The 
hotel is in a perfect location!! We asked for the room to be cleaned at 9 
am and was not done until 3pm when we came back. Complaining to the 
receptionist, her answer was that priority have the rooms that get empty 
first. nobody even came to pick up the rubbish or to bring clean towels( 
that actually had a bad smell to begin with) and when I told the 
receptionist that we r not coming back to this hotel her answer was: 
OK!!!!!!!!! Such a shame, because we really loved the area and the price 
was very good.The rest of the staff was very nice.Read moreDate of stay: 
July 2019HelpfulShare</t>
  </si>
  <si>
    <t>https://www.tripadvisor.co.uk/Hotel_Review-g186338-d13569031-Reviews-or800-Travelodge_London_City_hotel-London_England.html#REVIEWS</t>
  </si>
  <si>
    <t>Madamcj wrote a review Mar 2019Taunton, United Kingdom2 contributions</t>
  </si>
  <si>
    <t>claire31373 wrote a review Aug 2019Margate, United Kingdom153 
contributions77 helpful votes</t>
  </si>
  <si>
    <t>Brilliant locationMy husband, 3 children and I stayed here for 2 nights for a sightseeing 
trip. Excellent location, close to the tube and local landmarks, 
comfortable beds, very clean and with a fresh, plentiful breakfast. I’d 
highly recommend this great value hotel and will definitely book again.Read 
moreReview collected in partnership with this hotelDate of stay: February 
2019HelpfulShare</t>
  </si>
  <si>
    <t>Jakef wrote a review Mar 20195 contributions1 helpful vote</t>
  </si>
  <si>
    <t>Great for priceCan’t fault it for the price! The usual you expect from a Travelodge. 3 of 
us shared a family &amp; 2 extra beds were made up for us on arrival. Plenty of 
towels &amp; extra pillows. No air con but they’d put a fan in our room &amp; kept 
curtains closed so wasn’t uncomfortably hot. Room very clean &amp; plenty of 
tea/coffee. Very good location. 5 mins from Covent Garden &amp; plenty of 
places to eat &amp; drink nearby. Didn’t use bar or restaurant &amp; only visited 
reception to borrow a hairdryer. Staff nice We paid under £200 for 2 nights 
so no complaints here Would come backRead moreDate of stay: August 
2019HelpfulShare</t>
  </si>
  <si>
    <t>Hotel for the marketsThis new hotel in the Travelodge estate is perfectly placed for some of the 
best markets in London. Petticoat Lane, and Spitalfields. One is outside 
the door and the other is only five minutes walk. Tube stations are very 
close by so you are in the centre of London in ten minutes. We had a very 
pleasant weekend and will definitely be back again.Read moreReview 
collected in partnership with TravelodgeDate of stay: March 2019HelpfulShare</t>
  </si>
  <si>
    <t>jw11athome wrote a review Aug 20192 contributions</t>
  </si>
  <si>
    <t>Deliliciousness wrote a review Mar 2019Greater Manchester, United Kingdom43 
contributions28 helpful votes</t>
  </si>
  <si>
    <t>Overnight stay for Uni interview.Great room; clean new, quiet and in a handy location for needing to be near 
the Barbican. Spitlefields market and restaurants just a 10 min walk, so 
good place for a bite to eat in the evening. Small convenience stores and 
tube station near buy.Read moreReview collected in partnership with this 
hotelDate of stay: February 2019HelpfulShare</t>
  </si>
  <si>
    <t>Good Value.Budget hotel in good location. Paid for Superior room and could not fault 
anything. Room was clean and air conditioning and shower worked fine. 
Typical buffet breakfast for hotel in this price range.Read moreReview 
collected in partnership with TravelodgeDate of stay: August 
2019HelpfulShare</t>
  </si>
  <si>
    <t>Richard_and_Di wrote a review Mar 2019East Sussex, United Kingdom9 
contributions2 helpful votes</t>
  </si>
  <si>
    <t>https://www.tripadvisor.co.uk/Hotel_Review-g186338-d193057-Reviews-or805-Travelodge_London_Covent_Garden-London_England.html#REVIEWS</t>
  </si>
  <si>
    <t>New, but very basic city hotelFirstly we should say that we are finding it difficult to see how this 
hotel is gaining so many very high scores on Trip Advisor. Not that there 
is anything especially wrong here, it is just that it is such basic 
accommodation that in any other city in Europe it wouldn’t even feature in 
the top 50% of either hotels or B&amp;Bs. Let’s start with positives / average: 
The hotel is new – so that obviously means that the rooms appear clean and 
fairly unused – to be expected. The hotel is also well positioned near to 
the City centre and close to Aldgate and Liverpool Street stations / 
underground services to get into the tourist areas. The staff are OK. The 
breakfast is no more than average considering it cost an extra £8.95 per 
person – no rolls or cakes, no choice of egg (scrambled…Read moreDate of 
stay: March 2019HelpfulShare</t>
  </si>
  <si>
    <t>https://www.tripadvisor.co.uk/Hotel_Review-g186338-d13569031-Reviews-or805-Travelodge_London_City_hotel-London_England.html#REVIEWS</t>
  </si>
  <si>
    <t>benawoods wrote a review Mar 2019Kenilworth, United Kingdom2 contributions</t>
  </si>
  <si>
    <t>Darren P wrote a review Aug 2019Cardiff, United Kingdom13 contributions7 
helpful votes</t>
  </si>
  <si>
    <t>Best Travelodge I've stayed in!We usually stay in more "prestigious" hotels with more facilities, but as 
we were literally only needing a bed, we chose the London City Travelodge. 
The staff were excellent, the hotel was exceptionally clean, and the beds 
were comfy, good location, plus it was a great price for London.Read 
moreReview collected in partnership with TravelodgeDate of stay: February 
2019HelpfulShare</t>
  </si>
  <si>
    <t>bedbugs- optional extra???Stayed -here for one night on a course- it was the grimmest hotel I have 
ever stayed in. Room appeared to be in some outside annexe- very basic... I 
shuddered in the night when pulled back the bedding. something crawling on 
the bed; more than one... really poor experience- not a great nights sleep. 
Wont ever stay there again or any other Travel lodge for that matter based 
on this experience. Breakfast was poor.Read moreDate of stay: May 
2019HelpfulShareResponse from TravelodgeUK, James from the Social Media 
Team at Travelodge London Covent GardenResponded 6 Aug 2019Thank you for 
reviewing our Travelodge London Covent Garden Hotel. We're very sorry to 
hear of the issues experienced during your stay with us. We do hope you 
understand that we do have policies in place to ensure issues such as this 
do not occur and we're sorry to hear this wasn't carried out in your case. 
We'd like to invite you to speak with our CS team regarding this so they 
can process a deep investigation to ensure issues such as this do not 
reoccur. May we kindly request you contact us with the link or a copy of 
your TripAdvisor review, via our website so our customer service team can 
investigate your visit with the hotel. Thank you again for posting your 
comments and we hope to hear from you soon.Read more</t>
  </si>
  <si>
    <t>Spikky B wrote a review Mar 2019Leigh-on Sea, United Kingdom33 
contributions9 helpful votes</t>
  </si>
  <si>
    <t>Great service friendly helpful staffCame for an over night in london and a meal out for the wifes birthday. 
When sergiu found out that ot was her birthday we hot a free room upgrade. 
The bar staff were great very friendly and when there wasnt four chairs 
together they took chairs from the restaurant for us. Brilliant 
service.Read moreDate of stay: March 2019HelpfulShare</t>
  </si>
  <si>
    <t>LNWoods wrote a review Aug 2019Peterborough, United Kingdom2 contributions1 
helpful vote</t>
  </si>
  <si>
    <t>Mark L wrote a review Mar 2019Warwick, United Kingdom6 contributions5 
helpful votes</t>
  </si>
  <si>
    <t>Surprisingly good, and great valueI stay in a lot of hotels and am usually dissapointed, but this was 
different. Despite this hotel being right in the heart of the financial 
district it was peaceful, clean and really great value for money 
(presumably due to the time of year). The rooms are small but have 
everything you need for a short stay. The staff were excellent, dinner/wine 
and breakfast were simple but great and very reasonably priced for anywhere 
in London - let alone here. I would certainly stay here again, provided the 
rates stay like this.Read moreReview collected in partnership with 
TravelodgeDate of stay: February 2019HelpfulShare</t>
  </si>
  <si>
    <t>Reasons you don’t go to travel lodgeArrived to book in, my (2) rooms hadn’t been securely booked as she was 
trying to find 2 rooms together? Which i was under the impression when you 
booked they was SECURED for you. We then handing in our luggage to the bag 
drop and the guy could barely speak english, was rude and wasn’t even there 
when we came back for our bags. When we got to the rooms, my family room 
was fine, spacious and had plenty of space and plugs etc. Never impressed 
with the shower situation in any of the hotels. The other room i had booked 
for 2 people was tiny, cramped and only had 1 plug. Baring in mind it was 
on the warmer side when we went so 1 plug for the fan, chargers, hair 
dryers etc just wasn’t going to work. The main thing is that in the twin 
room every time they flushed the toilet, DIRTY AND…Read moreDate of stay: 
August 2019HelpfulShareResponse from TravelodgeUK, Ben from the Social 
Media Team at Travelodge London Covent GardenResponded 13 Aug 2019Thank you 
for taking the time to write a review about our London Covent Garden hotel. 
We are sorry to learn of your disappointment with the rooms provided, 
service from the hotel team and we are sorry to learn of the disappointment 
caused by other aspects of your stay. It’s really important to us that our 
teams provide a fantastic service to our guests and remain professional at 
all times so we are sorry to learn that you feel this was not the case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</si>
  <si>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Rhonda wrote a review Aug 201923 contributions4 helpful votes</t>
  </si>
  <si>
    <t>https://www.tripadvisor.co.uk/Hotel_Review-g186338-d13569031-Reviews-or810-Travelodge_London_City_hotel-London_England.html#REVIEWS</t>
  </si>
  <si>
    <t>Baileybarge wrote a review Mar 2019Essex, United Kingdom3 contributions</t>
  </si>
  <si>
    <t>Great Location, Rooms in need of some attentionThe hotel is in a great central location. We had a super room, which wasn't 
really anything different to a regular room and could have done with some 
attention. The carpets were coming up around the edges. The bathroom was 
incredibly small and cramped. The shower curtain needed changing due to 
mould at the bottom and the toilet was not clean to the standard you would 
expect. There were also no bin liners in the bins. The rooms do need some 
attention, however as a central hotel in which you are not expecting to 
spend a lot of time this is a good, budget option.Read moreDate of stay: 
July 2019HelpfulShare</t>
  </si>
  <si>
    <t>Leisure breakOne of the best travel lodges I’ve stayed at. Really quiet, good location 
for Liverpool Street station &amp; Algate district line. Also for Brick lane 
for curries and bagels, Petticoat lane &amp; spittlefields markets. Some quaint 
cafes nearbyRead moreReview collected in partnership with this hotelDate of 
stay: February 2019HelpfulShare</t>
  </si>
  <si>
    <t>SeabrightBunch wrote a review Aug 201956 contributions5 helpful votes</t>
  </si>
  <si>
    <t>Andy B wrote a review Feb 20192 contributions</t>
  </si>
  <si>
    <t>Amazing location, helpful and friendly staffThis was a great location and a great value! It was clean and comfortable! 
Yes - I read the reviews - we also needed to request extra towels... But, 
for the price, the location and helpfulness of staff - well worth staying 
here! If you and your family are flexible travelers, the location is a 
must! I HIGHLY recommend this hotel and hope to be back! That said - would 
plan for your amenities, i.e., snacks, water, converters, soap, shampoo and 
conditioner. Just ask for what you need - they will give you a hairdryer! 
There is not a fridge, microwave or phone in the room. All in all, with the 
location, breakfast and helpful staff, our family would highly recommend 
this hotel!!!!Read moreDate of stay: July 2019HelpfulShare</t>
  </si>
  <si>
    <t>Best Travelodge I have ever stayed atThis is by far the best travelodge I have stayed in. Very clean, very roomy 
- great services and great service from the travelodge staff / team. It is 
30 seconds from bus stop and 3 mins walk to Aldgate Tube and Bus stations/ 
If you are in staying in London you should most certainly consider staying 
hereRead moreDate of stay: February 2019HelpfulShare</t>
  </si>
  <si>
    <t>https://www.tripadvisor.co.uk/Hotel_Review-g186338-d193057-Reviews-or810-Travelodge_London_Covent_Garden-London_England.html#REVIEWS</t>
  </si>
  <si>
    <t>https://www.tripadvisor.co.uk/Hotel_Review-g186338-d13569031-Reviews-or815-Travelodge_London_City_hotel-London_England.html#REVIEWS</t>
  </si>
  <si>
    <t>CathLP wrote a review Feb 20192 contributions</t>
  </si>
  <si>
    <t>great value hotelEverything is spot on here and why pay more elsewhere when this is so 
good,- it is our second stay here. Rooms and bed comfortable and clean. 
Staff friendly and efficient. Food at breakfast good and plentiful. The bar 
has good choice and deals each weeknight. Great location. Even the lifts 
are quick.Read moreReview collected in partnership with TravelodgeDate of 
stay: February 2019HelpfulShare</t>
  </si>
  <si>
    <t>Somerset Taster wrote a review Aug 2019Kingsbury Episcopi, United Kingdom72 
contributions16 helpful votes</t>
  </si>
  <si>
    <t>nick_moore02 wrote a review Feb 2019Leicester, United Kingdom5 
contributions1 helpful vote</t>
  </si>
  <si>
    <t>weekend tripvery clean hotel, rooms very bright and in a great position for Tower 
bridge / Tower of London, and easy excess to underground tube ,breakfast 
very good and drinks from bar very reasonable priced. Staff very polite , 
would stay againRead moreReview collected in partnership with 
TravelodgeDate of stay: February 2019HelpfulShare</t>
  </si>
  <si>
    <t>What a reception !!!Whilst this hotel is in a great location, and you do get a decent size room 
in this central location compared with a lot, the reception was awful. 
Arrived at 17:40, and couldn’t check in until 18:10, as Travelodge hadn’t 
added the payment details emailed to them twice on the booking, and 
wouldn’t check me in until they had it a third time. Receptionist then 
directed me in the wrong direction for my room.....wasn’t impressed.Read 
moreDate of stay: August 2019HelpfulShareResponse from TravelodgeUK, James 
from the Social Media Team at Travelodge London Covent GardenResponded 2 
Aug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</si>
  <si>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Heron34 wrote a review Feb 20191 contribution</t>
  </si>
  <si>
    <t>Great placeGreat hotel! Love staying here. The staff are very friendly, especially 
behind the bar haha! Very good service, especially from Jeanine whom was 
excellent. We are here on a business trip and the rooms are lovely. The 
views are excellent, you can see all of London. It's great! Thank you 
allRead moreDate of stay: February 2019HelpfulShare</t>
  </si>
  <si>
    <t>angelan22467 wrote a review Jul 2019Edinburgh, United Kingdom2 
contributions1 helpful vote</t>
  </si>
  <si>
    <t>Steve C wrote a review Feb 20191 contribution</t>
  </si>
  <si>
    <t>Trip to see a showGreat location for all Covent Garden has to offer- and short distance from 
Kings Cross. Room was perfect at an amazing price compared to other hotels 
in the area. Would definitely stay here again - made it a great weekendRead 
moreReview collected in partnership with this hotelDate of stay: July 
2019HelpfulShare</t>
  </si>
  <si>
    <t>Great ValueNew hotel format great. Family Room with 2 extra proper beds (not sofa bed) 
was a bonus. 24hr bar plus comfortable bar/restaurant area with only 
background music created nice atmosphere. Easy access to tube.Read 
moreReview collected in partnership with TravelodgeDate of stay: February 
2019HelpfulShare</t>
  </si>
  <si>
    <t>https://www.tripadvisor.co.uk/Hotel_Review-g186338-d193057-Reviews-or815-Travelodge_London_Covent_Garden-London_England.html#REVIEWS</t>
  </si>
  <si>
    <t>https://www.tripadvisor.co.uk/Hotel_Review-g186338-d13569031-Reviews-or820-Travelodge_London_City_hotel-London_England.html#REVIEWS</t>
  </si>
  <si>
    <t>webstersaw wrote a review Jul 2019Nottingham, United Kingdom3 contributions</t>
  </si>
  <si>
    <t>Trail231405 wrote a review Feb 2019Grangemouth, United Kingdom1 contribution</t>
  </si>
  <si>
    <t>Everything I expected from a hotelWe arrived very late on Saturday night due to a 10 hour flight delay, the 
24 hour reception checked us in with no issues. The room was clean and warm 
and the bed was very comfortable. We had the all you can eat breakfast 
which was delicious with many choices. Very very pleased with the hotel and 
I will use it on my next visit to londonRead moreDate of stay: February 
2019HelpfulShare</t>
  </si>
  <si>
    <t>twinkle13 wrote a review Feb 2019Singapore339 contributions27 helpful votes</t>
  </si>
  <si>
    <t>Awful Hotel with dingy, depressing basement room with view of underground 
car park.I wouldn't ever stay in this hotel again. The room we received was totally 
and unequivocally unacceptable. It was in the basement with a view of the 
dark, underground, concrete car park. The light in the bathroom did not 
work. It was appalling. It took forever to locate the room, as the hotel is 
a maze of rooms and corridors. We went back to reception and complained. 
Fortunately they were able to move us to the last remaining room available 
- this time on the ground floor. We had to leave the reception and go 
outside to our room. Again, an awful and depressing room, with a wall 
directly outside the window making it feel incredibly claustrophobic. By 
this time, it was quite late and we were incredibly tired so accepted the 
room. The website states that they have new…Read moreReview collected in 
partnership with TravelodgeDate of stay: July 2019HelpfulShareResponse from 
TravelodgeUK, Ben from the Social Media Team at Travelodge London Covent 
GardenResponded 11 Aug 2019Thank you for taking the time to write a review 
about our London Covent Garden hotel. We are sorry to learn of your 
disappointment with the rooms you were provided with.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We appreciate all 
the feedback we receive and our Hotel Managers regularly review their 
TripAdvisor reviews in order to fix any issues raised and pass on feedback 
to their team. Thank you once again and we do hope you will stay with us in 
the future.Read more</t>
  </si>
  <si>
    <t>Convenient LocationConveniently located between Aldgate and Aldgate East underground station. 
This new property is not only clean, the lobby and dinning area comes in a 
very vibrant design and colour which makes the place very refreshing. The 
check in and check out was fast. The room thou small but comes with comfy 
bed, aircon and even USB socket. It'll be great if they have mini fridge in 
the room. Affordable price for the location and convenience.Read moreDate 
of stay: November 20181 Helpful voteHelpfulShare</t>
  </si>
  <si>
    <t>Connector284695 wrote a review Jul 20191 contribution</t>
  </si>
  <si>
    <t>Debbie T wrote a review Feb 2019Grantham, United Kingdom20 contributions2 
helpful votes</t>
  </si>
  <si>
    <t>Great locationNice travelodge in a great location with 2 tube stations within a couple of 
minutes walk. Walking distance to loads of restaurants and bars. The room 
was very clean, there was a bit of noise from the street but that is to be 
expected. Staff were friendly and helpful. Check in and out done easily. We 
have stayed there twice now and will most likely return.Read moreDate of 
stay: February 2019HelpfulShare</t>
  </si>
  <si>
    <t>Don’t stay here! Not worth it even for the location and price.Chose this for my daughter and I because of location and price for our 
recent trip to London. At the time of booking, the reviews seemed okay and 
given it was Travelodge, I was expecting it to be basic but at least clean 
and professional. How wrong I was! It was clearly run down but the room was 
the worst, especially the bathroom. Dirty and with nothing. Not even 
toiletries or hairdryer. There was a soap dispenser in the shower but it 
didn’t work. Carpets felt grimy. First day, housekeeping came but it was 
obvious they only made the beds. We had to go get toilet paper from 
reception (no phone in room). Fun walking through hotel with toilet paper. 
Second day, despite us putting the sign on the door, housekeeping just 
skipped us and the rooms around us. Had to go get towels. While…Read 
moreReview collected in partnership with TravelodgeDate of stay: July 
2019HelpfulShareResponse from TravelodgeUK, James from the Social Media 
Team at Travelodge London Covent GardenResponded 1 Aug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</si>
  <si>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https://www.tripadvisor.co.uk/Hotel_Review-g186338-d13569031-Reviews-or825-Travelodge_London_City_hotel-London_England.html#REVIEWS</t>
  </si>
  <si>
    <t>Mary wrote a review Jul 20191 contribution</t>
  </si>
  <si>
    <t>trickyhornet wrote a review Feb 2019Ripley, United Kingdom6 contributions8 
helpful votes</t>
  </si>
  <si>
    <t>BrilliantThis is the 2nd time we've stayed here as a family, the first time being in 
August 18 soon after opening, on each occasion we have been delighted. On 
this occasion a small fault with the room resulted in complimentary pizzas 
for the family and the addition of breakfasts foc, incredibly generous. The 
hotel is fantastically positioned, just a couple of hundred yards away from 
the tube and around 1/2 to the Tower of London so is a fantastic base for 
sightseeing. The area is relatively quiet, but not without the odd 
character, but at no time have we felt threatened or uncomfortable. The 
rooms are in general compact but with comfortable beds and good showers 
this is no problem. All in all it's a great choice for a London visit and 
I'd thoroughly recommend it. Thanks to all the great…Read moreDate of stay: 
February 2019HelpfulShare</t>
  </si>
  <si>
    <t>Don’t stay hereThis hotel was truly an unpleasant experience. From the questionable stains 
in the bathroom to housekeeping only coming when they felt like it, this is 
a place I’d scroll past next time I’m booking a hotel anywhere in greater 
London. In the bathroom, I first noticed how much it resembled a run-down 
public one. It had dispensers for soap in the shower (one which didn’t 
work) and another above the free-standing sink, which stained it. The drain 
in the sink was a very unpleasant color, and the whole bathroom, as 
previously stated, had more than a few questionable stains. The bath/shower 
was also terribly slipper, and because of the broken soap dispenser in it, 
getting soap from the other hand wash dispenser was a perilous feat. Then 
the room. It was completely bland and dirty. It…Read moreDate of stay: July 
2019HelpfulShareResponse from TravelodgeUK, James from the Social Media 
Team at Travelodge London Covent GardenResponded 1 Aug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</si>
  <si>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Barb369 wrote a review Feb 201979 contributions32 helpful votes</t>
  </si>
  <si>
    <t>AA88Dubai_UAE wrote a review Jul 2019Dubai, UAE171 contributions93 helpful 
votes</t>
  </si>
  <si>
    <t>Great stay, easy check in, cleAn and tidyVery close to the tube station. We got off at Aldgate East and it’s about a 
five minute walk. The hotel is very clean and tidy. Bar area looked really 
nice. Our room was clean and had everything we needed. The only slight 
complaint I have is the shower curtain! They are so unhygienic. Lucky the 
hotel is new-ish so it was in good condition but why didn’t they put 
sliding or folding doors on the shower?! Would stay again. Very central. 
Lots of little shops and coffee places nearby. Helpful staff. And Check in 
was quick and easy.Read moreDate of stay: February 2019HelpfulShare</t>
  </si>
  <si>
    <t>Steve K wrote a review Feb 2019Thatcham, United Kingdom5 contributions</t>
  </si>
  <si>
    <t>Buy cheap buy twiceI admit I was under the illusion that we just wanted somewhere to sleep for 
3 nights as we would be out all day. How wrong I was. Firstly the photos 
are a misrepresentation. I was under the impression they had new rooms and 
it would be on par with Premier Inn where I have enjoyed our stays. We 
stayed in a ‘family room’ which was basically a room with a fold out bed. 
No disrespect but I would describe our stay as government assistant council 
housing bedsit. It was basic all right, drab and depressing in desperate 
need of renovation. We could put up with that. But the worse part was we 
couldn’t sleep at night as the windows opened only 2 inches and we were 
issued with a small fan that sounded like a Boeing 747 taking off which did 
nothing to lower the temperature. There is…Read moreDate of stay: July 
2019HelpfulShareResponse from TravelodgeUK, James from the Social Media 
Team at Travelodge London Covent GardenResponded 1 Aug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</si>
  <si>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New hotel in a great locationEverything is clean and works. Room had all the essentials - including a 
coffee maker, free chocolate bars, ironing/board, Air Con. Located in 
Spitalfields, near two underground stations, buses and Liverpool St 
mainline railway. Petticoat Lane and other markets are close-by, as is 
Brick Lane. Although located in a busy part of London, the room was very 
quiet. Nothing negative to add or requiring improvement.Read moreReview 
collected in partnership with TravelodgeDate of stay: February 
2019HelpfulShare</t>
  </si>
  <si>
    <t>https://www.tripadvisor.co.uk/Hotel_Review-g186338-d193057-Reviews-or820-Travelodge_London_Covent_Garden-London_England.html#REVIEWS</t>
  </si>
  <si>
    <t>Curious14204355226 wrote a review Jul 20192 contributions</t>
  </si>
  <si>
    <t>https://www.tripadvisor.co.uk/Hotel_Review-g186338-d13569031-Reviews-or830-Travelodge_London_City_hotel-London_England.html#REVIEWS</t>
  </si>
  <si>
    <t>FionaJ63 wrote a review Feb 201922 contributions3 helpful votes</t>
  </si>
  <si>
    <t>dissapointedfamily room poor basic and pillows uncomfortable 12th floor family room 
looked like a double with 2 z beds packed in shower curtain grim hot and 
stuffy bar staff kept saying sorry this is not my job didnt seem to have 
enough staff reception ladies kept apologizing on leaving recepetion guys 
couldnt give a damRead moreReview collected in partnership with 
TravelodgeDate of stay: July 2019HelpfulShareResponse from TravelodgeUK, 
Ben from the Social Media Team at Travelodge London Covent GardenResponded 
12 Aug 2019Thank you for taking the time to write a review about our London 
Covent Garden hotel. We're sorry to hear of your disappointment with the 
room you were provided, the service from the team and that you felt the 
pillows were uncomfortable. We appreciate all the feedback we receive and 
our Hotel Managers regularly review their TripAdvisor reviews in order to 
fix any issues raised and pass on feedback to their team. Thank you once 
again and we do hope you will stay with us in the future.Read more</t>
  </si>
  <si>
    <t>Lovely place to stayLoved staying at this travelodge. The staff bent over backwards to be 
helpful. Breakfast was lovely. Great restaurant space. Bar staff very good. 
Room small but nicely done. I had a normal room. On seeing super room, was 
not worth the extra as you get a couple of Kit Kats and a coffee 
machine.Read moreReview collected in partnership with TravelodgeDate of 
stay: February 2019HelpfulShare</t>
  </si>
  <si>
    <t>Limeyinusa wrote a review Jul 2019Woodbury, Minnesota131 contributions21 
helpful votes</t>
  </si>
  <si>
    <t>Great location. Clean, tidy.Fantastic location. Two tube stations nearby (with 5 mins walk) for 
different lines. Very modern decor and very clean and tidy. We had a suite 
which entailed having the sofa bed unfolded. And with it unfolded there was 
very little space. Quite cramped. Also the separate bedroom was cramped. 
There was a desk which took up too much space. Beds were comfy. Bathroom 
was nice and modern and had a lovely rain shower. One slight downside was 
that there was no-where to hang towels ! Quite an over sight. Front desk 
nice and friendly and accommodating in that they worked with us for an 
unexpected early check-in.Read moreDate of stay: June 2019HelpfulShare</t>
  </si>
  <si>
    <t>https://www.tripadvisor.co.uk/Hotel_Review-g186338-d1812157-Reviews-or135</t>
  </si>
  <si>
    <t>vikkiw812019 wrote a review Jul 20191 contribution</t>
  </si>
  <si>
    <t>Overnight stay for daughters 18th birthdayI booked the hotel as part of a gift to my daughter for her 18th birthday 
to watch the Magic Mike show. The bathroom wasn’t very clean and breakfast 
wasn’t very hot and was taken away as soon as we sat downRead moreDate of 
stay: July 2019HelpfulShare</t>
  </si>
  <si>
    <t>carolynystrad wrote a review Feb 2019Bournemouth, United Kingdom7 
contributions2 helpful votes</t>
  </si>
  <si>
    <t>Ceilidhmad wrote a review Jul 2019Chichester, United Kingdom21 
contributions10 helpful votes</t>
  </si>
  <si>
    <t>Comfortable, clean, well locatedWe enjoyed our stay in a family room at this Travelodge. Everything about 
the room was excellent, and the hotel is appealing and recently 
refurbished. The only problem we encountered was at breakfast, as we found 
there were not enough staff working, so food kept running out and we had to 
wait for certain things until other parts of our meal had got cold. It was 
half term week, so perhaps the company did not expect the extra people. I 
felt sorry for the staff, as they seemed run off their feet.Read moreReview 
collected in partnership with TravelodgeDate of stay: February 20191 
Helpful voteHelpfulShare</t>
  </si>
  <si>
    <t>Bit tired lookingStayed in the Holborn Road part of the hotel and not Drury Lane as I booked 
a family room. The room was a bit tired looking but clean, view was great 
but windows outside were dirty. Breakfast was nice and plentiful. All staff 
we encountered were very friendly and very pleasant.Read moreDate of stay: 
July 2019HelpfulShare</t>
  </si>
  <si>
    <t>Helen wrote a review Feb 201918 contributions9 helpful votes</t>
  </si>
  <si>
    <t>Great location, friendly staff, great priceWe stayed at the recently opened London City Travelodge for a weekend stay 
in London. We've stayed at several Travelodges in London and they've all 
been good but this was definitely the best one. It's in a great location, 
just 2 min walk from Aldgate station and right on the heart of the city. 
The decor was modern and fresh. The bar/cafe was excellent - bright and 
airy, and a good breakfast. And the staff were all so friendly and helpful. 
We will definitely be back!Read moreReview collected in partnership with 
this hotelDate of stay: February 2019HelpfulShare</t>
  </si>
  <si>
    <t>https://www.tripadvisor.co.uk/Hotel_Review-g186338-d193057-Reviews-or825-Travelodge_London_Covent_Garden-London_England.html#REVIEWS</t>
  </si>
  <si>
    <t>https://www.tripadvisor.co.uk/Hotel_Review-g186338-d13569031-Reviews-or835-Travelodge_London_City_hotel-London_England.html#REVIEWS</t>
  </si>
  <si>
    <t>Jenni M wrote a review Feb 2019Bridlington, United Kingdom24 contributions8 
helpful votes</t>
  </si>
  <si>
    <t>Great hotelThis travelodge was in a great location, close to all travel links, the 
staff were great and all had excellent customer service skills. We came in 
a group of 8 people ranging from 5-74 years of age. Would definitely stay 
here again.Read moreReview collected in partnership with TravelodgeDate of 
stay: February 2019HelpfulShare</t>
  </si>
  <si>
    <t>Shirley S wrote a review Jul 2019United Kingdom2 contributions</t>
  </si>
  <si>
    <t>Louise B wrote a review Feb 2019Coleraine, United Kingdom19 contributions8 
helpful votes</t>
  </si>
  <si>
    <t>Family stayA great centrally located hotel , bright and modern , very clean with 
extremely helpful friendly stafff stayed here for a half term break with 
our kids good deals on offer in bar and restaurant so a great. After after 
a days sightseeingRead moreReview collected in partnership with 
TravelodgeDate of stay: February 2019HelpfulShare</t>
  </si>
  <si>
    <t>Megan Boyd wrote a review Feb 2019Cardiff, United Kingdom2 contributions</t>
  </si>
  <si>
    <t>Let down in LondonWe were not happy with our stay (two rooms for two nights) for the 
following reasons: We had a long wait to check in as all of the self check 
in machines were out of order. Room One had a blocked sink – this was 
cleared once we had reported it. Room Two had no air conditioning - this 
remained the case even though it was the hottest day on record. Room Two 
had no soap in the dispenser. This remained the case. We left the rooms 
midmorning, having put notices on our doors before 11, as requested. On our 
return the rooms had not been made up: Apart from the beds not being made 
this meant we had no clean towels or replacement tea and coffee. .Read 
moreReview collected in partnership with TravelodgeDate of stay: July 
2019HelpfulShareResponse from TravelodgeUK, Ben from the Social Media Team 
at Travelodge London Covent GardenResponded 12 Aug 2019Thank you for taking 
the time to write a review about our London Covent Garden hotel. We are 
sorry to learn of the problems with the rooms that were provided to you and 
that they were not serviced during your stay. We appreciate all the 
feedback we receive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again for your review.Read more</t>
  </si>
  <si>
    <t>Good location, clean hotelThis hotel is very clean and modern. In an excellent location. Breakfast 
was great value for money. Staff were friendly. Had a evening meal there 
one night was good value and very tasty. Excellent hotel, will be back 
again!Read moreDate of stay: February 2019HelpfulShare</t>
  </si>
  <si>
    <t>Explore614492 wrote a review Feb 20191 contribution1 helpful vote</t>
  </si>
  <si>
    <t>MARK C wrote a review Jul 2019Ashbourne, United Kingdom3 contributions</t>
  </si>
  <si>
    <t>Very professional hotelStayed for four nights to cover closure of my rail line. Excellent property 
for a budget hotel but what really set it apart was the friendly and 
professional staff, who put some much more expensive places I've stayed in 
to shame.Read moreDate of stay: February 20191 Helpful voteHelpfulShare</t>
  </si>
  <si>
    <t>carmel68 wrote a review Feb 2019Liverpool 2 contributions</t>
  </si>
  <si>
    <t>Great weekend in LondonSuperb location for touring Central London, nice clean at a great price, 
although the breakfast wasn't brilliant purely because a lot of it wasn't 
very warm, a great choice though. Good cool room......Read moreDate of 
stay: July 2019HelpfulShare</t>
  </si>
  <si>
    <t>london breakwe both enjoyed our stay at this hotel. room was clean bathroom was great. 
breakfast was great value for money the location was alright just a little 
far from the centre of London if you did not take a bus or tube. with hotel 
being called London City i thought it was right in the centre, however was 
very pleased and would stay there again.Read moreReview collected in 
partnership with TravelodgeDate of stay: February 20191 RepostHelpfulShare</t>
  </si>
  <si>
    <t>https://www.tripadvisor.co.uk/Hotel_Review-g186338-d13569031-Reviews-or840-Travelodge_London_City_hotel-London_England.html#REVIEWS</t>
  </si>
  <si>
    <t>54michellea wrote a review Feb 2019London, United Kingdom2 contributions2 
helpful votes</t>
  </si>
  <si>
    <t>https://www.tripadvisor.co.uk/Hotel_Review-g186338-d193057-Reviews-or830-Travelodge_London_Covent_Garden-London_England.html#REVIEWS</t>
  </si>
  <si>
    <t>Good valueConvenient, good value, helpful staff but more attention to cleanliness in 
the rooms is required. I stayed for three nights but the room wasn’t 
cleaned even though I followed the instruction with the door sign. I had to 
move rooms due to suspicious looking mark on the carpet which made the room 
feel unclean. Staff were overall very helpful and pleasant though and eager 
to please which I appreciate.Read moreReview collected in partnership with 
TravelodgeDate of stay: February 2019HelpfulShareResponse from 
TravelodgeUK, Ben from the Social Media Team at Travelodge London City 
hotelResponded 18 Mar 2019Thank you for taking the time to write a review 
on our London City hotel. We are pleased to hear that you liked the hotels 
location, found your room to be clean and of good value and that the hotel 
team were helpful, although we would like to apologise for the 
disappointment caused by other aspects of your stay. Feedback is invaluable 
and our Hotel Managers regularly review their TripAdvisor reviews in order 
to fix any issues raised and pass on feedback to their team. Thank you once 
again and we do hope you will stay with us in the future.Read more</t>
  </si>
  <si>
    <t>spannalmac wrote a review Jul 20193 contributions</t>
  </si>
  <si>
    <t>Ann S wrote a review Feb 2019Birmingham, United Kingdom4 contributions1 
helpful vote</t>
  </si>
  <si>
    <t>really clean hotelAmazing hotel. It was in a great position, the whole of the hotel was 
really clean and the staff were pleasant and attentive. Would definitely 
recommend this hotel. This is a new hotel in a prime position to get around 
London and for a sociable night out.Read moreReview collected in 
partnership with TravelodgeDate of stay: February 2019HelpfulShare</t>
  </si>
  <si>
    <t>Not greatReception staff were rude-no greeting on arrival, 3 people dealing with one 
customer-room wasn’t ready even though we arrived after 5pm, no apologies 
for this until we spoke to manager. Staff continued to be unapologetic and 
uncaring-no explainaton where our room was, where/when breakfast was (we 
missed it). Room was small, bathroom was dirty (hairs everywhere), air 
conditioning was super loud and room was too hot without it on, walls were 
super thin, could hear people talking most of the night. Only positive is 
central location.Read moreReview collected in partnership with 
TravelodgeDate of stay: July 2019HelpfulShareResponse from TravelodgeUK, 
Zack from The Social Media Team at Travelodge London Covent GardenResponded 
30 Jul 2019We would like to thank you for the time you have taken to write 
this review. Please accept our sincerest apologies for the service you have 
received in the bar cafe, where you felt the hotel did not deliver 
consistent customer care due to staffing levels. W are also sorry that you 
feel your room was not cleaned to the high standards that we expect in all 
of our hotels. We would be more than happy to receive further feedback from 
you via the contact us form on our website as this will enable us to bring 
your experience to the hotel manager's attention. We look forward to 
hearing from you and improving the service we offer. Thank you for your 
feedback.Read more</t>
  </si>
  <si>
    <t>Jmfjune wrote a review Jul 20198 contributions1 helpful vote</t>
  </si>
  <si>
    <t>Travelodge Covent GardenOverall an excellent location!! This is my 2nd visit would deffo book again 
clean does what it needs to do!!!! coyld maybe do with renovating the “ 
quiet area” where we stayed very different to where I stayed on my last 
visit!!Read moreReview collected in partnership with TravelodgeDate of 
stay: July 2019HelpfulShareResponse from TravelodgeUK, Zack from The Social 
Media Team at Travelodge London Covent GardenResponded 30 Jul 2019We would 
like to thank you for taking the time to share your experience. We are so 
pleased to hear that you were happy with the location of the Hotel and that 
your overall experience was a positive one. Your feedback is invaluable and 
we will notify the hotel of your comments. Thank you once again and we do 
hope you will stay with us again soon.Read more</t>
  </si>
  <si>
    <t>chiltoni wrote a review Jul 2019Coventry, United Kingdom12 contributions9 
helpful votes</t>
  </si>
  <si>
    <t>https://www.tripadvisor.co.uk/Hotel_Review-g186338-d13569031-Reviews-or845-Travelodge_London_City_hotel-London_England.html#REVIEWS</t>
  </si>
  <si>
    <t>Getaway63272848216 wrote a review Feb 2019Ibstock, United Kingdom1 
contribution1 helpful vote</t>
  </si>
  <si>
    <t>Super Room not so super!We opted for this hotel as it advertised it had air-conditioning in the 
rooms and also thought we’d try out their new Super Rooms. The plus points: 
- location is brilliant for West End and Covent Garden The bad points: - 
A/C was really bad...it was easier to cool the room with the door to the 
corridor open than with the unit in the room; our main reason for choosing 
this hotel in the height of a heat wave! - Rain Shower...no good if the 
water pressure is not strong enough - Coffee Machine in Room...but only 
decaf coffee provided...people who want decaf would mostly be sufficed with 
instant - Bed...hard and uncomfortable - Enhanced decor...looked no 
different to a standard room - Armchair in room...only one, so not 
somewhere you’d relax as a couple I have normally been pleased…Read 
moreReview collected in partnership with TravelodgeDate of stay: July 20191 
Helpful voteHelpfulShareResponse from TravelodgeUK, Ben from the Social 
Media Team at Travelodge London Covent GardenResponded 12 Aug 2019Thank you 
for taking the time to write a review about our London Covent Garden hotel. 
We're pleased to hear that you liked the hotels location however we are 
sorry to learn of the problems with the air conditioning and that you did 
not feel the Super room was good value. We appreciate all the feedback we 
receive and our Hotel Managers regularly review their TripAdvisor reviews 
in order to fix any issues raised and pass on feedback to their team. Thank 
you once again and we do hope you will stay with us in the future.Read more</t>
  </si>
  <si>
    <t>Louise H wrote a review Jul 2019London, United Kingdom94 contributions21 
helpful votes</t>
  </si>
  <si>
    <t>A great base for a sightseeing tripThis hotel is fairly new and is, as it is called, in London City. It is 
about 200m from Aldgate Tube Station and just a little further to Aldgate 
East. It is only minutes walk from The Gherkin, The Walkie Talkie Building, 
The Tower of London and The Thames. Petticoat Lane Market is literally just 
outside and there are loads of places to eat around that cater for just 
about every taste. This hotel has got a nice vibe about it. There is a 
cafe/bar serving food and drink which is really quite reasonably priced. 
Whilst we were there, there was a Happy Hour from 4.00pm until 6.00pm! The 
rooms are nicely decorated with a new theme and are clean and tidy. The 
staff are very efficient and extremely friendly. We were only there for 1 
night, but we managed to cram a lot in because we were…Read moreReview 
collected in partnership with TravelodgeDate of stay: February 20191 
Helpful voteHelpfulShare</t>
  </si>
  <si>
    <t>Culture112066 wrote a review Feb 2019Grantham, United Kingdom18 
contributions3 helpful votes</t>
  </si>
  <si>
    <t>Weekend visitLarge, impersonal, lacking in customer service. Ok if you want something 
cheap and you are happy to accept that. Closer to Oxford Street rather.than 
Covent Garden but certainly within walking distance.Read moreDate of stay: 
July 2019HelpfulShareResponse from TravelodgeUK, Ben from the Social Media 
Team at Travelodge London Covent GardenResponded 11 Aug 2019Thank you for 
taking the time to write a review about our London Covent Garden hotel. 
We're pleased to hear that you liked the hotels location however we are 
sorry to learn of your disappointment with the service provided. It’s 
really important to us that our teams provide a fantastic service to our 
guests so we are sorry to learn that you feel this was not the case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</si>
  <si>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Great London stop overGreat hotel , perfect location. When shopping within 2 min of arrival. 
Hotel was clean . Staff friendly. Location was just 2 min from one tube 
station. Five minute walk to restaurants a 10 min walk from brick lane . 
Best curt we have had for a while , then 20 min walk to the tower via the 
bank.Read moreReview collected in partnership with TravelodgeDate of stay: 
February 20191 Helpful voteHelpfulShare</t>
  </si>
  <si>
    <t>zolle1 wrote a review Jul 20199 contributions2 helpful votes</t>
  </si>
  <si>
    <t>EthanStephens wrote a review Feb 2019St Austell, United Kingdom5 
contributions1 helpful vote</t>
  </si>
  <si>
    <t>Fantastic value for money.A big thankyou to the staff of the hotel who were both helpful and 
friendly. The place was immaculate and for the price was a steal. Located 
at London city you are a 3minute walk from the tube. And with a 24hour bar 
who can complainRead moreDate of stay: February 20191 Helpful 
voteHelpfulShare</t>
  </si>
  <si>
    <t>Worst experienceCame to check in but the room was dirty so had to change rooms no reception 
in the room or mobile data so you end up paying for wifi had to wait at 
reception for fifteen minutes before someone came to serve me worst hotel 
experience everRead moreDate of stay: July 2019HelpfulShareResponse from 
TravelodgeUK, Zack from The Social Media Team at Travelodge London Covent 
GardenResponded 29 Jul 2019Thank you for taking the time to share your 
review. We wish for our customers to enjoy their hotel experience, so we 
are sorry to hear that you were not positively impressed by your last stay 
in our London Covent Garden hotel. It’s important that our team provide a 
fantastic service to our customers and remain professional at all times, 
please accept our apologies that this was not provided to you. We're also 
really sorry to learn of your disappointment with our WiFi extra. We do not 
include the cost of this extra in our room rates unlike some of our 
competitors as we believe this allows our guests to pay for the services 
they need so we can continue to offer great room rates. May we thank you 
for your comments, we do hope you stay with us again.Read more</t>
  </si>
  <si>
    <t>https://www.tripadvisor.co.uk/Hotel_Review-g186338-d13569031-Reviews-or850-Travelodge_London_City_hotel-London_England.html#REVIEWS</t>
  </si>
  <si>
    <t>https://www.tripadvisor.co.uk/Hotel_Review-g186338-d193057-Reviews-or835-Travelodge_London_Covent_Garden-London_England.html#REVIEWS</t>
  </si>
  <si>
    <t>Diana R wrote a review Feb 2019115 contributions14 helpful votes</t>
  </si>
  <si>
    <t>jackyclegg wrote a review Jul 2019Bognor Regis, United Kingdom23 
contributions23 helpful votes</t>
  </si>
  <si>
    <t>Great HotelI stayed in this hotel during my trip to London, and I would 100% recommend 
and would stay here again. The hotel is very clean, and the staff is very 
friendly. The hotel is within walking distance to restaurants, convenient 
stores, and public transit. You can find bus/metro station within a three 
minute walk, the hotel in general is in a good location, not a long metro 
ride from major landmarks. Will stay here again on my next visit.Read 
moreDate of stay: February 2019HelpfulShare</t>
  </si>
  <si>
    <t>Companion43919966985 wrote a review Feb 20191 contribution</t>
  </si>
  <si>
    <t>Great hotel, great location, great price.Hotel is in pristine condition and centrally located, close to both Aldgate 
and Aldgate East tube stations. Set back from main road so it is nice and 
quiet. Both the restaurant and bar facilities are excellent and 
competitively priced, food is of a good standard. Staff are all very 
helpful and polite. Would highly recommend as an affordable centre for a 
family visit to London.Read moreReview collected in partnership with this 
hotelDate of stay: February 2019HelpfulShare</t>
  </si>
  <si>
    <t>Theatre fest!We booked this Travelodge on the basis that my husband really liked the 
sound of the superooms and that he wanted to be within walking distance of 
the theatres we were due to visit. I have stayed at A LOT of London hotels 
and given the excellent location(and therefore high numbers of guests) I 
was not expecting a perfect stay. But check in was painful, 8 parties 
queuing, so we stood, and waited and waited. I don't mind a new member of 
staff but I do expect an understanding of basic English and some ability to 
follow simple instructions of his line manager. We eventually got our keys 
and off we went to the 8th floor. The keys worked, linen was pretty much 
spotless, bed comfy and pillows spot on (I really struggle to find comfy 
pillows). Coffee pod machine- nice, 1 coffee pod-not…Read moreDate of stay: 
July 2019HelpfulShareResponse from TravelodgeUK, James from the Social 
Media Team at Travelodge London Covent GardenResponded 29 Jul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</si>
  <si>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Frank121 wrote a review Feb 2019England, United Kingdom19 contributions9 
helpful votes</t>
  </si>
  <si>
    <t>Gill D wrote a review Jul 2019Bradford, United Kingdom19 contributions10 
helpful votes</t>
  </si>
  <si>
    <t>Nice new Travelodge with BarNew hotel; I stayed in a super room which was quiet, comfortable and well 
apointed. (5th Floor) The hotel is set back from the main street and the 
windows are decently soundproofed. Their is Breakfast, Lunch &amp; Dinner 
available along with a bar at reasonable prices. It's in a great location 
just minutes away to Algate or Algate East.Read moreDate of stay: February 
2019HelpfulShare</t>
  </si>
  <si>
    <t>Pwncjn1 wrote a review Feb 2019Cambridge, United Kingdom185 contributions32 
helpful votes</t>
  </si>
  <si>
    <t>Brilliant value for moneyThe hotel was great for the West End and proved brilliant value for money. 
The rooms were comfortable and clean and the staff very pleasant and 
helpful. Breakfast was not a wide selection but perfectly adequate.Read 
moreDate of stay: July 2019HelpfulShare</t>
  </si>
  <si>
    <t>Theatre breakGreat hotel, bargain price for a Friday night in London, good location easy 
walk to tube stations Liverpool Street or Tower Bridge. Friendly staff, 
wonderful clean rooms, would definitely stay again when next in London.Read 
moreDate of stay: February 20191 Helpful voteHelpfulShare</t>
  </si>
  <si>
    <t>sarah w wrote a review Jul 2019Leeds, United Kingdom247 contributions51 
helpful votes</t>
  </si>
  <si>
    <t>https://www.tripadvisor.co.uk/Hotel_Review-g186338-d13569031-Reviews-or855-Travelodge_London_City_hotel-London_England.html#REVIEWS</t>
  </si>
  <si>
    <t>Great location, basic roomsThe best thing is the location in seven dials above Covent Garden, handy 
for the west end theatres. We stayed in the Drury lane building, clean and 
basic with a decent shower although a shelf for toiletries and a bath mat 
would have been helpful as the floor got very wet and we had to use a towel 
to mop it up. The bed could have done with a new mattress as we rolled into 
the middle, our friends in the other room said their bed was ok. We had air 
con which was a bonus as London was very hot. Breakfast was ok, a 
reasonable selection of hot and cold foods. Rooms were cleaned and fresh 
towels left , would return.Read moreDate of stay: July 2019HelpfulShare</t>
  </si>
  <si>
    <t>Aniel C wrote a review Feb 20194 contributions6 helpful votes</t>
  </si>
  <si>
    <t>samdorsett wrote a review Jul 201960 contributions33 helpful votes</t>
  </si>
  <si>
    <t>ExcellentStaff friendly, hotel it's was clean. Definitely I will stay same hotel if 
I have chance. Exceptional values for money. Drinks on bar on decent 
price.��. Very close to underground. Best choice if you are a tourist.Read 
moreDate of stay: February 20192 Helpful votesHelpfulShare</t>
  </si>
  <si>
    <t>Monika K wrote a review Feb 2019Bratislava, Slovakia9 contributions4 
helpful votes</t>
  </si>
  <si>
    <t>Great stay near Liverpool station and Tower BridgeGreat stay in super location (10 minutes from Liverpool station, walking 
distance Tower Bridge, Sky Garden, Tower, Shard ...), underground stations 
are nearby. Great stuff, clean room, new bulding, a lot of restaurants 
nearby.Read moreReview collected in partnership with TravelodgeDate of 
stay: February 20191 Helpful voteHelpfulShare</t>
  </si>
  <si>
    <t>N_IrelandBlondie wrote a review Feb 2019N.Ireland44 contributions16 helpful 
votes</t>
  </si>
  <si>
    <t>Great locationStayed here for along weekend - had to take 2 rooms as we’re a family of 5. 
Rooms were clean and functional. Breakfast was excellent value as children 
were free. We ate at the hotel one evening which was also excellent value 
as one child ate free with an adults main and side purchase for £12! Good 
location, just a few minutes from Aldgate underground and Liverpool Street 
station. Staff friendly.Read moreDate of stay: February 20192 Helpful 
votesHelpfulShare</t>
  </si>
  <si>
    <t>Good location, nothing elseBe careful when you book as there are 2 parts to this site. Make sure you 
book the Drury Lane Site as Old Holborn where the so called family rooms 
are is shabby and run down. The whole place needs a refit. The windows were 
filthy, there were no towels and the third bed wasn’t a proper bed it was a 
put me up camping bed. The staff didn’t care a jot. Went and asked for 
towels and they said they didn’t have any but would put some in our room. 
This didn’t happen so I went down the 9 floors again and asked again to be 
told they had now all gone. I asked why none had been put in my room and 
the girl said there were no staff. I asked in the evening yet again to have 
some for the morning to be told that someone would bring some up but again 
this never happened so the 3 of us had one…Read moreReview collected in 
partnership with TravelodgeDate of stay: July 2019HelpfulShareResponse from 
TravelodgeUK, Zack from The Social Media Team at Travelodge London Covent 
GardenResponded 29 Jul 2019We are sorry to learn of your experience at our 
London Covent Garden Travelodge and we appreciate you taking the time to 
leave us your feedback. We're concerned to hear your room was not cleaned 
to our usual high standard, however we're thankful that you found our hotel 
to be an ideal location for your needs. Please may we kindly ask you to 
contact our Customer Service team via the 'Contact Us' page on our website. 
Please include a link to your review and your booking details. This will 
enable us to look into your visit more thoroughly with our hotel team. 
Thank you again for taking the time to leave your review, and we look 
forward to hearing from you soon.Read more</t>
  </si>
  <si>
    <t>Sightsee253126 wrote a review Feb 20191 contribution</t>
  </si>
  <si>
    <t>Great location and so clean!Was really impressed with this hotel. Staff were all really friendly. Very 
clean and everything you need . Would definitely recommend . A group of us 
stayed the night and walked to Shoreditch from the hotel.Read moreReview 
collected in partnership with this hotelDate of stay: February 
2019HelpfulShare</t>
  </si>
  <si>
    <t>Northumberland England wrote a review Jul 20197 contributions</t>
  </si>
  <si>
    <t>https://www.tripadvisor.co.uk/Hotel_Review-g186338-d13569031-Reviews-or860-Travelodge_London_City_hotel-London_England.html#REVIEWS</t>
  </si>
  <si>
    <t>Great locationThe location was perfect we stayed for 3 nights and each night was a 
different price which I found to be unusual. The room is basic and clean 
although it is very dark with no natural light due to the high buildings 
surrounding it. We were woken up at 7am every morning with the noise 
outside which was a massive downfall.Read moreReview collected in 
partnership with this hotelDate of stay: July 2019HelpfulShare</t>
  </si>
  <si>
    <t>Hayley T wrote a review Feb 20191 contribution</t>
  </si>
  <si>
    <t>Hotel London city Middlesex st.This was a great surprise after being at the dreadful one in 
York.travelodge plus is an excellent hotel. Clean,nice rooms and friendly 
helpful staff.underground is a 5 min walk and Wetherspoons just down the 
road.Would definitely stay here againRead moreReview collected in 
partnership with TravelodgeDate of stay: February 2019HelpfulShare</t>
  </si>
  <si>
    <t>https://www.tripadvisor.co.uk/Hotel_Review-g186338-d193057-Reviews-or840-Travelodge_London_Covent_Garden-London_England.html#REVIEWS</t>
  </si>
  <si>
    <t>Jpgreagsby wrote a review Feb 2019Hollingbourne, United Kingdom18 
contributions6 helpful votes</t>
  </si>
  <si>
    <t>denise joan t wrote a review Jul 2019Doncaster, United Kingdom13 
contributions8 helpful votes</t>
  </si>
  <si>
    <t>London stayWe took our granddaughter who's 10 and our stay was great we had breakfast 
2 days and evening meal in hotel which was very reasonable price and was 
delicious and then we ordered and had pizza in room second night carnt wait 
to go backRead moreReview collected in partnership with this hotelDate of 
stay: July 2019HelpfulShare</t>
  </si>
  <si>
    <t>Excellent stayWe stayed here for a night away in London. Location wise, the hotel is 
right next to Aldgate stations, and only a few stops from all the major 
train lines. The hotel itself is new, and set back from the road, which is 
nice as you down get any road noise. As it the same inside as all 
Travelodge hotels, clean and minimalistic. We had a normal room, as I don't 
find there is much difference between them and the superior other than the 
coffee machine. Bed was comfy, temperature good and the shower nice. We had 
breakfast, which was well cooked and well stocked too for a buffet. The 
breakfast looked busy but there was no issue getting food and drinks. The 
staff we spoke to were very friendly and nice. In all, if you are looking 
for a cheap stay in a central London location, this…Read moreDate of stay: 
February 2019HelpfulShare</t>
  </si>
  <si>
    <t>Happiness629790 wrote a review Feb 20191 contribution</t>
  </si>
  <si>
    <t>Good stayI only stayed for one night, but the room was clean and fresh. The 
reception staff were pleasant and although we didn’t use the downstairs 
area (bar/dining area) it looked nice. The security was good so you know 
only guests were within the hotel. It was a pleasant stay for a very 
reasonable price in a very convenient location.Read moreReview collected in 
partnership with TravelodgeDate of stay: February 2019HelpfulShare</t>
  </si>
  <si>
    <t>kathy s wrote a review Feb 2019London, United Kingdom35 contributions29 
helpful votes</t>
  </si>
  <si>
    <t>Very nice Travelodge, spotlessly clean and lovely breakfast.We stayed here for 2 nights 8th - 10th February. Check in staff were 
friendly and helpful and happily stored our bags as we were a little early. 
Bar prices were competetive for the area. Room was spotless, cleaning staff 
were pleasant, even though English was not first language we managed to 
communicate to get extra towels etc without issue. Good idea is the spare 
coffee and milk etc is placed on reception for you to help yourself. Bar is 
open 24 hours should you wish to drink late and water jugs with 
lemons/limes etc with glasses are stocked at the end of the bar. Breakfast 
was lovely and fresh and staff worked hard to keep it clean and stocked. 
Alan who served at breakfast was attentive and friendly and made an effort 
to chat with customers despite being busy, offering tips…Read moreDate of 
stay: February 20191 Helpful voteHelpfulShare</t>
  </si>
  <si>
    <t>Christine S wrote a review Jul 2019Peterborough, United Kingdom5 
contributions5 helpful votes</t>
  </si>
  <si>
    <t>https://www.tripadvisor.co.uk/Hotel_Review-g186338-d13569031-Reviews-or865-Travelodge_London_City_hotel-London_England.html#REVIEWS</t>
  </si>
  <si>
    <t>Short breakWe came with our granddaughter for a short break hotel was nice and airy we 
were very lucky as had air conditioned family room breakfast was good and 
the general atmosphere of the hotel was really nice and friendlyRead 
moreReview collected in partnership with this hotelDate of stay: July 
2019HelpfulShare</t>
  </si>
  <si>
    <t>dandyt873 wrote a review Jul 2019Birmingham, United Kingdom21 
contributions14 helpful votes</t>
  </si>
  <si>
    <t>Nik T wrote a review Feb 2019Sydney, Australia90 contributions19 helpful 
votes</t>
  </si>
  <si>
    <t>City BreakGreat Location within walking distance to Tower Bridge, spitafields and 
shoreditch, rooms were clean and comfortable the shower was instantaneous 
hot water would definitely stay again. Staff were courteous and 
genuine.Read moreReview collected in partnership with TravelodgeDate of 
stay: February 2019HelpfulShare</t>
  </si>
  <si>
    <t>Perfect for our needsAn excellent overnight stay.Ideal location for the West End. Having a 
restaurant and bar was a bonus and drinks/food were all good value.The room 
was very clean and comfortable and well appointed. All in all good 
value.Read moreReview collected in partnership with this hotelDate of stay: 
July 2019HelpfulShare</t>
  </si>
  <si>
    <t>James wrote a review Feb 2019Manchester, United Kingdom53 contributions20 
helpful votes</t>
  </si>
  <si>
    <t>Great value for money.This is a brand new hotel so it was immaculate and well worth the money 
compared to other hotels in the city centre. The food was pretty 
bog-standard but that was expected. The room was very clean and tidy. We 
would certainly stay here again and you can catch the underground just a 
few minutes walk away so it was perfect and only a few minutes walk to the 
Tower of London.Read moreDate of stay: January 2019HelpfulShare</t>
  </si>
  <si>
    <t>https://www.tripadvisor.co.uk/Hotel_Review-g186338-d193057-Reviews-or845-Travelodge_London_Covent_Garden-London_England.html#REVIEWS</t>
  </si>
  <si>
    <t>Gemma wrote a review Feb 2019Cambridge, United Kingdom3 contributions</t>
  </si>
  <si>
    <t>Lorraine S wrote a review Jul 2019Northampton, United Kingdom61 
contributions28 helpful votes</t>
  </si>
  <si>
    <t>Girly weekendStayed here with a friend to do some sightseeing in London. The hotel was 
the new style and it looked amazing, we stayed in a super room and it 
exceeded our expectations! Had a drink in the stylish bar and was served by 
Mike and Sergiu who were super friendly and made us feel very welcome! 
Would definitely stay again if I were in London!Read moreDate of stay: 
February 2019HelpfulShare</t>
  </si>
  <si>
    <t>https://www.tripadvisor.co.uk/Hotel_Review-g186338-d13569031-Reviews-or870-Travelodge_London_City_hotel-London_England.html#REVIEWS</t>
  </si>
  <si>
    <t>Not so SuperoomI have always avoided staying at Travelodges as I had a bad experience in 
one many years ago, however, I thought I would give it a go this time, as 
both me and my partner had to be in London on business. Let’s focus on the 
positives...We had a seamless check-in, yes, the Super Room was as 
advertised in the website, yes, a nice meal in the restaurant and yes, a 
nice breakfast this morning.. Now the negatives.... My positive experience 
fell when the coffee machine started emitting water into the tray rather 
than my coffee cup (in which I was really looking forward to a delicious 
cup of Lavazza coffee...so vvv disappointed). Went down to reception to 
complain and they gave me a new machine, however they couldn’t give me any 
more coffee pods as they didn’t have any to hand. ‘No…Read moreDate of 
stay: July 2019HelpfulShareResponse from TravelodgeUK, Zack from The Social 
Media Team at Travelodge London Covent GardenResponded 28 Jul 2019Thank you 
for submitting your review of our London Covent Garden Travelodge. We are 
sorry to learn staff were not helpful and welcoming during your visit, it 
is the utmost importance to us that our hotel team offer an upbeat welcome 
from check in to check out. We are also sorry to hear that your room was 
not serviced when the room service hanger was placed on the outside of the 
door. We will be sure to pass your valuable feedback to the hotel for you 
to improve the service we offer and would like to sincerely thank you for 
taking the time to write your review.Read more</t>
  </si>
  <si>
    <t>ajh55 wrote a review Jul 2019london32 contributions24 helpful votes</t>
  </si>
  <si>
    <t>Chris C wrote a review Feb 2019Greenock, United Kingdom4 contributions2 
helpful votes</t>
  </si>
  <si>
    <t>Excellent HotelMy girlfriend and I stayed for 3 nights and had a brilliant time. Hotel was 
well located, very close to underground stations and getting around was no 
problem. Went for the all you can eat breakfast two mornings which was 
excellent value and of a really good quality - highly recommended. Hotel 
overall was lovely, the rooms were of a good size and clean. Staff were 
friendly and helpful. Would have liked to have an iron and hairdryer in the 
room but these can be obtained from the front desk - no real issue.Would 
definitely stay again!Read moreReview collected in partnership with 
TravelodgeDate of stay: January 2019HelpfulShare</t>
  </si>
  <si>
    <t>Family stay at the Travel Lodge in High Holborn.We had a minor problem with a fusty smell coming from our bathroom but this 
was soon actioned and sorted by a staff member called Elena who went out of 
her way to make sure we were happy and that our stay was a pleasant and 
enjoyable one. Excellent customer service from this lady who went above and 
beyond to resolve this issue - I feel she is a valued member of staff and 
her customer service skills are excellent..Read moreReview collected in 
partnership with TravelodgeDate of stay: July 2019HelpfulShare</t>
  </si>
  <si>
    <t>Flyer51622411964 wrote a review Feb 2019Gloucester, United Kingdom1 
contribution</t>
  </si>
  <si>
    <t>Just right!The London City is ideally situated, so close to the tube. The room was 
lovely, quite big, a very comfortable bed and really good bathroom 
facilities. The staff were all very helpful, especially at breakfast (the 
same person who looked after me on my first trip was again memorable - 
sorry I didn't get her name!). The food was all very good too, cooked 
breakfast al kept very warm.Read moreReview collected in partnership with 
this hotelDate of stay: February 2019HelpfulShare</t>
  </si>
  <si>
    <t>johndoherty59 wrote a review Feb 2019Warrington, United Kingdom2 
contributions8 helpful votes</t>
  </si>
  <si>
    <t>Miss Louise wrote a review Jul 2019London, United Kingdom4 contributions2 
helpful votes</t>
  </si>
  <si>
    <t>London city travelodgeRoom clean and tidy but storage for clothes non existent. Three adults in a 
room no drawers, no wardrobes and 5 hangers hanging openly over a pillow on 
the bed. It would be impossible to hang anything up on these hangers 
because the clothing would actually be on the person's face while they were 
sleepingRead moreReview collected in partnership with TravelodgeDate of 
stay: February 2019HelpfulShareResponse from TravelodgeUK, Molly from the 
Social Media Team at Travelodge London City hotelResponded 6 Feb 2019Thank 
you for your review. We're pleased to hear that you found the room to be 
clean. Thank you for your feedback regarding the room set up. We are sorry 
to learn that you were unimpressed with the facilities in your room. Being 
a budget Hotel brand, we believe that we provide all the necessary 
facilities to ensure a comfortable stay, for value. However we are always 
looking to improve the services we offer and we will pass your comments on 
to the relevant team. Thank you again for your review.Read more</t>
  </si>
  <si>
    <t>Theatre TripIt was only an overnight stay at Travelodge and my first time in this chain 
of hotel. Check in was easy and staff were friendly. The room was a bit 
dated and in need of some tic but that didn't affect the stay. Great 
location for a theatre break. Breakfast was really good a lot on offer and 
very tasty.Read moreDate of stay: May 2019HelpfulShare</t>
  </si>
  <si>
    <t>DebJane wrote a review Feb 2019Redruth, United Kingdom12 contributions1 
helpful vote</t>
  </si>
  <si>
    <t>Great value for money in the centre of LondonEverything was perfect, could not have asked for more, especially for the 
price. Staff were helpful, friendly and attentive; room was warm, clean, 
well-fitted and comfortable; shower was amazing (!); breakfast was huge, 
varied, fresh and tasty. Hot chocolate, from the machine, was the best!Read 
moreReview collected in partnership with TravelodgeDate of stay: February 
2019HelpfulShare</t>
  </si>
  <si>
    <t>Tracy wrote a review Jul 2019Bristol, United Kingdom4 contributions1 
helpful vote</t>
  </si>
  <si>
    <t>https://www.tripadvisor.co.uk/Hotel_Review-g186338-d13569031-Reviews-or875-Travelodge_London_City_hotel-London_England.html#REVIEWS</t>
  </si>
  <si>
    <t>Excellent locationI’m not a regular customer of Travelodge as I have a company card with 
Premier Inn. However due to late booking and a change of plans I found 
myself here. My stay was pleasant and the location of the hotel was great 
for my purpose whilst in London. I will definitely stay here again. Thank 
you to all the staff who assisted me during my stayRead moreDate of stay: 
May 2019HelpfulShare</t>
  </si>
  <si>
    <t>HJCPAT wrote a review Feb 2019Worcester, United Kingdom8 contributions6 
helpful votes</t>
  </si>
  <si>
    <t>Excellent London StayWould definately recommend and would definitely stay here again when we 
visit London. Staff really friendly and the hotel was great. We had the 
breakfast which was excellent. Close to the tube stations. Overall an 
excellent place to stayRead moreReview collected in partnership with this 
hotelDate of stay: January 2019HelpfulShare</t>
  </si>
  <si>
    <t>https://www.tripadvisor.co.uk/Hotel_Review-g186338-d193057-Reviews-or850-Travelodge_London_Covent_Garden-London_England.html#REVIEWS</t>
  </si>
  <si>
    <t>Ahjg wrote a review Feb 20192 contributions</t>
  </si>
  <si>
    <t>Titch1960 wrote a review Jul 2019Chilwell, United Kingdom15 contributions2 
helpful votes</t>
  </si>
  <si>
    <t>Lovely stayThe travelodge was better than expected. Everything was clean and well 
maintained. Staff on reception were friendly and gave advice on breakfast 
and bar. Only downfall would be size of the bathroom, as this was small. 
But other than that fantastic stay and would visit again.Read moreReview 
collected in partnership with TravelodgeDate of stay: February 
2019HelpfulShare</t>
  </si>
  <si>
    <t>SightseeingWe came for the weekend, central hotel easy walk to Covent Garden Trafalgar 
Square etc enjoyed the national portrait gallery. Really enjoyed our super 
room experience and breakfast was a great start to the day lovely staff and 
great service looking forward to our next visitRead moreReview collected in 
partnership with TravelodgeDate of stay: July 2019HelpfulShare</t>
  </si>
  <si>
    <t>Parkrunner71 wrote a review Jul 2019208 contributions35 helpful votes</t>
  </si>
  <si>
    <t>peterlI1454TQ wrote a review Feb 2019Leeds2 contributions1 helpful vote</t>
  </si>
  <si>
    <t>Convenient, clean and comfortableWe were very pleased with our stay at the London City Travelodge. The 
booking system is very convenient, the location was excellent for us and 
the hotel itself clean and comfortable. The staff were polite and friendly 
and the for breakfast there was a wide choice of tasty dishes which were 
nicely prepared and presented though not quite hot enough on one of our 4 
mornings there. We can certainly recommend this hotel for a centyral London 
stay.Read moreReview collected in partnership with TravelodgeDate of stay: 
January 2019HelpfulShare</t>
  </si>
  <si>
    <t>https://www.tripadvisor.co.uk/Hotel_Review-g186338-d13569031-Reviews-or880-Travelodge_London_City_hotel-London_England.html#REVIEWS</t>
  </si>
  <si>
    <t>laurawR3434XI wrote a review Feb 2019Rochester, United Kingdom3 
contributions1 helpful vote</t>
  </si>
  <si>
    <t>Brian B wrote a review Jul 2019San Francisco, California4 contributions</t>
  </si>
  <si>
    <t>Comfortable, quiet and centralThis branch of Travelodge was new and therefore I found it very well 
equipped, clean and very quiet (could barely hear the outside bustle of 
London traffic from the room). The hotel was easy to reach by tube and a 
short walk.Read moreReview collected in partnership with TravelodgeDate of 
stay: January 20191 Helpful voteHelpfulShare</t>
  </si>
  <si>
    <t>stevenash29 wrote a review Feb 2019Bridgend, United Kingdom6 contributions2 
helpful votes</t>
  </si>
  <si>
    <t>Affordable but the Holborn tower of the two is best but getting tired to 
the eyeI hated the Superoom offering and chose the old room configuration at the 
High Holborn tower where the staff are really welcoming and helpful. The 
cafe is fine if a bit overpriced compared to local cafes.Read moreReview 
collected in partnership with TravelodgeDate of stay: July 2019HelpfulShare</t>
  </si>
  <si>
    <t>location of hotelexcellent location for central london and all the sights.would recommend 
this hotel as its only 6months old and aldgate underground station is 
literally 5mins around the corner.loved the idea that the people who 
serviced our room would come in and make our bed and empty our bin every 
morningRead moreReview collected in partnership with TravelodgeDate of 
stay: February 20191 Helpful voteHelpfulShare</t>
  </si>
  <si>
    <t>Mandy S wrote a review Jul 2019Ipswich, United Kingdom20 contributions17 
helpful votes</t>
  </si>
  <si>
    <t>clivo38 wrote a review Feb 2019Kessingland, United Kingdom2 contributions</t>
  </si>
  <si>
    <t>excellent friendly staffdue to committments at st barts -we stayed at 3 different travel lodges and 
all 3 were fantastic--the staff and resturant staff were excellent and 
friendly--the rooms were spotless and comfortable--we asked for extra 
pollows which were delivered quickly--we would recommend travel lodges to 
everyoneRead moreReview collected in partnership with this hotelDate of 
stay: January 2019HelpfulShare</t>
  </si>
  <si>
    <t>Excellent locationStayed at Travelodge Covent Garden after attending BST in Hyde Park, 
excellent location, clean and comfortable hotel providing all that you need 
for an overnight stay. The hotel has a bar. The luggage drop service proved 
to be extremely useful.Read moreDate of stay: July 2019HelpfulShare</t>
  </si>
  <si>
    <t>David S wrote a review Feb 2019Knutsford, United Kingdom3 contributions1 
helpful vote</t>
  </si>
  <si>
    <t>3Friends28 wrote a review Jul 2019Bristol, United Kingdom125 
contributions45 helpful votes</t>
  </si>
  <si>
    <t>Excellent low-cost hotelNice place to stay, good breakfast, comfy bed, fast wi-fi... what else do 
you need?! Located a short walk from Aldgate underground station, minutes 
from Spittalfield and Brick Lane, there’s loads of restaurants and bars 
within ten minutes walk. It’s not for from Tower Bridge and the excellent 
Bridge Theatre too.Read moreReview collected in partnership with 
TravelodgeDate of stay: January 2019HelpfulShare</t>
  </si>
  <si>
    <t>https://www.tripadvisor.co.uk/Hotel_Review-g186338-d1812157-Reviews-or140</t>
  </si>
  <si>
    <t>Surprise,,,,,,and it was. This hotel could not be faulted. Easy check-in. Clear 
directions to our room on the 4th floor. Clean and good sized room and 
shower. Well presented everywhere. Good coffee machine - not instant either 
but then we did book a Superoom, well worth it. Good food for an evening 
in. Handy for the west end, Covent Garden and tube stations. Well recommend 
this hotel and will definitely use again.Read moreDate of stay: July 
2019HelpfulShare</t>
  </si>
  <si>
    <t>https://www.tripadvisor.co.uk/Hotel_Review-g186338-d13569031-Reviews-or885-Travelodge_London_City_hotel-London_England.html#REVIEWS</t>
  </si>
  <si>
    <t>Anne P wrote a review Jan 2019Hemyock, United Kingdom38 contributions13 
helpful votes</t>
  </si>
  <si>
    <t>https://www.tripadvisor.co.uk/Hotel_Review-g186338-d193057-Reviews-or855-Travelodge_London_Covent_Garden-London_England.html#REVIEWS</t>
  </si>
  <si>
    <t>Convenient new hotelThis hotel is ideally located in London close to Aldgate Tube Station. This 
is fairly new however I did find the bathroom a little on the small size 
but functional. Good night stay at this hotel even though I was on the 
ground floor I didn’t hear any street noise. Breakfast catered more for 
those who like a cooked breakfast which I don’t but there was fresh fruit 
salad, cereals yoghurts and Croissant. Staff very friendly and helpful. 
Overall a good stay.Read moreDate of stay: January 2019HelpfulShare</t>
  </si>
  <si>
    <t>Denice D wrote a review Jul 2019Amsterdam14 contributions2 helpful votes</t>
  </si>
  <si>
    <t>greatstayed her July 2019 very clean big rooms great location for the west end 
and shopping and the all you can eat breakfast was really nice we also have 
dinner in the hotel two courses for £12.50 bargin price and also really 
niceRead moreDate of stay: July 2019HelpfulShare</t>
  </si>
  <si>
    <t>AvrilGreig wrote a review Jan 2019Bath, United Kingdom42 contributions23 
helpful votes</t>
  </si>
  <si>
    <t>Penny P wrote a review Jul 2019Worksop, United Kingdom8 contributions6 
helpful votes</t>
  </si>
  <si>
    <t>Comfortable and cleanThis is a fairly new hotel. I have stayed twice now, once in the standard 
room and once in the super room. Both were small, but comfortable and 
perfectly adequate. The bathrooms are rather like an upmarket, clean 
version of student accommodation. The only toiletry provided is one bottle 
of combined hair/body wash, fixed in the shower cubicle. If you are at all 
fussy about toiletries, being your own. There is only a curtain for the 
shower, so my friend flooded her bathroom! The super room had a hairdryer 
and an iron/ironing board. Make up your own mind whether it is worth the 
few pounds extra.In general, the hotel felt well soundproofed, comfortable, 
the staff were great and excellent value for money. Very well located just 
a few minutes walk from the Tube.Read moreReview collected in partnership 
with this hotelDate of stay: January 2019HelpfulShare</t>
  </si>
  <si>
    <t>angelo f wrote a review Jan 20195 contributions3 helpful votes</t>
  </si>
  <si>
    <t>Do not stay hereMy friend and I stayed at this hotel for one night thank goodness. Where do 
I start... The reception gave us the wrong direction for the rooms. Even 
the cleaning staff couldn’t help. We then found out it was in the other 
building. The floors smelt of carpet cleaner it was very strong and 
sickening. The rooms we were provided with were each next to a lift. The 
room was unclean with hairs in the bath and the toilet hadn’t been flushed. 
Let alone cleaned. Then at approx 1am the fore alarm went on and off. 5 
mins later it was constant. The whole hotel was then outside for over an 
hour. No apology was given. Do not stay here.Read moreDate of stay: July 
2019HelpfulShareResponse from TravelodgeUK, Zack from The Social Media Team 
at Travelodge London Covent GardenResponded 23 Jul 2019Thank you for taking 
the time to share your review. We wish for our customers to enjoy their 
hotel experience, so we are sorry to hear that you were not positively 
impressed by your last stay in our London Covent Garden hotel. It’s 
important that our team provide a fantastic service to our customers and 
remain professional at all times, please accept our apologies that this was 
not provided to you. As your stay was not up to our usual high standards, 
may we kindly ask you to contact one of our Customer Services Advisors via 
our website help form to look into this more thoroughly. Thank you again 
for reviewing our hotel.Read more</t>
  </si>
  <si>
    <t>All ok, beautiful hotelHotel in The center of city, wonderfull. Excellent breakfast. 5 stars sleep 
quality. Excellent value for money. Air conditioning ok. Cleanliness 
excellent. Hotel team excellent. Location near Tower Hill and London 
BridgeRead moreReview collected in partnership with TravelodgeDate of stay: 
January 2019HelpfulShare</t>
  </si>
  <si>
    <t>thecoaster wrote a review Jan 2019Bingley, United Kingdom273 
contributions104 helpful votes</t>
  </si>
  <si>
    <t>Buddiego wrote a review Jul 2019San Diego, California80 contributions46 
helpful votes</t>
  </si>
  <si>
    <t>Good value, new hotel, central location, near tubeGood value, new hotel, central location, near tube.This is a new travelodge 
so well maintained. Its a good location near 2 tube stops . As long as you 
are familiar that travelodge is a little sparce in some areas, other than 
that its good value.Read moreReview collected in partnership with 
TravelodgeDate of stay: January 2019HelpfulShare</t>
  </si>
  <si>
    <t>https://www.tripadvisor.co.uk/Hotel_Review-g186338-d13569031-Reviews-or890-Travelodge_London_City_hotel-London_England.html#REVIEWS</t>
  </si>
  <si>
    <t>Great Location Average roomWe arrived 27th of June, two couples. In all fairness there was some 
renovation going on, but still. The room was on the 9th floor and was 
supposed to be an upgraded area. (I wondered what it was before) Anyway, we 
found it very basic when compared to other stays in Travelodge. I expected 
more but not having stayed in London proper before I rationalized that this 
is what they call an up graded room around here. On the up side, the 
breakfast was very nice, and the staff was extremely helpful. So my rating 
reflects the room decor more than the help. The other factor that was good 
was the location. Very near the Undergrounds and an easy walk to them. So I 
recommend this Lodge for the service and location.Read moreDate of stay: 
June 2019HelpfulShare</t>
  </si>
  <si>
    <t>Fordie17 wrote a review Jul 2019Hoboken, New Jersey12 contributions</t>
  </si>
  <si>
    <t>Rochez_JC wrote a review Jan 2019Brussels, Belgium2 contributions1 helpful 
vote</t>
  </si>
  <si>
    <t>Great hotel in the center of LondonTravelodge London hotel is really a perfect choice to stay in the center of 
London.Excellent breakfast, best price, clean, good and professional team , 
clean room.This is too near 3 metro statios that allow you to join center 
of London in 10 minutes.Read moreReview collected in partnership with 
TravelodgeDate of stay: January 20191 Helpful voteHelpfulShare</t>
  </si>
  <si>
    <t>Claire S wrote a review Jan 2019Nottingham, United Kingdom49 contributions8 
helpful votes</t>
  </si>
  <si>
    <t>Simply basic, with no working Wifi!Basic room, with small shower, corridors a bit dated. On the 1st day, there 
was no shower gel in the dispenser!!, so decided to purchase shower gel, 
since my stay was for 6 nights and did not want a recurrence of this basic 
oversight. Also, was not informed to leave the sign to service the room if 
you staying for more than 1 night - so had to go to the reception after a 
long working day to request for a new set of towels, etc. The Wifi didn't 
work for the entire stay, except for the last night before departure. One 
had to come down to the reception area to access Wifi. Extremley 
frustrating, considering one is charged to use the hotel's Wifi. When the 
lady at the reception was informed of the issue, learnt it was outsourced 
and nothing much the hotel could do. Was then…Read moreDate of stay: July 
2019HelpfulShareResponse from TravelodgeUK, Shaf from the Social Media 
Team. at Travelodge London Covent GardenResponded 23 Jul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</si>
  <si>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Great city centre stayStayed in a new Travelodge Plus room, super comfy, clean and had everything 
we needed! Great proximity to Aldgate and Liverpool Street stations. We 
used self check in which was super easy and reception staff were on hand 
too.Read moreReview collected in partnership with TravelodgeDate of stay: 
January 20191 Helpful voteHelpfulShare</t>
  </si>
  <si>
    <t>Kerrymorley wrote a review Jul 201916 contributions11 helpful votes</t>
  </si>
  <si>
    <t>Arran L wrote a review Jan 2019Long Eaton, United Kingdom22 contributions3 
helpful votes</t>
  </si>
  <si>
    <t>Good location, clean and comfortableHotel is located around the corner from Aldgate station making access very 
easy, good location from there to the City and across the river to The 
Shard and Borough market.Restaurants for evening meals and breakfast are 
close by.Read moreReview collected in partnership with TravelodgeDate of 
stay: January 2019HelpfulShare</t>
  </si>
  <si>
    <t>Great value..prime locationStayed with my sister and nephew visiting from Canada..booked a while ago 
found it to be fantastic value for money, room was great on the 7th floor 
with quick lifts. Had a slight problem with our sink and as soon as I 
mentioned it at reception was sorted straight away. Breakfast had a great 
choice all hot and fresh with plenty always coming out. Bea checked us in 
and out quickly and sorted the sink issue. Prime location. Great stay, only 
slight negative I would have is the bag drop was rather lengthy with the 
amount of people dropping off, system pretty outdated and gentleman seemed 
very unhappy but all in all a 10/10Read moreDate of stay: July 
2019HelpfulShare</t>
  </si>
  <si>
    <t>https://www.tripadvisor.co.uk/Hotel_Review-g186338-d193057-Reviews-or860-Travelodge_London_Covent_Garden-London_England.html#REVIEWS</t>
  </si>
  <si>
    <t>https://www.tripadvisor.co.uk/Hotel_Review-g186338-d13569031-Reviews-or895-Travelodge_London_City_hotel-London_England.html#REVIEWS</t>
  </si>
  <si>
    <t>daltonblue wrote a review Jan 2019Dalton-in-Furness, United Kingdom302 
contributions109 helpful votes</t>
  </si>
  <si>
    <t>Braddie2014 wrote a review Jul 2019Birmingham, United Kingdom19 
contributions16 helpful votes</t>
  </si>
  <si>
    <t>Christmas / New Years EveWhat a great hotel. The hotel is conveniently located at Aldgate tube 
station ( or bus station). Its a short walk to St Pauls and the river and 
only around the corner from Liverpool Street Station. The rooms are very 
comfortable although dont expect any views of the London skyline. The staff 
at the hotel are all bar non polite, friendly and helpful ( especially 
Patrick) The 24 hour bar also gave you the chance to chat with people from 
other parts of the world. The breakfast was all you can eat and considering 
the amoount of people converging at the same time it was very well managed. 
( perhaps some fried eggs??) The pizzas on a night were also a bonus. We 
would not hesitate to stay here again and will actually look at the prices 
before looking at anywhere else. Not for us but…Read moreDate of stay: 
December 2018HelpfulShare</t>
  </si>
  <si>
    <t>Convenient, clean and quietI was very concerned about booking this hotel as the reviews on here are 
very hit and miss. I stayed here with my 13 year old son in a twin room at 
the Drury lane side for a theatre visit. We had an ‘accessible/twinroom’ 
And whilst we did not need an accessible room it suited our needs. We were 
out of the way and it was quiet. When we initially arrived we went to the 
other site first and it was very, very busy and didn’t look as smart. 
Checking in was very busy. We had breakfast at the hotel (we both ate for 
£9.25) which was good. We were considering not eating in the hotel but when 
you consider what a coffee and a danish would cost you outside the hotel, 
we felt the £9 was good value. Our only complaint would be the guy in the 
bag drop off- he didn’t communicate at all when we…Read moreDate of stay: 
July 2019HelpfulShare</t>
  </si>
  <si>
    <t>DoubtingThomasEssex wrote a review Jan 2019Chelmsford, United Kingdom1 
contribution</t>
  </si>
  <si>
    <t>Good experience all roundFriendly welcome from Reception staff made a good impression and check-in 
was easy.. Room was immaculately clean and had good facilities. Food was 
excellent and not over-priced. Convenient location in City of London.Read 
moreDate of stay: January 2019HelpfulShare</t>
  </si>
  <si>
    <t>Velislava F wrote a review Jul 2019Sofia, Bulgaria16 contributions8 helpful 
votes</t>
  </si>
  <si>
    <t>retford67 wrote a review Jan 2019Nottinghamshire, UK20 contributions20 
helpful votes</t>
  </si>
  <si>
    <t>Very convenient, one of the better Travelodge'sThis is a new Travelodge which has been redesigned. It is a good quality 
basic hotel and was very clean and tidy. It is literally just round the 
corner from Aldgate tube station and a 10 minute walk to Liverpool Street 
Station so it's very convenient for the city - approximately a 10-15 minute 
walk to the Tower of London and the Thames. Since it's new it's well 
maintained. We asked for a quiet floor and had no problem with noise. The 
staff were very pleasant and helpful, and overall we were very pleased with 
our stay. If you get this hotel at a good rate then you can be sure you 
will get both value for money and a clean and convenient hotel. I would 
definitely return. I'm quite a fussy traveller and used to 5 star hotels 
and I wouldn't hesitate to stay here for a quick business…Read moreDate of 
stay: January 2019HelpfulShare</t>
  </si>
  <si>
    <t>Amazing locationThe hotel is situated in the heart of Covent Garden, around it are all the 
theaters, the market, next to Oxford street, Strand, the Thames, Holborn.. 
everything one could wish to see is walking distance:) Travelodge has a 
certain standard which never fails to keep, and i was not surprised that 
everything was great during my stay in London Covent Garden. The staff is 
always smiling and very polite, the facilities are very well maintained, 
the luggage storage room is available for early birds or last minute 
shopping before leaving, what more to ask for :) Thank you, Travelodge!Read 
moreReview collected in partnership with TravelodgeDate of stay: July 
2019HelpfulShare</t>
  </si>
  <si>
    <t>dayana wrote a review Jan 2019London, United Kingdom11 contributions3 
helpful votes</t>
  </si>
  <si>
    <t>Excellent enjoyable stayThe hotel is excellent and very well kept. The service is good and the 
staff treat you with great respect and are friendly and helpful. Our room 
was perfect,clean and comfortable.The menu was nice. Breakfast was very 
yummy. I would recommend anyone to stay here.Read moreDate of stay: 
November 2018HelpfulShare</t>
  </si>
  <si>
    <t>192jod wrote a review Jan 2019Cardiff, United Kingdom2 contributions2 
helpful votes</t>
  </si>
  <si>
    <t>Jo Jo wrote a review Jul 2019Manchester, United Kingdom139 contributions41 
helpful votes</t>
  </si>
  <si>
    <t>All round excellenceGreat situation. Excellent welcome and care by staff. New hotel with god 
facilities, especially the all night access to food. Spotlessly clean and 
modern. Good quality breakfast available, where food was kept fresh and 
frequently changedRead moreReview collected in partnership with this 
hotelDate of stay: January 2019HelpfulShare</t>
  </si>
  <si>
    <t>https://www.tripadvisor.co.uk/Hotel_Review-g186338-d13569031-Reviews-or900-Travelodge_London_City_hotel-London_England.html#REVIEWS</t>
  </si>
  <si>
    <t>It’s a bed for the nightStayed here for a night as it was close to an event. Good location close to 
Covent garden. But in summary A hotel in need a huge tlc, split over two 
locations, not relaxing, crowded and very few amenities, breakfast shocking 
and everything hard workRead moreDate of stay: July 
2019HelpfulShareResponse from TravelodgeUK, Zack from The Social Media Team 
at Travelodge London Covent GardenResponded 23 Jul 2019We would like to 
thank you for taking the time to advise of your recent stay at our London 
Covent Garden hotel. It is only through feedback such as yours that we are 
able to maintain and indeed, where necessary improve upon the service that 
we provide to our valued guests. We were disappointed to read of your 
experience during your stay with us. Whilst an apology will regrettably not 
alter the outcome of your experience on this occasion, we do thank you for 
taking the time to share your experience so these issues can be resolved to 
ensure that this does not repeat for other guests.Read more</t>
  </si>
  <si>
    <t>Sam R wrote a review Jan 2019Cheshire, United Kingdom3 contributions3 
helpful votes</t>
  </si>
  <si>
    <t>Just what we needed!We had 3 rooms here last weekend and each of them were great-clean, tidy 
and just what we needed. A great location for The Tower Bridge experience, 
The Shard and a nighttime stroll along the Thames.Breakfast was great value 
and all of the staff were friendly, helpful and approachable.Read 
moreReview collected in partnership with this hotelDate of stay: January 
2019HelpfulShare</t>
  </si>
  <si>
    <t>Arthur wrote a review Jul 20191 contribution</t>
  </si>
  <si>
    <t>CWHill wrote a review Jan 2019Bedford, United Kingdom17 contributions23 
helpful votes</t>
  </si>
  <si>
    <t>Great value for money, good locationMy wife and I stayed at the London City Travelodge in Aldgate and were very 
pleased with the value for money. (£29 for one night on a Friday). The 
rooms were the standard layout of any Travelodge, but they were clean, 
which is all we ask. The hotel is conveniently located near Aldgate tube 
station for travel westbound into Central London, with many pubs and 
restaurants within walking distance of the hotel. I would highly recommend 
the Mattarello restaurant across the street. The staff were polite and 
helpful. An added bonus is that on a Friday all drinks are 2 for £8 which 
we thought was great value for a London establishment, especially 
considering they had Leffe Blonde on tap, which is usually ~£6 a pint 
anywhere else! It was also a nice touch that fruit-infused water is on…Read 
moreDate of stay: January 2019HelpfulShare</t>
  </si>
  <si>
    <t>Nothing good about Hotel except locationNo hairdryer, no bath tub plug, no air conditioning, lots of street noise! 
Breakfast was decent, and reception personnel were really young, but, nice. 
Location was very close to Coventry Garden and two tube stations.Read 
moreReview collected in partnership with TravelodgeDate of stay: July 
2019HelpfulShareResponse from TravelodgeUK, Zack from The Social Media Team 
at Travelodge London Covent GardenResponded 22 Jul 2019Thank you taking the 
time to leave us feedback. We are truly sorry to learn that your stay was 
affected by external noise. Our more central locations may be noisier 
however to ensure our guests are comfortable we do provide double glazing 
and we try to work with the local areas and communities. It is regrettable 
to hear this was not enough to guarantee a good night stay for you. We are 
also sorry to hear that your stay was affected by not having access to the 
bath plug or a hairdryer. We do offer hairdryers at reception upon request, 
however we are sorry if this was not communicated with you. We are so 
pleased to hear that you were happy with the location of the Hotel and that 
the location fit the needs for your stay. Thank you once again for taking 
the time to leave your feedback and we do hope you will stay with us again 
soon.Read more</t>
  </si>
  <si>
    <t>MrMurphyJ wrote a review Jan 2019Durham, United Kingdom18 contributions3 
helpful votes</t>
  </si>
  <si>
    <t>Well located, gorgeous Travelodge!This travel lodge I stayed in in London was particularly well located 
between two main tube stations . On arrival the service was fantastic the 
lady was very very friendly and made us feel very welcome . The room itself 
was super new and super tidy super clean and it was a lovely place to stay 
.Read moreReview collected in partnership with TravelodgeDate of stay: 
January 2019HelpfulShare</t>
  </si>
  <si>
    <t>https://www.tripadvisor.co.uk/Hotel_Review-g186338-d193057-Reviews-or865-Travelodge_London_Covent_Garden-London_England.html#REVIEWS</t>
  </si>
  <si>
    <t>theharrogatelady wrote a review Jan 2019Harrogate, United Kingdom1,636 
contributions538 helpful votes</t>
  </si>
  <si>
    <t>New YearsWe stayed in New Years Day for two nights. A great check in service and 
excellent service both nights in the bar. Rooms are basic but very 
comfortable beds and the location is ideal for the city or close to the 
tube.Read moreDate of stay: January 20191 Helpful voteHelpfulShare</t>
  </si>
  <si>
    <t>Marcin G wrote a review Jan 20191 contribution</t>
  </si>
  <si>
    <t>Very nice hotelReally nice hotel for a reasonable price. Great location near Algate 
Underground station, only few minutes from Liverpool Street. Nice and 
helpful staff. Family rooms on quiet part of hotel. My kids love their 
breakfastRead moreReview collected in partnership with this hotelDate of 
stay: January 2019HelpfulShare</t>
  </si>
  <si>
    <t>CazzaGC wrote a review Jul 2019Huddersfield, United Kingdom33 
contributions38 helpful votes</t>
  </si>
  <si>
    <t>https://www.tripadvisor.co.uk/Hotel_Review-g186338-d13569031-Reviews-or905-Travelodge_London_City_hotel-London_England.html#REVIEWS</t>
  </si>
  <si>
    <t>pyge wrote a review Jan 2019Helsinki25 contributions8 helpful votes</t>
  </si>
  <si>
    <t>Not worth the savingsWanted an inexpensive hotel for an impromptu trip to London for a musical. 
Layout is a little confusing as the hotel is in 2 buildings and the route 
to our room was confusing, involving exiting one building and entering 
another. All the reception person said was "follow the corridor round" and 
so we got a bit lost before finally figuring it out. Room had aircon which 
was welcome in the heat. However, the room was also a bit smelly which we 
attributed to the fact that it sounded like there was a macerator system in 
operation with the toilet. Got back after the show and it was smellier. 
(Tiny little window out onto a service road with no natural light or fresh 
air.) Then around 1am a loud noise from what looked like a service cupboard 
in the wall next to the bed - like a machine…Read moreDate of stay: July 
2019HelpfulShareResponse from TravelodgeUK, Ben from the Social Media Team 
at Travelodge London Covent GardenResponded 24 Jul 2019Thank you for taking 
the time to write a review about our London Covent Garden hotel. We're 
pleased to hear that you found your room and bed to be comfortable however 
we are sorry to learn of your disappointment with the room smell and that 
internal noise affected your stay. We appreciate all the feedback we 
receive and our Hotel Managers regularly review their TripAdvisor reviews 
in order to fix any issues raised and pass on feedback to their team. Thank 
you once again and we do hope you will stay with us in the future.Read more</t>
  </si>
  <si>
    <t>Best value for money London can offer!The hotel was brand new so excellent overall condition.London is notorious 
for it’s hotel prices so it is great that there is an option like 
Travelodge.The rooms are small but when in London you don’t really need to 
spend time in the room except mandatory sleep! ��Located within walking 
distance of buzzing Shoreditch it’s the perfect option if you want to 
experience East London... Also easy to get to Central London for the 
shopping.We stayed on the 2nd floor with windows facing the street. Was a 
bit worried about noise problems but very quiet.Read moreReview collected 
in partnership with TravelodgeDate of stay: January 20191 Helpful 
voteHelpfulShare</t>
  </si>
  <si>
    <t>Debbie K wrote a review Jul 2019Newcastle upon Tyne, United Kingdom19 
contributions4 helpful votes</t>
  </si>
  <si>
    <t>Bec2530 wrote a review Jan 2019Lancashire, United Kingdom1 contribution1 
helpful vote</t>
  </si>
  <si>
    <t>Dont forget to put sign on doorBeen to this hotel every year for past 4vyears and am disappointed to say 
each year is a little worse than year before. On plus side is the price and 
location but I agree with other comments is getting tired and toilets dont 
flush properly. You used to get toiletries but not any more although they 
now have a soap and shower gel dispenser, no glasses in room now either 
it's also not as clean as it was The biggest change is that you now have to 
display a card on your door if you are staying more than one night and you 
wish your room to be made up and have fresh towels which I hadn't noticed 
and so when we returned late evening had no clean dry towels never known 
hotel where you have to advertise please make up room, quite clear cost 
cutting initiatives but not very friendly for…Read moreDate of stay: July 
20191 Helpful voteHelpfulShareResponse from TravelodgeUK, Shaf from the 
Social Media Team. at Travelodge London Covent GardenResponded 21 Jul 
2019Thank you for reviewing our London Covent Garden Travelodge. We're 
really sorry to learn of your disappointment regarding your recent stay 
with us and sorry to learn you forgot the to put the service door hanger 
on. As you can imagine we recieve a number of complaints due to guests 
being disturbed when our housekeeping look to service rooms. This helps us 
know which guests would like their rooms serviced. Feedback is invaluable 
and our Hotel Managers regularly review their TripAdvisor reviews in order 
to fix any issues raised and pass on feedback to their team. Thank you once 
again and we do hope you will stay with us in the future.Read more</t>
  </si>
  <si>
    <t>Luggage room nightmareAfter leaving luggage in the holding room (who’s is only accessed by 
reception team) for a few hours i expected to find it where it was left 
(with other cases we’d put in) - it wasn’t, it had been moved. Stupidly 
didn’t check the contents before getting home and found that an expensive 
watch had been taken out my case. It was wrapped and “hidden” within 
clothing. Naturally I rang the hotel straight away. Staff weren’t overly 
helpful - told to ring back in the morning, which I did. Was told they’d 
speak to house keeping and ring me back....2 hours later I rang again and 
spoke to someone different. Told that there’s no remarks on the 
housekeeping documentation and that they’d “speak to the cleaner” as they 
weren’t in that day. Unsure what this would achieve as there aren’t 
any…Read moreDate of stay: January 20191 Helpful voteHelpfulShare</t>
  </si>
  <si>
    <t>dougallfletcher wrote a review Jul 2019Brisbane, Australia1 contribution</t>
  </si>
  <si>
    <t>Nomad12657806760 wrote a review Jan 20191 contribution1 helpful vote</t>
  </si>
  <si>
    <t>Does exactly what it says on the tin!Great location, very close to the tube and within walking distance of many 
if London's attractions. The hotel is very modern, clean and the staff are 
very friendly and relaxed. The over night bar staff were excellent.Read 
moreReview collected in partnership with TravelodgeDate of stay: January 
2019HelpfulShare</t>
  </si>
  <si>
    <t>Tired &amp; rundownThis Hotel in High Holborn is a great location but it is run down and in 
dire need of an overhaul. Neither self check in computer was functioning; 
one lift did not have functioning external buttons; neither snack/food 
vending machine was functioning; the hallway carpets were rippled and 
coming up; far too many staff for the number of arriving patrons at 
reception; the left baggage guy was a grump (why do a customer service role 
if you hate talking to people). Sorry Travelodge-good location, good buffet 
breakfast but at $300 a night you have seen the last of me.Read moreReview 
collected in partnership with TravelodgeDate of stay: July 
2019HelpfulShareResponse from TravelodgeUK, Ben from the Social Media Team 
at Travelodge London Covent GardenResponded 21 Jul 2019Thank you for taking 
the time to write a review about our London Covent Garden hotel. We're 
pleased to hear that you liked the hotels location and breakfast however we 
are sorry to learn of your disappointment with the facilities and service 
from the team. We have an ongoing refurbishment program and, while we 
cannot refurbish every hotel simultaneously, we are working to make sure 
that hotels are refurbished regularly.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</si>
  <si>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https://www.tripadvisor.co.uk/Hotel_Review-g186338-d193057-Reviews-or870-Travelodge_London_Covent_Garden-London_England.html#REVIEWS</t>
  </si>
  <si>
    <t>Eleanor B wrote a review Jul 201912 contributions13 helpful votes</t>
  </si>
  <si>
    <t>Adriana wrote a review Jan 2019London, United Kingdom2 contributions</t>
  </si>
  <si>
    <t>Pet friendly hotelPets friendly we had the little Abby (dog) with us and all the staff were 
very friendly and nice with us and her and it make the stay very 
confortable we were celebrating my daughter birthday and for her was very 
important have her pet with herRead moreReview collected in partnership 
with TravelodgeDate of stay: January 2019HelpfulShare</t>
  </si>
  <si>
    <t>Not very nice experienceOn arrival I was given a room that had not been cleaned and was a total 
mess. I went back to the reception desk and was given another room, no 
apology. The toilet didn’t work properly in the second room and was really 
loud. Hotel is tatty and not very nice. Rooms are noisy, i could hear 
people talking/ loud banging/ pipes working. I had to go and buy ear 
plugs.Read moreDate of stay: July 2019HelpfulShareResponse from 
TravelodgeUK, Niki from The Social Media Team at Travelodge London Covent 
GardenResponded 21 Jul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</si>
  <si>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SJA wrote a review Jul 2019Newcastle upon Tyne, United Kingdom46 
contributions36 helpful votes</t>
  </si>
  <si>
    <t>https://www.tripadvisor.co.uk/Hotel_Review-g186338-d13569031-Reviews-or910-Travelodge_London_City_hotel-London_England.html#REVIEWS</t>
  </si>
  <si>
    <t>Witpix wrote a review Jan 2019Merthyr Tydfil, United Kingdom10 
contributions1 helpful vote</t>
  </si>
  <si>
    <t>Showering in the Dark!Power cut whilst in the shower! Not the best start to my day! Reported at 
reception, no apology or explanation. Returned after work some 9 hours 
later and the lights were on but none of the sockets worked. Had to return 
to reception to resolve. At £200 per night (yep, you read that correctly) 
you would expect better service!Read moreReview collected in partnership 
with TravelodgeDate of stay: July 2019HelpfulShareResponse from 
TravelodgeUK, James from the Social Media Team at Travelodge London Covent 
GardenResponded 21 Jul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</si>
  <si>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Spanking new hotel.!Brand new hotel, we visited very soon after opening. As expected, 
everything was shiny and new. Great location in walking distance of 2 
underground stations. Air con in room which was a godsend in the summer. 
Pleasant bar area, which is a new experience for me in a Travelodge. Staff 
very pleasant and helpful.Read moreDate of stay: August 2018HelpfulShare</t>
  </si>
  <si>
    <t>Lynnie wrote a review Jul 2019Henrico, Virginia17 contributions6 helpful 
votes</t>
  </si>
  <si>
    <t>Shirley R wrote a review Jan 2019Sheffield, United Kingdom9 contributions11 
helpful votes</t>
  </si>
  <si>
    <t>As basic as can beWe chose this hotel for the location. It is a very basic place. Our room 
had twin beds that shared a lighted headboard with nooks for a cup of 
water, but no bedside tables. There were two chairs, a desk for the tea 
pot, a TV the wall and a small rack for hanging clothing. We had to go to 
reception to get a hairdryer. The shower gel dispenser was broken and 
remained so even after we reported it. Breakfast - for 9+ pounds - was ok 
and all you can eat.Read moreDate of stay: July 2019HelpfulShareResponse 
from TravelodgeUK, Tilly from The Social Media Team at Travelodge London 
Covent GardenResponded 19 Jul 2019Thank you for your comments about our 
London Covent Garden hotel. We feel that we offer all that is needed for a 
comfortable night’s stay. This includes a clean room, comfortable bed, tea 
and coffee facilities, flat screen T.V and an en suite bathroom. We do not 
provide extras which other hotels may provide so we can keep our room rates 
low. We're sorry to learn that your soap dispenser was broken, however we 
are pleased to learn that you were happy with the location of the hotel and 
the food. We will pass your review to the hotel team and hope to welcome 
you back soonRead more</t>
  </si>
  <si>
    <t>THE' Place to Stay on LondonYears ago we had a few terrible experiences in different Travelodges, and 
vowed never to return. However, when looking for somewhere 'reasonably 
priced' for a Theatre Break weekend with friends, this Hotel kept coming 
up. Seeing as it was relatively new, we decided to give it a try, and we 
are SO please we did! Only a 2 min walk from the tube station, we found a 
bright, open reception, with very pleasant, friendly staff who helped us 
check in, and gave us all the information we needed for our stay. We had 
the standard room, which was gorgeous, lovely comfy bed, and very clean and 
well maintained. The bar area was very pleasant to relax in, the food was 
lovely, and prices very reasonable. Special mention must be given to Alex, 
a member of staff on duty both evenings. He was…Read moreDate of stay: 
January 2019HelpfulShare</t>
  </si>
  <si>
    <t>Anglhrt1636 wrote a review Jul 20191 contribution</t>
  </si>
  <si>
    <t>Excellent stayExcellent staff very friendly and helpful perfectly situated for all top 
attractions, I have stayed in this hotel before and found it to be a great 
location and value for money. I would definitely stay there again.Read 
moreDate of stay: July 2019HelpfulShare</t>
  </si>
  <si>
    <t>JDN wrote a review Jan 2019Swindon, United Kingdom3 contributions</t>
  </si>
  <si>
    <t>Brillaint TravelodgeNew hotel so clean with nice decor. Large Bar and cafe area. Kids eat free. 
Good size room for 3 (which actually had 4 beds in it) Powerful shower. 
Good location for sightseeing etc. Short walk from Liverpool St and Aldgate 
tube stations. My 7 year old son wanted to stay another night! Will stay 
here againRead moreDate of stay: January 2019HelpfulShare</t>
  </si>
  <si>
    <t>https://www.tripadvisor.co.uk/Hotel_Review-g186338-d193057-Reviews-or875-Travelodge_London_Covent_Garden-London_England.html#REVIEWS</t>
  </si>
  <si>
    <t>https://www.tripadvisor.co.uk/Hotel_Review-g186338-d13569031-Reviews-or915-Travelodge_London_City_hotel-London_England.html#REVIEWS</t>
  </si>
  <si>
    <t>Hayrick wrote a review Jul 2019Melbourne, United Kingdom156 contributions87 
helpful votes</t>
  </si>
  <si>
    <t>Celeste54 wrote a review Jan 20196 contributions1 helpful vote</t>
  </si>
  <si>
    <t>ExcellentVery conveniently located hotel , near to thw tube station with a super 
dining and var area. Could have done with porridge for breakfast. Happy 
hour at the bar on bottles of wine. Would certainly return.Read moreReview 
collected in partnership with this hotelDate of stay: December 
2018HelpfulShare</t>
  </si>
  <si>
    <t>Connector40293173841 wrote a review Jan 2019St Helens, United Kingdom1 
contribution</t>
  </si>
  <si>
    <t>Beware room 220!I have reviewed this hotel before and said it’s basic but OK. But this was 
before I stayed in room 220. You walk through the door and straight into 
the facing wall. With a bit of shuffling sideways you can manoeuvre into 
the small L-shape that remains around the (comfortable) bed. No wardrobe 
just some hangers beside the door. No drawers. The air conditioning doesn’t 
work. The (small) window opens onto a courtyard where you expect to see 
convicts trudging about with German Shepard dogs barking at them. The 
layout must be different in the room above because the toilet is above the 
bed in 220. You can hear everything. Unlike other rooms I have stayed in in 
this hotel there is a powerful stench of sewage when you empty the sink or 
use the shower. As if to drive home the…Read moreDate of stay: July 
2019HelpfulShareResponse from TravelodgeUK, James from the Social Media 
Team at Travelodge London Covent GardenResponded 18 Jul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</si>
  <si>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Memorable but for all the wrong reasons!On one side homeless people camping out in the college doorways argue/shout 
all night. The other side you get woken up by the building site next door. 
Better still you get buzzing noises in the room both day and nightRead 
moreReview collected in partnership with TravelodgeDate of stay: January 
2019HelpfulShareResponse from TravelodgeUK, Shaf from the Social Media 
Team. at Travelodge London City hotelResponded 17 Jan 2019Thank you for 
reviewing our London City Travelodge. We are sorry to hear that your stay 
was negatively affected by noise levels. We have taken measures such as 
providing double or triple glazing in attempt to reduce the impact that 
outside disruptions may have on a guests stay. As we hope you can kindly 
understand, it is not always possible to completely reduce the noise levels 
outside the hotel, and we apologise that these measures did not suffice in 
ensuring you a good night’s sleep. Feedback is invaluable and our Hotel 
Managers regularly review their TripAdvisor reviews in order to fix any 
issues raised and pass on feedback to their team. Thank you once again and 
we do hope you will stay with us in the future.Read more</t>
  </si>
  <si>
    <t>denby4753 wrote a review Jul 2019Preston, United Kingdom32 contributions17 
helpful votes</t>
  </si>
  <si>
    <t>Phill G wrote a review Jan 2019Peekskill, New York130 contributions94 
helpful votes</t>
  </si>
  <si>
    <t>Comfortable Stay in the heart of LondonStayed a few times at this hotel both on business and for leisure. The 
hotel is generally good value for money especially considering the location 
being so close to Covent Garden and the shops and theatres. The rooms are 
always clean although don't expect a view. We stayed on the 2nd floor and 
the bed was extremely comfortable. I'm not a fan of paying extra for the 
breakfast and feel that it is not value for money, there are plenty of 
places nearby to eat. The staff were pleasant and helpful and the baggage 
store was very useful. Generally a pleasant stay and I will definitely be 
back again.Read moreReview collected in partnership with TravelodgeDate of 
stay: July 2019HelpfulShare</t>
  </si>
  <si>
    <t>Excellent, Spotless, Pleasant, ValueI recently spent a week at this hotel, and couldn’t have been more pleased. 
Rooms are (of course) basic; but brand new, spotless, and very, very cozy. 
Beds are super comfortable kings, and the air/heat and shower is terrific. 
For the price, you are not going to find a better value in a better 
location. You’re a one minute walk from Aldagte and Aldgate East on the 
Circle Line, with numerous TFL busses directly outside the door. Fifteen 
minute easy walk to Southwark and Borough Market, and a five minute walk 
from The Tower of London, Tower Bridge, and the London Wall! There are two 
Tescos very close, and a Sainsbury’s very near by. Quick *easy* trip to 
anything! The lobby and bar/cafe area are lovely and kept spotless, and I 
was very happy with the breakfast and the food in…Read moreDate of stay: 
January 20191 Helpful voteHelpfulShare</t>
  </si>
  <si>
    <t>Eva R wrote a review Jan 2019Torroella de Montgri, Spain45 contributions10 
helpful votes</t>
  </si>
  <si>
    <t>Tom Leo wrote a review Jul 2019Wolverhampton, United Kingdom189 
contributions37 helpful votes</t>
  </si>
  <si>
    <t>Great hotel .new hotel very easy conection with the center, staff great, breakfast 
superb.Worth stayin there.The bedrooms were clean and we asked a few things 
at the reception desk and they help us with everything.Read moreReview 
collected in partnership with TravelodgeDate of stay: January 
2019HelpfulShare</t>
  </si>
  <si>
    <t>SydneySue wrote a review Jan 2019Sydney1 contribution</t>
  </si>
  <si>
    <t>Another great Travelodge stay!I’ve stayed here before, but that was a while ago so another review is in 
order. As everyone has mentioned in their reviews the location of the hotel 
is great, a 10/15 minute walk to everywhere in Central London. The rooms 
are clean and tidy and the staff are friendly, everything I ask for when 
staying somewhere. My own criticism of the hotel is the luggage hold, 
although it’s part of the hotel it’s actually outside in a courtyard area. 
It’s a small issue, but is a bit off putting if you valuables in your bags. 
Overall, still a great stay!Read moreDate of stay: March 2019HelpfulShare</t>
  </si>
  <si>
    <t>fantastic hotelBrilliant central location, great service by all staff and very clean. and 
quiet. Good security. Excellent value for money. Highly recommended. I will 
return next time I'm in London. well maintained in all areas.Read 
moreReview collected in partnership with this hotelDate of stay: January 
2019HelpfulShare</t>
  </si>
  <si>
    <t>Silvana wrote a review Jul 20193 contributions2 helpful votes</t>
  </si>
  <si>
    <t>https://www.tripadvisor.co.uk/Hotel_Review-g186338-d13569031-Reviews-or920-Travelodge_London_City_hotel-London_England.html#REVIEWS</t>
  </si>
  <si>
    <t>juliewoolie2017 wrote a review Jan 20194 contributions4 helpful votes</t>
  </si>
  <si>
    <t>Great location in Central LondonClean room, comfortable, easy access from the airport. Very good location, 
easy to walk around and visit the main sites. Good services and nice staff. 
The room has everything, except a hair dryer. Nice cafes around, especially 
Cafe Verona.Read moreReview collected in partnership with TravelodgeDate of 
stay: July 2019HelpfulShare</t>
  </si>
  <si>
    <t>Central London LodgeThis hotel is modern, clean and friendly. It’s 5 stops from Kingscross and 
a 2 minute walk to the underground station. We absolutely loved it, and it 
was really good value for money. We will visit againRead moreReview 
collected in partnership with this hotelDate of stay: January 
2019HelpfulShare</t>
  </si>
  <si>
    <t>https://www.tripadvisor.co.uk/Hotel_Review-g186338-d1812157-Reviews-or145</t>
  </si>
  <si>
    <t>pete01952 wrote a review Jan 2019Derby, United Kingdom2 contributions</t>
  </si>
  <si>
    <t>TRAVELODGE LONDON CITYStayed here for two nights one for a day in London and the second for 
business. Really good room. Staff quite exceptionally good, helpful, 
polite, efficient and pleasant. Room very warm when arrived despite cold 
weather. Will definitely use this one again.Read moreReview collected in 
partnership with TravelodgeDate of stay: January 2019HelpfulShare</t>
  </si>
  <si>
    <t>PeachesPeaches wrote a review Jan 2019england9 contributions2 helpful votes</t>
  </si>
  <si>
    <t>Excellent value for moneyStayed for one night paying £45.00, for a double room. The room and 
bathroom were very clean. Very nice Travelodge just off the busy road, so 
hardly any traffic noise. The menu for the restaurant was varied and 
reasonable prices. Breakfast was very nice too, served in the clean 
restaurant, with a great selection to choose from.Read moreReview collected 
in partnership with TravelodgeDate of stay: January 2019HelpfulShare</t>
  </si>
  <si>
    <t>https://www.tripadvisor.co.uk/Hotel_Review-g186338-d193057-Reviews-or880-Travelodge_London_Covent_Garden-London_England.html#REVIEWS</t>
  </si>
  <si>
    <t>Jessica R wrote a review Jan 2019Sheffield, United Kingdom17 contributions3 
helpful votes</t>
  </si>
  <si>
    <t>Stewart S wrote a review Jul 2019Shrewsbury, United Kingdom14 
contributions15 helpful votes</t>
  </si>
  <si>
    <t>Good value, good locationI stayed here one night on my own as part of a work trip. It was everything 
I needed. Check in was very quick and efficient. Staff were friendly and 
helpful. There was no hairdryer in the room but I was given one as soon as 
I asked. The room was neat and clean. It was reasonably quiet apart from 
the noise of people in the corridors and the banging of fire doors. The 
location was great- a short walk to tower bridge. I’d definitely stay here 
again.Read moreDate of stay: January 2019HelpfulShare</t>
  </si>
  <si>
    <t>https://www.tripadvisor.co.uk/Hotel_Review-g186338-d13569031-Reviews-or925-Travelodge_London_City_hotel-London_England.html#REVIEWS</t>
  </si>
  <si>
    <t>Yuval wrote a review Jan 2019Tel Aviv, Israel8 contributions4 helpful votes</t>
  </si>
  <si>
    <t>Disability discrimination at Travelodge?Booked a 'Family Room' at Central Covent Garden Travelodge because the room 
can accommodate 3 adults. Our 32 year daughter has a physical disability 
and suffers from epilepsy and requires assistance throughout the day and 
night. Regrettably, 'Accessible Rooms' at Travelodge only permit two people 
to occupy the room (disabled person and their carer) which is 
unsatisfactory in our case because should our daughter has an epileptic 
episode it requires two people to attend to her. Prior to our arrival I 
rang Covent Garden Reception to ask whether a Family Room had a walk in 
shower and was informed that all Family Rooms have a bath which our 
daughter is unable to use. I also mentioned the fact that only two people 
can occupy an 'Accessible Room' highlighting our particular set of…Read 
moreReview collected in partnership with TravelodgeDate of stay: July 
2019HelpfulShareResponse from TravelodgeUK, James from the Social Media 
Team at Travelodge London Covent GardenResponded 18 Jul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</si>
  <si>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Very nice staff!Very nice and a nearly new hotel, always Welcoming staff, Becky is super 
helpful and kind. Nice place to be, greatly located in Aldgate near tubes 
and buses. Nice lobby with a bar for an after work beer.Read moreDate of 
stay: January 2019HelpfulShare</t>
  </si>
  <si>
    <t>carouselhigh wrote a review Jan 2019Singapore, Singapore150 contributions24 
helpful votes</t>
  </si>
  <si>
    <t>TRACEY F wrote a review Jul 20191 contribution</t>
  </si>
  <si>
    <t>Clean, Comfortable, ConvenientExcellent stay, staff welcoming, service of very high standard, rooms 
comfortable and perfect central location for our trip Would definitely 
recommend this hotel for its cleanliness, friendliness of staff - very 
pleased and will definitely stay there againRead moreReview collected in 
partnership with TravelodgeDate of stay: July 2019HelpfulShare</t>
  </si>
  <si>
    <t>Great Value! Pleasant Surprise!LOCATION: Short walking distance to two tube stations. We also walked from 
here to Duck and Waffle, Burger and Lobster, and then to Tower Bridge. This 
area is very quiet at night. We could not find any convenience store that 
is open at late night when we needed to stock up on drinking water. ROOM: 
(TYPE - SuperRoom Double) We were really surprised by the room! It was much 
bigger than we had expected. We had ample walking space even after opening 
up our two 28" luggage on the floor. The bathroom was another surprise -- 
wasn't expecting one that was big enough to accommodate a tub! Loved that 
they have a proper hairdryer out in the bedroom, instead of the wall-hung 
type with weak power found in hotel bathrooms. There was even a full length 
mirror and coffee machine. …Read moreDate of stay: December 20181 Helpful 
voteHelpfulShare</t>
  </si>
  <si>
    <t>Sue S wrote a review Jan 2019Clippesby, United Kingdom8 contributions4 
helpful votes</t>
  </si>
  <si>
    <t>A very pleasant surpriseProbably one of the nicest Travelodges we have stayed in and incredible 
value considering its excellent condition and location in central London. 
The staff were extremely helpful, polite and friendly and definitely got 
the feeling that nothing was too much trouble which made the stay stress 
free.Read moreReview collected in partnership with this hotelDate of stay: 
November 20181 Helpful voteHelpfulShare</t>
  </si>
  <si>
    <t>David S wrote a review Jan 2019Stourbridge, United Kingdom171 
contributions47 helpful votes</t>
  </si>
  <si>
    <t>Jill299 wrote a review Jul 2019Coventry, United Kingdom2 contributions</t>
  </si>
  <si>
    <t>Travelodge Plus with the emphasis on th Plus!!!We have just returned from a 2 night stay at this hotel, and have to say, 
it is outstanding. We usually ignore Travelodge hotels due to the often 
mixed reviews, but this Travelodge Pus is a different animal altogether, 
partly if course because it's still quite new but it's smart modern 
interior design is obviously being effectively and well looked after. Clean 
throughout, smart modern room decor, comfortable beds, instant hot water, 3 
quiet smooth lifts, some 4 star and 5 star hotels would struggle to match 
some of these hallmarks. That's before We mention the staff!! All personell 
we met, Alan and the rest of the breakfast crew, ALL the reception staff 
and the room cleaner were all pleasant, busy but efficient and effective. 
They made our stay VERY enjoyable and are a credit…Read moreDate of stay: 
January 20191 Helpful voteHelpfulShare</t>
  </si>
  <si>
    <t>Reliable, central hotelI have stayed here for the last couple of years, when visiting London to 
see plays, musicals, etc. The location is good, to easily get to places, 
either by walking, or by tube. The standards in the hotel, and the rooms, 
are very good. Always clean. Staff are always friendly and helpful.Read 
moreDate of stay: July 2019HelpfulShare</t>
  </si>
  <si>
    <t>Suzie7714 wrote a review Jan 2019Manchester, United Kingdom141 
contributions63 helpful votes</t>
  </si>
  <si>
    <t>Great value for moneyNormally avoid Travelodge but this one bucks the trend. Hotel lobby modern 
and bright, great first impression. Went for a superoom, so unlike the 
other standard rooms you get a full length mirror on the wall, hairdryer, a 
coffee machine and more of a wardrobe, I say wardrobe but it has no door. 
The room is still very sparse, but being a new hotel is much more pleasant 
than the normal dreary soulless offerings in the older TL hotels. Plus it 
smells and looks fresh, makes a real difference to the stay when you are in 
a room that’s not needing a revamp. £75 for the room, 24hr WIFI and 
unlimited breakfast in central london, is a steal. Breakfast was ok, 
adequate and for £8 can’t grumble. Left the bags there free of charge 
whilst we explored after check out. Aldgate tube is a 5 min…Read moreDate 
of stay: January 2019HelpfulShare</t>
  </si>
  <si>
    <t>https://www.tripadvisor.co.uk/Hotel_Review-g186338-d13569031-Reviews-or930-Travelodge_London_City_hotel-London_England.html#REVIEWS</t>
  </si>
  <si>
    <t>https://www.tripadvisor.co.uk/Hotel_Review-g186338-d193057-Reviews-or885-Travelodge_London_Covent_Garden-London_England.html#REVIEWS</t>
  </si>
  <si>
    <t>Curiosity40328151833 wrote a review Jan 2019Ashbourne, United Kingdom1 
contribution</t>
  </si>
  <si>
    <t>Great location, good value for moneyWe stayed at the hotel for a family few days away in London, hotel was 
great location near to the tube so felt safe at night as was only a short 
walk. Hotel was clean and all new !Breakfast was very good value for money. 
Had a great stay would recommend and will be returning.Read moreReview 
collected in partnership with TravelodgeDate of stay: January 
2019HelpfulShare</t>
  </si>
  <si>
    <t>dhall2019 wrote a review Jul 2019London, United Kingdom1 contribution</t>
  </si>
  <si>
    <t>Katerina M wrote a review Jan 20191 contribution</t>
  </si>
  <si>
    <t>Very disappointingRoom was hot and very poorly ventilated. The bathroom sinking backed up 
quickly once the tap was running, quickly filling up with horible 
discoloured water, thisd must have been due to poor maintenance not picked 
up when the room was prepared for our stay. The shower was absolutely 
terrible, it leaked and the water pressure was very very poor.Read 
moreReview collected in partnership with TravelodgeDate of stay: July 
2019HelpfulShareResponse from TravelodgeUK, Shaf from the Social Media 
Team. at Travelodge London Covent GardenResponded 16 Jul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</si>
  <si>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Great value for money!!One of the cheapest hotels we found so we were afraid that it wouldnt be 
that good. But from the moment we went in the hotel we forgot all that. The 
room was clean, comfortable, the bed was very good and the bath fantastic 
with always warm water. The staff really friendly and ready to help you. i 
recommend this place to everyone.Read moreReview collected in partnership 
with TravelodgeDate of stay: December 2018HelpfulShare</t>
  </si>
  <si>
    <t>Claire C wrote a review Jul 2019Belfast, United Kingdom11 contributions6 
helpful votes</t>
  </si>
  <si>
    <t>gr4c3 wrote a review Jan 20191 contribution</t>
  </si>
  <si>
    <t>Great location, but very basicWe had booked a triple room and weren't in the main hotel, but in another 
hotel down the street. A triple room consisted of one double bed and two 
cots beds - so not ideal! The room was clean, the hallways were not! On our 
last night the fire alarm went off at 1am! We started to make our way out 
and met a member of staff. We asked should we evacuate and his only answer 
was 'we're investigating' so we made our way down to the street. The fire 
brigade arrived and walked past us several times along with a female member 
of staff. At no point did the staff communicate what was happening to any 
of the guests. There were multiple families with young children, as well as 
elderly and disabled people. We waited around for over 30mins before being 
told to go back in. Not pleasant the…Read moreDate of stay: July 
2019HelpfulShareResponse from TravelodgeUK, James from the Social Media 
Team at Travelodge London Covent GardenResponded 16 Jul 2019Thank you for 
reviewing our Travelodge London Covent Garden Hotel. We're sorry to hear of 
the issues experienced with the fire alarm and hotel location during this 
stay with us but we are happy to hear you were pleased with the rate of the 
hotel. Please rest assured the hotel managers check Tripadvisor reviews of 
their hotels so your comments will be reviewed by the hotel's team. Thank 
you again for leaving this review and we do hope that you choose to stay 
with us again in the future.Read more</t>
  </si>
  <si>
    <t>Decent stay but with disappointing resultsMy sister and I stayed here in August 2018. We paid upfront and in full 
when we did the online booking on their website. When we did arrive, at the 
check-in counter - they told us we needed to pay the same amount again 
because the initial payment was only a security deposit and will be 
returned to us with 10 - 15 days. Long story short, up till now.. We still 
have not received any correspondence, let alone our deposits returned nor 
have we heard a peep from you. Pity..Read moreDate of stay: August 
2018HelpfulShareResponse from TravelodgeUK, Molly from the Social Media 
Team at Travelodge London City hotelResponded 13 Jan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</si>
  <si>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https://www.tripadvisor.co.uk/Hotel_Review-g186338-d13569031-Reviews-or935-Travelodge_London_City_hotel-London_England.html#REVIEWS</t>
  </si>
  <si>
    <t>Bluebell Potter wrote a review Jan 20197 contributions5 helpful votes</t>
  </si>
  <si>
    <t>Friendly welcome and great roomSecond visit within 6 months. Great hotel with friendly helpful staff. 
Rooms are great. Clean, modern and up to date. Good value too. Great 
location for underground stations. Had superior room which has coffee 
machine, hairdryer and all the extras you need.Read moreReview collected in 
partnership with this hotelDate of stay: December 2018HelpfulShare</t>
  </si>
  <si>
    <t>Rackstraw36 wrote a review Jul 20192 contributions2 helpful votes</t>
  </si>
  <si>
    <t>1 night stayGreat location and everything was easy to get to by foot. Used Ncp car park 
which was quite reasonable for London and very convenient for hotel as 
right next to it! Room was very spacious and had everything we needed but 
on 1st floor so we could hear a lot of traffic noise which kept us awake, 
it was very hot so had to keep windows open. Would recommend staying on a 
higher level so it might be quieter!Read moreDate of stay: July 
2019HelpfulShare</t>
  </si>
  <si>
    <t>Jiriprox wrote a review Jan 2019Manchester, United Kingdom31 
contributions18 helpful votes</t>
  </si>
  <si>
    <t>Great value and great experienceI stayed one night the weekend before Christmas 2018. The hotel is very 
modern with the usual Travelodge standard. Great breakfast in the morning, 
charged extra, however good value for money. Great bar as well, which is 
somewhat a necessity as there aren’t many other options nearby. Literally 
around the corner from both Aldgate and Aldgate East tube stations.Read 
moreDate of stay: December 2018HelpfulShare</t>
  </si>
  <si>
    <t>glenth0mas wrote a review Jul 2019London, United Kingdom4 contributions1 
helpful vote</t>
  </si>
  <si>
    <t>Silvia v wrote a review Jan 20191 contribution</t>
  </si>
  <si>
    <t>Great Travelodge!I stayed at this hotel after a business function. Great location and stayed 
in a new room. Everything was great - especially the comfortable bed! Even 
had free kit kats on the coffee tray. had a great nights sleep.Read 
moreDate of stay: July 2019HelpfulShare</t>
  </si>
  <si>
    <t>A great stay in LondonThe hotel was very clean and comfortable and the staff friendly and 
helpful. The rooms were like in the photos and breakfast was really 
excellent. We will come back! Perfect to stay with family! The location of 
the hotel also perfect with the underground and the bus really near and 
near also from the tourist attractions!Read moreReview collected in 
partnership with TravelodgeDate of stay: January 2019HelpfulShare</t>
  </si>
  <si>
    <t>https://www.tripadvisor.co.uk/Hotel_Review-g186338-d193057-Reviews-or890-Travelodge_London_Covent_Garden-London_England.html#REVIEWS</t>
  </si>
  <si>
    <t>https://www.tripadvisor.co.uk/Hotel_Review-g186338-d13569031-Reviews-or940-Travelodge_London_City_hotel-London_England.html#REVIEWS</t>
  </si>
  <si>
    <t>Richard J wrote a review Jul 2019Cardiff, United Kingdom150 contributions39 
helpful votes</t>
  </si>
  <si>
    <t>Stuart R wrote a review Jan 2019Leicester, United Kingdom90 contributions13 
helpful votes</t>
  </si>
  <si>
    <t>great price, location and newlovely central London hotel at a great price. staff were friendly the room 
was clean and the whole place is brand new. staff were happy to print my 
theatre tickets after I had lost them. will be returningRead moreReview 
collected in partnership with this hotelDate of stay: December 
2018HelpfulShare</t>
  </si>
  <si>
    <t>Good locationGood location for area. Reasonable room sizes. Comfortable bed. Main issue 
was cleanliness of bathroom behind the door. Noticed when closed. Generally 
friendly staff. Good security at night Didn’t use any other facilitiesRead 
moreReview collected in partnership with TravelodgeDate of stay: July 
2019HelpfulShare</t>
  </si>
  <si>
    <t>panam3000 wrote a review Jan 20191 contribution1 helpful vote</t>
  </si>
  <si>
    <t>RenBog wrote a review Jul 20191 contribution</t>
  </si>
  <si>
    <t>A comfortable, well located place to stayThis Travelodge hotel opened in Summer 2018. It is a very comfortable place 
to stay. Very good value for money. Well connected through two tube 
stations nearby. On our next stay in London, we would definitely book this 
place again.Read moreReview collected in partnership with TravelodgeDate of 
stay: January 20191 Helpful voteHelpfulShare</t>
  </si>
  <si>
    <t>Sherpa27415884147 wrote a review Jan 20191 contribution</t>
  </si>
  <si>
    <t>high CP, worth tryingthe location is very good, just between two stations, easy to travel 
around. the room is cozy and the bed is comfortable. i ordered super room, 
so it is big enough to open two big suitcases. The staff is polite and 
willing to help, and answered the questions at once. I booked the room 
through its web site which was 50% off, the price is very reasonable after 
discount. However, there are just a small issue about getting to hotel from 
tube, as there are many homeless people in the streetRead moreReview 
collected in partnership with TravelodgeDate of stay: December 
2018HelpfulShare</t>
  </si>
  <si>
    <t>Decent Place to StayIf you're an American used to large hotel rooms, just know that this is not 
one of those rooms. It's small but it's very clean and the staff were quite 
friendly. The wifi I paid for worked wonderfully. Easy to connect to and 
plenty quick. The only drawback is that there is a pretty hefty set of 
stairs you have to climb to get to the lobby., which for me was a challenge 
only because I had just spent 8 hours in the air on an overnight flight, 
then a good hour in customs at Heathrow, then an hour on the Tube, thenA 
bit of a walk from the Covent Garden station to the hotel only to now be 
faced with those steps and my bag for a week, which weighed 45 pounds (20 
kg). Here's a pro tip: the Tube directions on the hotel site say to exit at 
Covent Garden or Holborn -- do Holborn! So much…Read moreReview collected 
in partnership with TravelodgeDate of stay: July 2019HelpfulShare</t>
  </si>
  <si>
    <t>gbhoy wrote a review Jan 2019Glasgow, United Kingdom2 contributions</t>
  </si>
  <si>
    <t>Anne H wrote a review Jul 201910 contributions10 helpful votes</t>
  </si>
  <si>
    <t>London weekendGreat staff, exceptional. Good hotel in good location with everything 
great, no complaints whatsoever . Fantastic value, and can't compliment 
staff enough, would repeat that many times, would use again without 
hesitation.Read moreReview collected in partnership with TravelodgeDate of 
stay: January 2019HelpfulShare</t>
  </si>
  <si>
    <t>Super Room - Hard Bed!stayed in a super room. Very convenient location but Covent Garden is 
expensive for food - so go a bit further afield for value/choice. There is 
a Sainbury's a few minutes walk away (Holburn Tube) for snacks etc. Staff 
very helpful and friendly. Breakfast as expected - nothing at all the 
matter with it. Room clean and tidy but the bed was extremely hard and 
uncomfortable! I thought I liked a firm bed - but not that firm, though I 
guess that one is personal choice. Very effective air con which made all 
the difference since the weather was hot. Slightly noisy with deliveries in 
the street outside overnight/early morning but the room over looked the 
street so others may be quieter and anyway this is central London.Read 
moreDate of stay: July 2019HelpfulShareResponse from TravelodgeUK, Ben from 
the Social Media Team at Travelodge London Covent GardenResponded 15 Jul 
2019Thank you for taking the time to write a review about our London Covent 
Garden hotel. We're pleased to hear that you liked the hotels location, you 
found the team to be friendly and helpful and the room was clean and at a 
comfortable temperature however we are sorry to learn that you found the 
bed to be uncomfortable.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</si>
  <si>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https://www.tripadvisor.co.uk/Hotel_Review-g186338-d13569031-Reviews-or945-Travelodge_London_City_hotel-London_England.html#REVIEWS</t>
  </si>
  <si>
    <t>froggyd71 wrote a review Jan 20191 contribution</t>
  </si>
  <si>
    <t>Friendly and cleanLovely place.. just not much storage in the family room... only about 5 
coat hangers which were above the bed so everything would hang on the child 
and no drawers!.. it’s ok for 1 or 2 nights but I wouldn’t recommend it for 
longerRead moreReview collected in partnership with TravelodgeDate of stay: 
January 2019HelpfulShare</t>
  </si>
  <si>
    <t>MJW998 wrote a review Jan 2019Peterlee, United Kingdom68 contributions35 
helpful votes</t>
  </si>
  <si>
    <t>Sangster64 wrote a review Jul 2019Scottish Highlands, United Kingdom1 
contribution</t>
  </si>
  <si>
    <t>Best Travelodge visited YetConsidering price , location and in London, we booked. What a place! 
Exceptional staff, very up market, light and bright surroundings and clean. 
Stayed for two nights and even went back for drinks...breakfast very good. 
Location excellent for Kings Cross and other parts of this wonderful 
city.Read moreDate of stay: January 2019HelpfulShare</t>
  </si>
  <si>
    <t>Very comfortable and quietBasic but clean room. Beds were very comfortable and linen very clean and 
fresh. Bathroom would benefit from an upgrade. Very quiet for a central 
London room. Reception and dining areas were immaculate and staff 
friendly.Read moreReview collected in partnership with TravelodgeDate of 
stay: July 2019HelpfulShare</t>
  </si>
  <si>
    <t>xaroulis wrote a review Jan 2019athens greece17 contributions17 helpful 
votes</t>
  </si>
  <si>
    <t>new and cleangreat value of money, the hotel is new and comfortable. We were a family of 
4 and had enough space to move inside the room. There were 2 single beds 
for the kids , instead of the usual sofa bed , which was very 
convenient.Read moreReview collected in partnership with TravelodgeDate of 
stay: January 2019HelpfulShare</t>
  </si>
  <si>
    <t>https://www.tripadvisor.co.uk/Hotel_Review-g186338-d193057-Reviews-or895-Travelodge_London_Covent_Garden-London_England.html#REVIEWS</t>
  </si>
  <si>
    <t>TravelDummy wrote a review Jul 2019Sydney, Australia89 contributions16 
helpful votes</t>
  </si>
  <si>
    <t>Average hotelThe location was good. The on-site restaurant wasn’t too bad. Served decent 
food. However the hotel was very basic. The shower was no good and smelt 
like plastic. The rooms got really hot and the aircon didn’t work too 
well.Read moreDate of stay: June 2019HelpfulShare</t>
  </si>
  <si>
    <t>https://www.tripadvisor.co.uk/Hotel_Review-g186338-d13569031-Reviews-or950-Travelodge_London_City_hotel-London_England.html#REVIEWS</t>
  </si>
  <si>
    <t>Smartie101053 wrote a review Jan 2019London, United Kingdom5 contributions</t>
  </si>
  <si>
    <t>julescuthbert wrote a review Jul 2019Brisbane, Australia1 contribution</t>
  </si>
  <si>
    <t>Travelodge excelsThe Travelodge in Middlesex St was clean, tidy, room was great and 
receptionist staff 1st class. Would highly recommend it and I'll certainly 
stay there again. Location is ideal if working in/visiting the City and 
have to stay overnight.Read moreReview collected in partnership with 
TravelodgeDate of stay: December 2018HelpfulShare</t>
  </si>
  <si>
    <t>Family stayOld and run down. Website shows lovely refurbished rooms (Drury Ln) however 
family rooms are in the old 2nd building (Holborn st). Bathroom and carpet 
was awful, old and stained. Only positive is the location.Read moreReview 
collected in partnership with TravelodgeDate of stay: July 
2019HelpfulShareResponse from TravelodgeUK, Shaf from the Social Media 
Team. at Travelodge London Covent GardenResponded 16 Jul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</si>
  <si>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FarAway05946273933 wrote a review Jan 2019Perth, Australia1 contribution</t>
  </si>
  <si>
    <t>Lucy P wrote a review Jul 2019Grantham, United Kingdom133 contributions106 
helpful votes</t>
  </si>
  <si>
    <t>Did the jobThe hotel was new and fresh. Check in was easy. Bar and food are available 
all day long, which was great as we checked in late. The room size was 
fine, a little small but about right for an average hotel. There was a bit 
of a moldy smell in the room - concerning given it's a new hotel - but it 
did seem to disappear after opening the window for a while. Hotel was good 
for an easy stay if you're not looking for anything fancy.Read moreReview 
collected in partnership with TravelodgeDate of stay: December 
2018HelpfulShare</t>
  </si>
  <si>
    <t>vj01 wrote a review Jan 2019Somerset36 contributions14 helpful votes</t>
  </si>
  <si>
    <t>Felt like a youth hostel, Overpiced small rooms with no view and poorly 
maintained.First impressions, baggy carpets through the 2nd floor. Small room with no 
bath, on 1 socket (other 1 had been blanked off to save money) the only 
picture looked like a smugged print , the rest of the room looked and felt 
like a youth hostel. No where really to put anything, not even any drinking 
glasses in the room. For £198 for one night, this place is a disgrace!Read 
moreReview collected in partnership with TravelodgeDate of stay: July 
2019HelpfulShareResponse from TravelodgeUK, Shaf from the Social Media 
Team. at Travelodge London Covent GardenResponded 11 Jul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</si>
  <si>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You will not be disappointedBooked in advance whilst still being built so was a little apprehensive we 
were checking in, but our stay could not have gone smoother. Friendly and 
helpful staff on arrival and pretty much everything you need in a hotel 
room. A bonus being only a short walk from the tube.Read moreDate of stay: 
December 2018HelpfulShare</t>
  </si>
  <si>
    <t>Alan_Bateson wrote a review Jan 2019Preston, United Kingdom205 
contributions77 helpful votes</t>
  </si>
  <si>
    <t>4931T wrote a review Jul 2019United Kingdom4 contributions</t>
  </si>
  <si>
    <t>Superb for a short City breakI spent just one night at this Travelodge but found it to be an ideal 
place, just a 10 minute walk from The Tower of London and less than 5 
minutes from the nearest tube station. Rooms are comfortable and warm, 
bathrooms, small but clean and pleasant. Breakfast is a buffet style affair 
in a bright dining room. The hotel bar is pleasant and reasonably priced 
for Central London. A great place to consider for a one or two night City 
break.Read moreDate of stay: November 2018HelpfulShare</t>
  </si>
  <si>
    <t>https://www.tripadvisor.co.uk/Hotel_Review-g186338-d13569031-Reviews-or955-Travelodge_London_City_hotel-London_England.html#REVIEWS</t>
  </si>
  <si>
    <t>Not value for moneyBooked after viewing photos online which showed Drury Lane site which 
looked very modern we stayed at their sister site further up the road High 
Holborn not what we were expecting - very dated. .Although room was clean 
it was very hot, there was a small fan but no air con. Iron was provided 
but no hair dryer. Wasn't expecting a great view in London but Room 293 2nd 
floor overlooked a flat roof area, had a view of more like a car park of 
white walls with a black ceiling and rubbish hardly the standard you would 
expect from a Travel Lodge .Very overpriced at £340 for 2 nights with a 
discount code! Beware if you pay for breakfast as we did on arrival this is 
not updated on the computer and you will need to provide a receipt as proof 
of payment as we were told our names…Read moreDate of stay: July 
2019HelpfulShareResponse from TravelodgeUK, James from the Social Media 
Team at Travelodge London Covent GardenResponded 11 Jul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</si>
  <si>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posy1991 wrote a review Jan 2019Kingston-upon-Hull, United Kingdom112 
contributions22 helpful votes</t>
  </si>
  <si>
    <t>Charley S wrote a review Jul 20191 contribution1 helpful vote</t>
  </si>
  <si>
    <t>Good hotel very conveniently locatedHad a lovely 2 night stay here between Christmas and New year. The hotel 
being fairly new, it was clean and modern. The rooms were a good size too 
for a budget hotel. The best thing was the location, so close to a tube 
station on the circle line meaning it was really easy to get around sight 
seeing in london. But the area around the hotel wasn't too busy but still 
plenty of places to eat and drink right nearby. The spitallfields market is 
just a stones throw away too.Read moreDate of stay: December 
2018HelpfulShare</t>
  </si>
  <si>
    <t>João Pedro D wrote a review Jan 20191 contribution2 helpful votes</t>
  </si>
  <si>
    <t>Over priced budget hotelRoom was very hot upon arrival, only had desk rop fans to cool the room 
down, not sufficient enough. Bathroom floor hadn't seen a mop in quite some 
time! Also lost our mobile reception in side the building, Wi-Fi wasn't 
even that good and only got 30 minutes free! For the price of the room it 
wasn't that great.Read moreDate of stay: June 20191 Helpful voteHelpfulShare</t>
  </si>
  <si>
    <t>Great ValueTop experience. Everyone really friendly, cozy rooms, good shower and well 
placed near 3 metro stations (Aldgate, Aldate East and even Liverpool St 
Station wich connects to Stansted). A really good surprise.Read moreReview 
collected in partnership with TravelodgeDate of stay: December 20182 
Helpful votesHelpfulShare</t>
  </si>
  <si>
    <t>gibsonwushu wrote a review Dec 2018Oslo, Norway303 contributions50 helpful 
votes</t>
  </si>
  <si>
    <t>https://www.tripadvisor.co.uk/Hotel_Review-g186338-d193057-Reviews-or900-Travelodge_London_Covent_Garden-London_England.html#REVIEWS</t>
  </si>
  <si>
    <t>You get what you pay forA central location close to the underground and Liverpool street station 
makes it a good starting point for your London adventures. Also within 
walking distance from Tower Bridge. The hotel itself is quite nice, the 
layout of the rooms are small but practical, no space goes to waste. The 
bed was below average and I struggled to get a good night sleep. The young 
staff is very friendly, but more of the friend-friendly than the 
professional friendly that you might be used to in a hotel. It all depends 
on your preferences. The breakfast is alright, a bit like the food courts 
at IKEA. All in all a good place to start your London trip on a budget. 
Though, I'd rather spend some more money and get more of that little extra 
of what a hotel stay should offer in my opinion.Read moreDate of stay: 
January 2019HelpfulShare</t>
  </si>
  <si>
    <t>Mobile476684 wrote a review Jul 20192 contributions</t>
  </si>
  <si>
    <t>Jonathan B wrote a review Dec 2018York, United Kingdom388 contributions116 
helpful votes</t>
  </si>
  <si>
    <t>Excellent TravelodgeIt’s a Travelodge so you know the formula. However, the staff here are 
really good and being new, it’s clean, comfortable and very smart. I stayed 
in a twin room with one of my sons. The room was huge with a fully 
accessible wet room. We also found the place very quiet with no noise 
intrusion from outside.Read moreDate of stay: November 20181 Helpful 
voteHelpfulShare</t>
  </si>
  <si>
    <t>Good location, comfortable rooms,Stayed here for a long weekend. Great location for central London. Staff 
were very helpful and friendly. Comfortable room although more shelves/ 
drawers would be handy. Shower was good. Was a hot weekend and room aircon 
worked well. No noise at night.Read moreReview collected in partnership 
with TravelodgeDate of stay: July 2019HelpfulShare</t>
  </si>
  <si>
    <t>Dr G wrote a review Dec 2018Caerleon, United Kingdom38 contributions46 
helpful votes</t>
  </si>
  <si>
    <t>https://www.tripadvisor.co.uk/Hotel_Review-g186338-d1812157-Reviews-or150</t>
  </si>
  <si>
    <t>pmQ7862LD wrote a review Jul 2019Sheffield, United Kingdom1 contribution</t>
  </si>
  <si>
    <t>Location, Location,Location (and Value!)This is a brand new Travelodge, so everything is pristine. We had no 
problems at all checking in or out, and our bags were stored for for us for 
free, as we had arrived early. The young team of staff were pleasant and 
friendly.The rooms are not palatial, but for London, they are fine. The 
bathrooms are a bit small - in the standard rooms they are moulded pods and 
the wash basin jostles for position with the loo - which might be an issue 
for anyone taller or wider that the norm. I cannot recommend eating in the 
restaurant, the staff were totally overwhelmed at breakfast, making it a 
farce -Peter's Cafe, less that 5mins walk away is a much better bet. 
However, this hotel is in a great location, 2 or 3 minutes wall from 
Aldgate East and Aldgate tube stations and there are a host of…Read 
moreDate of stay: December 20182 Helpful votesHelpfulShare</t>
  </si>
  <si>
    <t>A great trip to London ruined by a hotelA small room described as a twin but in all purposes was for physically 
challenged people. Beds which should have been a twin, small singles with 
no gap between them. 2 6’1” guys in 2 small single beds was a joke. The 
noise in the room from outside was a problem you could shut the window but 
no air on to cool the room. The lift control panels held on by gaffer tape 
buttons not working.Read moreReview collected in partnership with 
TravelodgeDate of stay: July 2019HelpfulShareResponse from TravelodgeUK, 
James from the Social Media Team at Travelodge London Covent 
GardenResponded 11 Jul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</si>
  <si>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https://www.tripadvisor.co.uk/Hotel_Review-g186338-d13569031-Reviews-or960-Travelodge_London_City_hotel-London_England.html#REVIEWS</t>
  </si>
  <si>
    <t>judithbryant wrote a review Jul 20191 contribution</t>
  </si>
  <si>
    <t>miss_piggin wrote a review Dec 2018England, Bradford26 contributions28 
helpful votes</t>
  </si>
  <si>
    <t>Excellent to holtelWe have never stayed in a Travelodge before, and picked it off the internet 
for closeness to some attractions, but would definitely stay there again 
and recommend it to anyone, it was very clean, the staff were friendly and 
helpful, the room was nice and clean and the breakfast was plentiful and 
hot. This hotel is central to most of the attractions, we found that a lot 
of the attractions are within a 20min walk of the hotel, and very close to 
each other.Read moreReview collected in partnership with TravelodgeDate of 
stay: July 2019HelpfulShare</t>
  </si>
  <si>
    <t>Good LocationWe stayed here 1st weekend in Sept. 2 adults &amp; 2 children (5&amp;7). The hotel 
was a few mins from the tube station - easy to find. We walked down to the 
Tower of London in about 15/20 mins. Some local resturants nearby to eat in 
- we went to Big Moe's Diner one night - it was a great place &amp; food was 
good - but you could just do a Weatherspoons which is less than 10 mins 
away. I would totally stay in this location again. Really good for getting 
around. We went to do tourist attractions with the kids so it was great we 
could just get straight to the tube. We had a family room for 4. The 
bathrooms are pokey - litrally 1 at a time in them which made helping kids 
get washed etc hard work. The room itself felt ok. Wasnt massive but big 
enough for the 2 nights we were there. The kids…Read moreDate of stay: 
September 20181 Helpful voteHelpfulShare</t>
  </si>
  <si>
    <t>Pioneer12417021528 wrote a review Dec 2018Hamburg, Germany1 contribution</t>
  </si>
  <si>
    <t>Christmas in LondonThe team is great. The people at the reception is good and very kind. The 
best is the team in the hotel bar, which is open very long. I travelled 
alone, but in the bar I never felt alone. The team were more Friends than 
only customer and client relation.Read moreReview collected in partnership 
with TravelodgeDate of stay: December 2018HelpfulShare</t>
  </si>
  <si>
    <t>Niamh P wrote a review Dec 2018London, United Kingdom4 contributions1 
helpful vote</t>
  </si>
  <si>
    <t>Excellent HotelThis London City Travelodge was perfect for our family visit. The hotel was 
clean and modern, the breakfast was fabulous, with plenty to choose from, 
all the staff were friendly and helpful. The location was perfect. We will 
definitely stay again.Read moreReview collected in partnership with 
TravelodgeDate of stay: December 2018HelpfulShare</t>
  </si>
  <si>
    <t>The Four Musketeers wrote a review Dec 20181 contribution</t>
  </si>
  <si>
    <t>https://www.tripadvisor.co.uk/Hotel_Review-g186338-d193057-Reviews-or905-Travelodge_London_Covent_Garden-London_England.html#REVIEWS</t>
  </si>
  <si>
    <t>Nice, clean hotel in a very good location and family friendlyAfter staying in several other hotels in London with our toddlers that 
turned out to not look as good in the picture and incorrectly star rated we 
decided to stick with a chain.The hotel was clean and modern and the room 
that we had was very spacious and clean. We were provided with a family 
room at no extra charge which provided out toddlers with plenty of room to 
move about in. However, the room might be a bit small for older 
children.The hotel is also within walking distance to some well known 
attractions, a supermarket, pub and eateries.The hotel was only opened in 
July 2018 so I hope that they continue to maintain their high standards of 
cleaniness and remain family friendly.Read moreReview collected in 
partnership with TravelodgeDate of stay: December 2018HelpfulShare</t>
  </si>
  <si>
    <t>Paul P wrote a review Jul 2019Kingston upon Thames, United Kingdom19 
contributions9 helpful votes</t>
  </si>
  <si>
    <t>https://www.tripadvisor.co.uk/Hotel_Review-g186338-d13569031-Reviews-or965-Travelodge_London_City_hotel-London_England.html#REVIEWS</t>
  </si>
  <si>
    <t>Connector52660904315 wrote a review Dec 2018Burgess Hill, United Kingdom1 
contribution</t>
  </si>
  <si>
    <t>No Sleep at all...Unfortunately the air conditioning unit in our room was extremely noisy 
which meant we didn't have any sleep as the room got very hot and stuff and 
the air con was definitely needed, it was too late to ask to change rooms 
and no reception staff around. It's a shame as this left us very tired the 
next day and not in a great mood to travel back home to Hampshire. For the 
cost of the room we could have just got a cab home that evening instead and 
had a decent night sleep.Read moreReview collected in partnership with 
TravelodgeDate of stay: July 2019HelpfulShare</t>
  </si>
  <si>
    <t>Stay at Travelodge London CityMy daughter &amp; I enjoyed avery comfortable overnight stay at the property . 
The location was a step away from shops and a stonethrow from public 
transport .The room was very nice clean &amp;warm .I happily recommend it for 
serious retail therapy !!Read moreReview collected in partnership with 
TravelodgeDate of stay: December 2018HelpfulShare</t>
  </si>
  <si>
    <t>happydroylsden wrote a review Jul 2019manchester19 contributions12 helpful 
votes</t>
  </si>
  <si>
    <t>m3ajg wrote a review Dec 2018Lincoln, United Kingdom127 contributions39 
helpful votes</t>
  </si>
  <si>
    <t>Clean, tidy and newI like using Travelodge because you always get a modern room that is 
usually clean. There is nothing special but nothing disappointing either. 
If you book in advance and look for offers they can be as cheap as £39 per 
night. This Travelodge is near the Gherkin and Aldgate underground station. 
Spittlegate market is nearby and Whitechapel. I booked and paid more for a 
Super room but it was the smallest hotel room I have ever had. It was not 
possible for two people to be in the bathroom at the same time. I think 
This new upgrade is a bit of a con to get you to pay more for the same as 
you always got. We also had to leave a day early and nobody wanted to 
process the refund. I don’t like this new practice of charging you upfront 
and before they have delivered what you have…Read moreDate of stay: 
December 2018HelpfulShare</t>
  </si>
  <si>
    <t>Covent Garden LondonRoom small, shower not working flooded each time used, only one shelf for 
items to be put on air conditioning did not work noisy, parts of the hotel 
smelled of drains, staff friendly, breakfast was good apart from if you got 
up to get something and left somehing on the table for later the table was 
clearedRead moreReview collected in partnership with TravelodgeDate of 
stay: July 2019HelpfulShareResponse from TravelodgeUK, Ben from the Social 
Media Team at Travelodge London Covent GardenResponded 11 Jul 2019Thank you 
for taking the time to write a review about our London Covent Garden hotel. 
We're pleased to hear that you found the hotel team to be friendly and you 
liked the breakfast however we are sorry to learn of your disappointment 
with the room size and facilities. We do not provide extras which other 
hotels may provide so we can keep our room rates low however we understand 
your frustration and we are sorry that you did not enjoy your stay with us. 
We appreciate all the feedback we receive and our Hotel Managers regularly 
review their TripAdvisor reviews in order to fix any issues raised and pass 
on feedback to their team. Thank you once again and we do hope you will 
stay with us in the future.Read more</t>
  </si>
  <si>
    <t>strolling8 wrote a review Dec 2018Wolverhampton, United Kingdom260 
contributions137 helpful votes</t>
  </si>
  <si>
    <t>TiaMaria01 wrote a review Jul 2019Doune, United Kingdom82 contributions60 
helpful votes</t>
  </si>
  <si>
    <t>Great value and locationI have to presume that the poor reviewers for this hotel have their 
travelodges mixed up. For London this is a great value choice. We booked 
one of their larger rooms that come with a coffee machine and hairdryer. 
Tube 3 minutes away and a couple of good restaurants just over the road. 
Spitalfields market is a 5 minute walk away and well worth a visit. 
Pleasant friendly staff too. Very clean and we had little noise although we 
were on the top floor.Read moreDate of stay: December 2018HelpfulShare</t>
  </si>
  <si>
    <t>leedsfanSuffolk wrote a review Dec 2018Suffolk41 contributions47 helpful 
votes</t>
  </si>
  <si>
    <t>GREAT VALUEBooked late only £49 for a Friday night. Hotel brand new so bedroom 
spotless with great shower,aircon etc. 10 min walk to Liverpool Street. Far 
better that the Liverpool St hotel and only around the corner.Read moreDate 
of stay: December 2018HelpfulShare</t>
  </si>
  <si>
    <t>https://www.tripadvisor.co.uk/Hotel_Review-g186338-d13569031-Reviews-or970-Travelodge_London_City_hotel-London_England.html#REVIEWS</t>
  </si>
  <si>
    <t>Ted_Caylus wrote a review Dec 2018Guernsey, United Kingdom144 
contributions73 helpful votes</t>
  </si>
  <si>
    <t>A new Travelodge in AldgateDon't get confused with the other Travelodge in Aldgate. This is the new 
one. It's still a Travelodge with no cupboard or trouser press, but the bed 
was comfortable, the shower flow was strong and, above all, it has that 
spring in its step which only new locations can usually boast. The staff 
are great, incidentally : helpful and cheerful as only young, enthusiastic 
reception and bar people can be. The price is acceptable and the location 
(with the two Aldgate tube stations nearby) is very convenient. No bottled 
water in the room, so purchase it from the bar or one of the convenience 
stores or sandwich bars nearby, if needed.Read moreDate of stay: December 
2018HelpfulShare</t>
  </si>
  <si>
    <t>Herman wibe wrote a review Dec 20181 contribution</t>
  </si>
  <si>
    <t>Great value for money.Great hotel, nice rooms, clean, the crew was really nice, especially Yasmin 
in the reception was super service oriented and made our stay wonderful! 
The hotel felt new! The experience of the hotel made our trip to London so 
much better!Read moreDate of stay: December 2018HelpfulShare</t>
  </si>
  <si>
    <t>kyb wrote a review Dec 20181 contribution</t>
  </si>
  <si>
    <t>Amazing staff!I don't normally leave reviews. However, I stayed at this hotel last week 
and I can not speak more highly of the staff. They went above and beyond 
all with a smile on their faces! The rooms were clean and relaxing. So a 
thoroughly enjoyable stay. Will be returning again soon.Read moreDate of 
stay: December 2018HelpfulShare</t>
  </si>
  <si>
    <t>Wouldn't stay againOK, the good things - the location of this hotel is great, the bed was 
comfy and the shower was powerful. BUT, there are quite a few irritating 
issues.... 1.The shower had 3 useful hand grab rails, but one of them was 
huge and in the way when you were in the shower - we're both slim, but had 
a bit of difficulty - and a larger person would find it really difficult to 
shower! 2.The Wifi is outsourced and we spent an hour trying to get online. 
The helpline isn't very helpful (they try to put you off by referring you 
to the FAQs and they took ages to answer). We eventually got online, but 
found the Wifi very slow and glitchy and resorted to our 4G roaming a lot 
of the time. And they charge for it of course - it was definitely not worth 
paying for! 3. The other main issue was that…Read moreDate of stay: July 
2019HelpfulShareResponse from TravelodgeUK, Niki from The Social Media Team 
at Travelodge London Covent GardenResponded 9 Jul 2019Thank you for your 
feedback regarding your stay at our London Covent Garden hotel.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</si>
  <si>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https://www.tripadvisor.co.uk/Hotel_Review-g186338-d13569031-Reviews-or975-Travelodge_London_City_hotel-London_England.html#REVIEWS</t>
  </si>
  <si>
    <t>marie m wrote a review Jul 2019Manchester, United Kingdom130 
contributions40 helpful votes</t>
  </si>
  <si>
    <t>Georgia B wrote a review Dec 2018Amsterdam, The Netherlands69 
contributions6 helpful votes</t>
  </si>
  <si>
    <t>Lovely stayMe and my partner recently stayed here for the one night, it was lovely, 
just what we were looking for. The room was clean and well presented and 
the staff were very professional and polite :) I'd stay here again!Read 
moreDate of stay: December 2018HelpfulShare</t>
  </si>
  <si>
    <t>roger1967 wrote a review Dec 2018Preston, United Kingdom74 contributions20 
helpful votes</t>
  </si>
  <si>
    <t>https://www.tripadvisor.co.uk/Hotel_Review-g186338-d193057-Reviews-or910-Travelodge_London_Covent_Garden-London_England.html#REVIEWS</t>
  </si>
  <si>
    <t>Good valueWe stayed Sunday evening and it was excellent value. Super clean and 
friendly staff. Close to the tube and excellent breakfast. Able to leave 
your luggage. Would recommend. Very modern Definitely return.Read moreDate 
of stay: December 2018HelpfulShare</t>
  </si>
  <si>
    <t>Trip547725 wrote a review Dec 20182 contributions</t>
  </si>
  <si>
    <t>Paul M wrote a review Jul 2019London, United Kingdom2 contributions</t>
  </si>
  <si>
    <t>ExcellentVery good location, value for money, comfortable and the staff were very 
friendly. The restaurant was pretty good however would suggest to make it 
slightly dimmer lighting in the evenings so you don't feel as if you're in 
such a public place. Breakfast was great.Read moreReview collected in 
partnership with this hotelDate of stay: December 2018HelpfulShare</t>
  </si>
  <si>
    <t>Oakley wrote a review Dec 2018Swindon, United Kingdom316 contributions110 
helpful votes</t>
  </si>
  <si>
    <t>Central Location, Clean &amp; comfortableRecently stayed here for a night post party. The hotel was clean 
comfortable, efficient check in and check out. Highly recommend if you need 
a bed to recover after a night in town at a reasonable cost for Central 
Location.Read moreReview collected in partnership with TravelodgeDate of 
stay: June 2019HelpfulShare</t>
  </si>
  <si>
    <t>Great hotel, good location, lovely staffStayed two nights in December. Arrived late having precooked my dinner. 
Receptionist kindly refunded without issue. Rooms we’re spacious and 
comfortable. Was surprised that my room wasn’t cleaned after the first 
night but it wasn’t an issue. Food was very good and prices for dinner were 
excellent given the city location. Staff were fabulous by far the warmest 
reception I have received in a London hope in a long time. Would definitely 
return.Read moreDate of stay: December 2018HelpfulShare</t>
  </si>
  <si>
    <t>Odyssey47204287500 wrote a review Dec 20181 contribution</t>
  </si>
  <si>
    <t>london cityGreat modern hotel in a great location close to the tube, the staff were 
extremely helpful, liked the idea of food and drink available 24 hrs and 
that the tube was a three minute walk away, the rooms were very clean and 
modern and a secure entrance into the lift area for visitors which is handy 
for women travelling alone.Read moreReview collected in partnership with 
TravelodgeDate of stay: December 2018HelpfulShare</t>
  </si>
  <si>
    <t>G.R wrote a review Jul 2019Sunderland, United Kingdom48 contributions27 
helpful votes</t>
  </si>
  <si>
    <t>https://www.tripadvisor.co.uk/Hotel_Review-g186338-d13569031-Reviews-or980-Travelodge_London_City_hotel-London_England.html#REVIEWS</t>
  </si>
  <si>
    <t>Paul M wrote a review Dec 2018NY115 contributions55 helpful votes</t>
  </si>
  <si>
    <t>New discount option inThe CityHad a bit of apprehension based on Travelodge's reputation, but was VERY 
pleases with this property. It's a brand new mid-size hotel in the eastern 
part of The City, right near Aldgate tube. Rooms are small but efficient, 
with great lighting, responsive &amp; functional climate control, and multiple 
power outlets, including UK and USB power (great for phones / tablets if 
you're using your converter for anything else). Staff was incredibly 
friendly and responsive very pleasant. Breakfast was typical full English, 
buffet style, but all inclusive for about £10. So, yes - 3 double espresso? 
Absolutely! Location - for The City - outstanding. 3 minutes walk to 
District and Circle lines at Aldgate, and 5-7 minutes walk to The Gherkin 
or Lloyd's tower, or Fenchurch market. Yes…Read moreDate of stay: December 
20181 Helpful voteHelpfulShare</t>
  </si>
  <si>
    <t>2 night stay with friendsVisited London for Friday &amp; Saturday night stay with several friends. Check 
in very easy but rooms only available for check-in after 3pm. We got there 
early (around 12) and stored out luggage in locker room which was no 
problem. Location is absolutely fantastic. Right in the heart of Covent 
Garden and only a 5 minute walk to tube station. The reason only 3 stars is 
awarded is due to the room quality (especially the bathroom) and all our 
rooms (8 in total) did not receive any room service, clean towels etc 
during stay. Very poor.Read moreDate of stay: July 2019HelpfulShareResponse 
from TravelodgeUK, Molly from the Social Media Team at Travelodge London 
Covent GardenResponded 8 Jul 2019Thank you for your review. We are 
delighted to note that your stay was enhanced by the location of the Hotel. 
We are pleased to hear that you found the check in process to be efficient. 
We do charge £10.00 for an early check in and must remain consistent with 
our terms and conditions. However, we are disappointed to note that your 
room was not serviced during your stay. We will certainly address this with 
the Hotel Team to reiterate the importance of attention to detail when 
servicing the rooms. Thank you again for your comments, we hope to welcome 
you back to stay with us again in the near future.Read more</t>
  </si>
  <si>
    <t>Connector31991924346 wrote a review Jul 20191 contribution</t>
  </si>
  <si>
    <t>Very good staffVery good, helpful staff, perfect location for west end, early check in is 
very useful for matinees, good breakfast, Price of stay is good in 
comparison to other hotels in the area. 2 NCP car parks close by.Read 
moreReview collected in partnership with this hotelDate of stay: June 
2019HelpfulShare</t>
  </si>
  <si>
    <t>AndreeB708 wrote a review Jul 2019England, Arkansas46 contributions22 
helpful votes</t>
  </si>
  <si>
    <t>Barbara J wrote a review Dec 2018Wirral, United Kingdom13 contributions4 
helpful votes</t>
  </si>
  <si>
    <t>Great location, poor room but low priceThis is possibly what to expect at the price for a London hotel. It was OK 
for 1 night if you use the room only for sleeping and leave it early in the 
morning. Not so good if you are sightseeing and need to use the room during 
the day for a period of rest and refreshing.Read moreReview collected in 
partnership with TravelodgeDate of stay: July 2019HelpfulShare</t>
  </si>
  <si>
    <t>London CityClean and tidy comfortable room for our one night stay and reasonable price 
for being in the city. There was a bar available for drinks and food but we 
didn’t use these facilities. Handy for Tower of London Tower Bridge.Read 
moreReview collected in partnership with TravelodgeDate of stay: December 
2018HelpfulShare</t>
  </si>
  <si>
    <t>Teixas wrote a review Dec 2018Almada, Portugal45 contributions18 helpful 
votes</t>
  </si>
  <si>
    <t>https://www.tripadvisor.co.uk/Hotel_Review-g186338-d193057-Reviews-or915-Travelodge_London_Covent_Garden-London_England.html#REVIEWS</t>
  </si>
  <si>
    <t>Excellent place to stay in LondonConfortable hotel with a very good price good for a short stay to visit 
London.Nice breakfast.Friendly and helpfull staff. Nice and secure romm to 
leave the luggage.Very good location near bus and underground stations.Read 
moreReview collected in partnership with TravelodgeDate of stay: December 
2018HelpfulShare</t>
  </si>
  <si>
    <t>MoniDNM wrote a review Jul 2019Budapest, Hungary161 contributions13 helpful 
votes</t>
  </si>
  <si>
    <t>RAB1234 wrote a review Dec 2018Burnley, United Kingdom85 contributions51 
helpful votes</t>
  </si>
  <si>
    <t>London weekend baseGreat location. Great price for family room. Reception staff really 
friendly and helpful. Issue with room door lock - manager came straight up 
to check and moved rooms for us. Gave all of our party free breakfast 
following morning for inconvenience which was much appreciated and very 
tasty!! Felt very well looked after and had a very comfortable stay. Good 
basic hotel for exploring surrounding area and rest of London. Aldgate tube 
is literally just round the corner. Thankyou for your good customer 
serviceRead moreReview collected in partnership with TravelodgeDate of 
stay: December 2018HelpfulShare</t>
  </si>
  <si>
    <t>Perfect location+ Perfect location. Rooms are clean. Super rooms are equipped with hair 
dryer and iron machine, coffee maker. Kind staff. The bar and restaurant is 
open 24h. Comfortable bed. - The bathroom is quite small. No water 
pressure. Plastic shower curtain.Read moreDate of stay: July 
2019HelpfulShare</t>
  </si>
  <si>
    <t>https://www.tripadvisor.co.uk/Hotel_Review-g186338-d13569031-Reviews-or985-Travelodge_London_City_hotel-London_England.html#REVIEWS</t>
  </si>
  <si>
    <t>Coral M wrote a review Jul 2019Connah's Quay, United Kingdom70 
contributions30 helpful votes</t>
  </si>
  <si>
    <t>8janety wrote a review Dec 2018Kent, United Kingdom4 contributions</t>
  </si>
  <si>
    <t>Good location but bad for noiseThe location is perfect for anyone wanting somewhere in central London. The 
room was a bargain price and quite large for a standard Travelodge. The 
only problem was the noise. We could hear everything from both sides. Even 
the mumbling of the TV from the next room couldn't be drowned out by the 
air-conditioning in our room (which was also quite loud)Read moreDate of 
stay: June 2019HelpfulShareResponse from TravelodgeUK, James from the 
Social Media Team at Travelodge London Covent GardenResponded 7 Jul 
2019Thank you for reviewing our Travelodge London Covent Garden Hotel. 
We're happy to hear you were pleased with the location of this hotel during 
your stay with us but we are very sorry to hear of the internal noise that 
disturbed you. Please rest assured the hotel managers check Tripadvisor 
reviews of their hotels so your comments will be reviewed by the hotel's 
team. Thank you again for leaving this review and we do hope that you 
choose to stay with us again in the future.Read more</t>
  </si>
  <si>
    <t>Excellent Hotelvery friendly staff, very clean &amp; bright. The bar was also very bright and 
comfortable and the staff were very friendly too. We were helped to our 
room and they also got us a good deal on a taxi to the theatre and again in 
the morning to the stationRead moreReview collected in partnership with 
TravelodgeDate of stay: December 2018HelpfulShare</t>
  </si>
  <si>
    <t>Chloe h wrote a review Dec 2018Cheshire, United Kingdom132 contributions62 
helpful votes</t>
  </si>
  <si>
    <t>Scum F wrote a review Jul 2019Rabac, Croatia4 contributions8 helpful votes</t>
  </si>
  <si>
    <t>Great hotel, Good locationI stayed here at the weekend with friends and found this a great hotel.As 
you would expect from a Travelodge, good size rooms, comfortable beds and 
all facilities you would need. The staff were friendly and allowed us to 
store our luggage at the hotel as we arrived in the morning before our 3pm 
check in. The hotel is situated approx. 5 minute walk from Aldgate east 
tube station making it easy to get to most places in London. I would 
recommend this hotel.Read moreDate of stay: December 2018HelpfulShare</t>
  </si>
  <si>
    <t>E BK wrote a review Dec 20181 contribution1 helpful vote</t>
  </si>
  <si>
    <t>Hairs in the bed and bath, constant noiseWe arrived late with children so had no choice than to stay. The beds had 
hairs on the sheets and the bath had hairs in it. Everything was shabby. 
Uncomfortable pillows and constant noise from the street and the 
corridor.Read moreReview collected in partnership with TravelodgeDate of 
stay: July 2019HelpfulShareResponse from TravelodgeUK, Ben from the Social 
Media Team at Travelodge London Covent GardenResponded 8 Jul 2019Thank you 
for submitting your review of our London Covent Garden Travelodge. We're 
sorry to hear your room was not up to the usual high standard of 
cleanliness we would have wished for you and that your stay was affected by 
noise from outside the hotel, in such instances we would suggest this is 
reported to the reception team to enable them to fix any problems for you. 
Feedback is invaluable and our Hotel Managers regularly review their 
TripAdvisor reviews in order to fix any issues raised and pass on feedback 
to their team. Thank you once again and we do hope you will stay with us in 
the future.Read more</t>
  </si>
  <si>
    <t>QualityI had visited for a short stay with my girlfriend. I must say the room was 
at most clean and fresh. Whilst staying there I got to meet a few friendly 
faces which made our stay extra brill. Thank you to Alisha (cleaning lady) 
for my girlfriend's extra towels and changing our bed covers. Room was up 
to cleaning standards and also a lady called Haley gave us a nice smile in 
the corridors (one of the cleaners) which was really nice. Also the staff 
at reception were very welcoming. The only downside was we had issues 
connecting to Wi-Fi at an extra charge didn't see the use of using it at 
all. The bar area is highly classy with outstanding cafe staff. However, 
coming through the street at the back of the hotel looks like it needs 
attention for cleaning. The hotel is cosy and has…Read moreDate of stay: 
December 20181 Helpful voteHelpfulShare</t>
  </si>
  <si>
    <t>IcecoldPinacolada wrote a review Jul 2019Brighton, United Kingdom55 
contributions24 helpful votes</t>
  </si>
  <si>
    <t>https://www.tripadvisor.co.uk/Hotel_Review-g186338-d13569031-Reviews-or990-Travelodge_London_City_hotel-London_England.html#REVIEWS</t>
  </si>
  <si>
    <t>BargainTenth stay here. Consistently good service. Room clean and fresh. Breakfast 
improved since our last visit. Who ever makes the fresh fruit salad 
congratulations! You must have been peeling that fresh fruit for an age. It 
was delicious. Bargain stay in central location, you can’t go wrong.Read 
moreDate of stay: June 2019HelpfulShare</t>
  </si>
  <si>
    <t>John F wrote a review Dec 2018Salisbury, United Kingdom36 contributions15 
helpful votes</t>
  </si>
  <si>
    <t>A good call for the City of LondonThis is a nice Travelodge. They have genuinely raised the game here. It is 
brand new so still immaculate and very quiet indeed. The road outside is a 
cul de sac so you don't have that 24 hour traffic that can be a blight in 
London. My only gripe would be to make 100% sure that you wish to stay in 
London City and not London City (Airport.) Easy mistake to make. I did! 
Just a longer run from Bank on the DLR, but a little tiresome. I am told it 
isn't an uncommon mistake.Read moreReview collected in partnership with 
TravelodgeDate of stay: December 2018HelpfulShare</t>
  </si>
  <si>
    <t>Karima T wrote a review Dec 20181 contribution</t>
  </si>
  <si>
    <t>https://www.tripadvisor.co.uk/Hotel_Review-g186338-d193057-Reviews-or920-Travelodge_London_Covent_Garden-London_England.html#REVIEWS</t>
  </si>
  <si>
    <t>Excellent cleaning serviceMy room was cleaned to a very high standard, on one of the days I met a 
lovely cleaning lady called Keeley who was very pleasant and a credit to 
the company. I was pleasantly surprised by the high level of cleanliness 
and attention to detail, especially having stayed in other travelodge 
hotels.Read moreDate of stay: December 2018HelpfulShare</t>
  </si>
  <si>
    <t>Sgj666 wrote a review Jul 2019Bangor, United Kingdom150 contributions25 
helpful votes</t>
  </si>
  <si>
    <t>Lovely staff central location aircon in roomWas busy when I arrived but quick efficient and friendly check in . Room as 
expected but nice surprise it has aircon !! Lovely friendly bar lady and as 
a lone traveller that means a lot ! I live in hotels week in week out and 
the staff make all the difference ! Thank you the team on 3rd July you are 
great !!Read moreDate of stay: July 2019HelpfulShare</t>
  </si>
  <si>
    <t>1920alexs wrote a review Dec 20181 contribution</t>
  </si>
  <si>
    <t>Plingsby wrote a review Jul 2019Bedford, United Kingdom111 contributions84 
helpful votes</t>
  </si>
  <si>
    <t>Amazing Hotel!Booked a weekend away from Friday - Sunday for me and my partner, We 
arrived from Birmingham into London around 3pm, a quick underground ride 
away was Aldgate; the closest station the the hotel. You can't see it when 
you exit but it's literally around the corner! On arrival we were greeted 
by friendly hotel staff and given our room key, I noticed they had self 
service check in machines incase it was unusually busy. We booked the lost 
cost non-super room but was still pleased with it, it came with a king bed, 
small desk and modular bathroom. A few things were missing from the usual 
hotel room, a hair dryer for one as this was the basic room, but asking at 
reception they gave us one for our stay (albeit not the best hairdryer 
ever). No in room safe was visible either, we did not…Read moreDate of 
stay: December 2018HelpfulShare</t>
  </si>
  <si>
    <t>User Friendly hotel in a very convenient location.We were going to theatreland. Usually stay at a well-known hotel at the 
Aldwych. But that one has put up prices again (and is covered in 
scaffolding), so booked this one. Not disappointed. Clean, convenient (5 
minutes from Covent Garden). Breakfast was just brilliant. People running 
the place were nice too. Thoroughly recommended.Read moreDate of stay: July 
2019HelpfulShare</t>
  </si>
  <si>
    <t>Dave B wrote a review Dec 2018Lincoln, United Kingdom20 contributions19 
helpful votes</t>
  </si>
  <si>
    <t>cferrary24 wrote a review Jul 20192 contributions</t>
  </si>
  <si>
    <t>Fantastic hotelThis hotel was perfect for our stay, fantastic central location and close 
to the tube and 10 minute walk from monument and 15 from tower of London. 
You will not be disappointed with the price for meal 2 for £12 and 
breakfast all you can eat for 8.95 and kids eat free there tooRead moreDate 
of stay: December 2018HelpfulShare</t>
  </si>
  <si>
    <t>Central locationHotel location ideal for a visit to central London. Walkable to most areas. 
Staff very friendly and helpful. Some hotel inner areas could be better 
maintained eg stained corridor carpets; a lift panel was held together with 
tape; corridor doors (lower part of door) were broken and shabby.Read 
moreReview collected in partnership with TravelodgeDate of stay: July 
2019HelpfulShare</t>
  </si>
  <si>
    <t>Jamie W wrote a review Dec 20181 contribution</t>
  </si>
  <si>
    <t>Mari S wrote a review Jul 2019Muri bei Bern, Switzerland11 contributions4 
helpful votes</t>
  </si>
  <si>
    <t>https://www.tripadvisor.co.uk/Hotel_Review-g186338-d1812157-Reviews-or155</t>
  </si>
  <si>
    <t>Good teamI stayed at the London City Travelodge on Thursday 6th December. The hotel 
was very clean and comfortable and Catalina and her team were extremely 
friendly and helpful. Would certainly consider staying here again in the 
future.Read moreDate of stay: December 2018HelpfulShare</t>
  </si>
  <si>
    <t>This terrible hotel is not worth the moneyI wrote this review because I had decided to stay at Travelodge based on 
positive TripAdvisor reviews, which I now suspect were written by bots. I 
urge readers to avoid this ugly, broken-down, and yet somehow expensive 
hotel. Before I list some of the problems, I will note three plusses: the 
location is excellent, it is not too noisy, and the staff were friendly. 
Here are some of the problems we encountered: 1. The family rooms and the 
(misnamed) Super Rooms are in two separate buildings a block away from each 
other. We were a family traveling together, and we were placed in the two 
separate buildings. The kind desk clerk offered to move our kids to a Super 
Room, but the Super Rooms all have only one bed. The family rooms, on the 
other hand, are in a very old and run-down…Read moreDate of stay: June 
20191 Helpful voteHelpfulShareResponse from TravelodgeUK, Tilly from The 
Social Media Team at Travelodge London Covent GardenResponded 11 Jul 
2019Thank you for taking the time to write a review with regards to our 
London Covent Garden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</si>
  <si>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https://www.tripadvisor.co.uk/Hotel_Review-g186338-d13569031-Reviews-or995-Travelodge_London_City_hotel-London_England.html#REVIEWS</t>
  </si>
  <si>
    <t>ChrisE wrote a review Jul 2019Romsey, United Kingdom3 contributions</t>
  </si>
  <si>
    <t>Inspire65459326464 wrote a review Dec 2018Stavanger, Norway1 contribution1 
helpful vote</t>
  </si>
  <si>
    <t>Long weekend in LondonGreat location, good customer service, comfortable rooms. We had a problem 
with our first room and were swapped without fuss, great service! Breakfast 
was a bit like a cattle-market with not enough spaces to sit. Food was a 
little too cold at times, but bearable.Read moreDate of stay: June 
2019HelpfulShare</t>
  </si>
  <si>
    <t>You will enjoyA nice hotel, clean and nice with a professional staff. easily accessible 
and centrally located.Nice breakfast and opportunities to buy other simple 
foodOur stay responded to what we expected, perhaps, noting that the noise 
level in the room for breakfast became somewhat alienating.Read moreReview 
collected in partnership with TravelodgeDate of stay: December 20181 
Helpful voteHelpfulShare</t>
  </si>
  <si>
    <t>https://www.tripadvisor.co.uk/Hotel_Review-g186338-d193057-Reviews-or925-Travelodge_London_Covent_Garden-London_England.html#REVIEWS</t>
  </si>
  <si>
    <t>JDK62 wrote a review Dec 2018Oxford, United Kingdom1 contribution</t>
  </si>
  <si>
    <t>Kate2Kids wrote a review Jul 2019St Helier, United Kingdom20 
contributions11 helpful votes</t>
  </si>
  <si>
    <t>2 Great NightsGreat hotel with fantastically friendly and helpful staff. Efficient 
checking in. Big shout out to Catalina and her team - they were great. 
Breakfast &amp; dinner great value and tasty. Unlimited tea/coffee and food at 
breakfast. Good location for the City, Liverpool St station and Aldgate 
station.Read moreDate of stay: December 2018HelpfulShare</t>
  </si>
  <si>
    <t>London tripPerfect location for visiting London. We stayed in a Super room, not 
massive but big enough for sleeping. Right in the centre of London so not 
surprising. Lovely breakfast. Staff very professional and accommodating 
even on the b host day, they were never ruffled.Read moreDate of stay: July 
2019HelpfulShare</t>
  </si>
  <si>
    <t>Ni Ko wrote a review Dec 20181 contribution</t>
  </si>
  <si>
    <t>Melissa T wrote a review Jul 20197 contributions7 helpful votes</t>
  </si>
  <si>
    <t>Poor beds for a travelodgeThe beds at this travelodge were hard. Compared to other travelodges I have 
stayed in this is by far the worst for comfort. However location was great 
and check in was easy. Loved the fact we could leave bags at the hotel to 
explore London before check in and after check out.Read moreDate of stay: 
June 2019HelpfulShare</t>
  </si>
  <si>
    <t>Really comfortable rooms, delicious breakfast, speedy WiFi and the most 
helpful team!This travelogue is placed near Aldgate and Aldgate East, so you can quickly 
travel via underground. The Tower of London is only several minutes away, 
you can walk to it otherwise you can walk to the Liverpool street station 
which is also only a few minutes away. Overall very central this 
travelodge. Our room was nice and comfortable. The sleep easy beds are 
something we always looking forward to. The breakfast offer is unbeatable. 
And a friendly advice upgrade to full WiFi because this is cheapest und 
fastest WiFi connection. No noticeable bandwidth limitations so YouTube and 
Netflix is no pain to watch. And if you stumble on any questions, don’t 
hesitate and ask on of the Teammembers. They are really helpful and it is a 
joy to speak to either Catalina or one of her teammates.…Read moreDate of 
stay: December 2018HelpfulShare</t>
  </si>
  <si>
    <t>AndiBasel wrote a review Jul 2019Basel, Switzerland38 contributions2 
helpful votes</t>
  </si>
  <si>
    <t>David B wrote a review Dec 20184 contributions</t>
  </si>
  <si>
    <t>First and last time!As with previous reviews, the only positive thing about this hotel is the 
location and friendly (but overworked) staff. Check-in was a 20 minute 
process as all the automated machines were out of order. Upon entering the 
room, pulled out the desk chair to be met with a variety of stains of a 
questionable nature. Tried to wash my hands to discover that all the soap 
dispensers in the bathroom were empty. Luckily I had brought my own. I am 
aware that it is well priced for central London but getting the basics 
right should be a must.Read moreDate of stay: June 2019HelpfulShareResponse 
from TravelodgeUK, James from the Social Media Team at Travelodge London 
Covent GardenResponded 3 Jul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</si>
  <si>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Comfy, clean, convenient and newThis is a new Travelodge and is exactly as you would expect. Great location 
and good value for London. I wasn't allowed to check in 45 mins early 
unless I paid an additional £10. I'd certainly go back if I needed to be in 
that location.Read moreReview collected in partnership with TravelodgeDate 
of stay: December 2018HelpfulShare</t>
  </si>
  <si>
    <t>Marie283x wrote a review Jul 2019Bournemouth, United Kingdom181 
contributions43 helpful votes</t>
  </si>
  <si>
    <t>https://www.tripadvisor.co.uk/Hotel_Review-g186338-d13569031-Reviews-or1000-Travelodge_London_City_hotel-London_England.html#REVIEWS</t>
  </si>
  <si>
    <t>Louis D wrote a review Dec 201814 contributions13 helpful votes</t>
  </si>
  <si>
    <t>Stayed in betterLocation is perfect. 10 minute walk into Covent garden. 5minute walk to 
Holborn tube station. That's where the perfect part ends. Very rude staff 
member on check in. Hotel looks in dire need of a revamp. Bedrooms were ok 
I guess. If you want any Internet connection during your stay do not stay 
here. Even using my own data there was zero signal. This also applied to my 
friend who ials with a different provider to me. You get 30mins free 
internet with the hotel then have to pay. It took us 15minutes to check out 
as there was only 1 person on reception. Seems to be a clear lack of staff 
in this hotel. One positive is that they have free luggage storage so you 
can leave it at the hotel and explore London. We left our stuff and came 
back a few hours later. The man who works there had…Read moreDate of stay: 
July 2019HelpfulShareResponse from TravelodgeUK, James from the Social 
Media Team at Travelodge London Covent GardenResponded 3 Jul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</si>
  <si>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Good value for moneyThis hotel is an ideal location, just a few minutes walk from Aldgate East 
tube station, and there is a Tesco Express and several cafes within walking 
distance. The bed was very comfortable and the room was modern and clean. 
You can leave bags but there is a limit to how many they will take. The 
nearest place nearby is in Liverpool Street station, which charges £12.50 
for just a few hours!Read moreDate of stay: December 20181 Helpful 
voteHelpfulShare</t>
  </si>
  <si>
    <t>f_benham wrote a review Dec 2018Marseille, France3 contributions1 helpful 
vote</t>
  </si>
  <si>
    <t>TRAVELODGE CITY ALDGATEGood place well located and modern. Quiet rooms on the in side part opening 
on a court yard. Views on upper floors. There is a pleasant bar and 
restaurant. The staff is supportive and dedicated. Reaaly easy to access 
from tube station.Read moreReview collected in partnership with 
TravelodgeDate of stay: November 2018HelpfulShare</t>
  </si>
  <si>
    <t>Ann R wrote a review Dec 2018Halifax, United Kingdom9 contributions1 
helpful vote</t>
  </si>
  <si>
    <t>https://www.tripadvisor.co.uk/Hotel_Review-g186338-d193057-Reviews-or930-Travelodge_London_Covent_Garden-London_England.html#REVIEWS</t>
  </si>
  <si>
    <t>Great Location and excellent valueGreat location (2 mins from tube) and excellent value. Rooms very modern 
and new. Has made me look at Travel Lodge again, as previously thought they 
had become a bit tired and down market.Go for new locations or refurbished 
for great value.Read moreReview collected in partnership with 
TravelodgeDate of stay: November 20181 Helpful voteHelpfulShare</t>
  </si>
  <si>
    <t>Nikita wrote a review Dec 20181 contribution</t>
  </si>
  <si>
    <t>PantoAlice wrote a review Jul 20192 contributions4 helpful votes</t>
  </si>
  <si>
    <t>Travel lodge Covent GardenUse this hotel every time we visit London with friends and family as 
situated right in the heart of everything where you can just nip back if 
need be , excellent friendly staff, spotless rooms, great full English 
buffet breakfast, always satisfiedRead moreReview collected in partnership 
with TravelodgeDate of stay: June 2019HelpfulShare</t>
  </si>
  <si>
    <t>Worst night's sleep - noisy inside and outsideI stayed at this hotel for one night, firstly had to wait over 20 minutes 
just to check-in and greeted by rude staff. I was in a room on the ground 
floor which faced a main road. It was extremely loud outside due to nearby 
pubs and bars and noisy inside, I barely got an hour's sleep. Complained to 
Travelodge and all they can offer is a free breakfast next time - as if 
i'll ever be staying there again?!! I don't know who thought it would be a 
good idea to build hotel rooms on a main road but if you're staying here, 
request a room on the higher floors!!!Read moreDate of stay: November 
2018HelpfulShareResponse from TravelodgeUK, Ben from the Social Media Team 
at Travelodge London City hotelResponded 23 Dec 2018Thank you for your 
feedback. We are really sorry to hear of your experience. Please accept our 
sincerest apologies and we have passed your comments onto the hotel manager 
as this does not reflect Travelodge standards. We understand you have been 
in contact with our customer services team and if you are unhappy with the 
resolution offered we would advise replying directly to the email received. 
Thank you again for reviewing our hotel.Read more</t>
  </si>
  <si>
    <t>bluffcitydawg wrote a review Jul 2019Crawford, Mississippi12 contributions8 
helpful votes</t>
  </si>
  <si>
    <t>Good room for the price in LondonThis property worked for us as we had 7 people in our family and could not 
spring for 4 hotel rooms in a normal London hotel. It was basic, but clean 
and modern. Breakfast was good and slightly better than what you get at 
similar places in the states. Internet was decent, but restricted to only 
two devices (per room) which was a challenge and a pain with seven people 
in our party. There is also no outlet near the bed, so anyone with a cpap 
had better bring a long extension cord. It was close to the underground and 
several useful bus routes. The staff were nice and helpful. The baggage 
storage was a great feature to offer for No extra charge. Overall it was a 
good value for London and a great base to work out of for our three days in 
London.Read moreDate of stay: June 2019HelpfulShare</t>
  </si>
  <si>
    <t>https://www.tripadvisor.co.uk/Hotel_Review-g186338-d13569031-Reviews-or1005-Travelodge_London_City_hotel-London_England.html#REVIEWS</t>
  </si>
  <si>
    <t>R60lam wrote a review Jul 2019Grimsby, United Kingdom75 contributions31 
helpful votes</t>
  </si>
  <si>
    <t>Stuart D wrote a review Dec 2018Wolverhampton, United Kingdom17 
contributions15 helpful votes</t>
  </si>
  <si>
    <t>Ok as a baseYou know what you’re getting with a Travelodge but for over £100 a room it 
just highlights what a rip off London is. I had to stay for work but given 
the choice I wouldn’t go anywhere near what us definitely one of the 
scruffiest cities in the world - mayor ‘Chaka Khan’ ought to be ashamed, 
for so many reasons. If you must visit this is at a good location but 
staying in one part and having to go to the other part is an odd touch I’ve 
never encountered before. Staffing levels were disturbingly low and they 
seemed to be doing too many jobs at once. I had 2 courses for £12.50. Good 
price for London but odd that they brought my starter and main course out 
at the same time. When I questioned Mohamed about it he didn’t feel it was 
an odd going to do - I’m guessing the microwave pinged…Read moreDate of 
stay: July 2019HelpfulShare</t>
  </si>
  <si>
    <t>Best in London?Maybe the newest and definitely the freshest Travelodge I’ve stayed in. We 
had a super-room on the top (7th) floor. Clean, comfortable, quiet and 
spacious. Coffee machine is great and all of the electrical sockets have 
USB connectors. Travelodge really does seem to be stepping it’s game up. 
Great service and great value.Read moreDate of stay: December 20182 Helpful 
votesHelpfulShare</t>
  </si>
  <si>
    <t>Sunshine58931778082 wrote a review Jul 20191 contribution</t>
  </si>
  <si>
    <t>David W wrote a review Dec 2018Huddersfield, United Kingdom317 
contributions136 helpful votes</t>
  </si>
  <si>
    <t>Great placeI would highly recommend this hotel as I have just stayed with my large 
breed dog, the staff we great and very accommodating with every aspects of 
my stay. They advised me on the best places to go with my dog, regarding 
sightseeing, eating and drinking.Read moreReview collected in partnership 
with TravelodgeDate of stay: June 2019HelpfulShare</t>
  </si>
  <si>
    <t>Excellent new hotel near cityBeing new the facilities and general condition were outstanding. I was 
visiting the Barbican which was easy to reach on foot. reception was 
efficient and pleasant. The rate was particularly good value for the 
location.Read moreReview collected in partnership with TravelodgeDate of 
stay: November 20181 Helpful voteHelpfulShare</t>
  </si>
  <si>
    <t>RedTedd wrote a review Jul 2019Rossendale, United Kingdom435 
contributions165 helpful votes</t>
  </si>
  <si>
    <t>Scenic07942287147 wrote a review Dec 20181 contribution3 helpful votes</t>
  </si>
  <si>
    <t>It’s a Travelodge not the RitzGreat location in Theatreland. Modern rooms. Good bathroom and shower. No 
hairdryer but one provided quickly on request. Efficient staff. Arrived 
early,room ready but they wanted £10 for check in before 3pm. I laughed and 
went to a nearby pub !Read moreDate of stay: June 2019HelpfulShare</t>
  </si>
  <si>
    <t>Modern, clean hotel with hassle free booking and pleasant staffI work in London every week and this Travelodge (and the supporting 
website) is an absolute breath of fresh air to one used to wrestling with 
hotel booking apps. The hotel is quiet, modern and very clean. The staff 
are friendly and helpful. I choose cancellable rates and changing or 
cancelling rooms is no hassle at all. Room rates are very fair, especially 
if you can book in advance. I'd recommend the 'Super room' option. It is 
worth the small amount extra. The room is bigger and more comfortable and 
having an iron and hair dryer already in the room is a plus for a business 
trip. I also loved the little coffee machine!Read moreReview collected in 
partnership with this hotelDate of stay: November 20183 Helpful 
votesHelpfulShare</t>
  </si>
  <si>
    <t>https://www.tripadvisor.co.uk/Hotel_Review-g186338-d193057-Reviews-or935-Travelodge_London_Covent_Garden-London_England.html#REVIEWS</t>
  </si>
  <si>
    <t>Uwe S wrote a review Jul 20192 contributions</t>
  </si>
  <si>
    <t>Good, average and badGood: (i) the location, (ii) the elevator, (iii) the bathtub Average: (i) 
the breakfast, (ii) the bed, (iii) the reception Bad: (i) the internet 
connection - sometimes working well for 3 to 5 minutes, then another 5 to 
10 minutes without any connection at all, (ii) no fridge in the room, (iii) 
no adapter available at the reception. Conclusion: On average, it's 
averageRead moreDate of stay: June 2019HelpfulShare</t>
  </si>
  <si>
    <t>https://www.tripadvisor.co.uk/Hotel_Review-g186338-d13569031-Reviews-or1010-Travelodge_London_City_hotel-London_England.html#REVIEWS</t>
  </si>
  <si>
    <t>Carmen D wrote a review Jul 2019Cheadle, United Kingdom89 contributions23 
helpful votes</t>
  </si>
  <si>
    <t>Davy Dox wrote a review Nov 2018County Londonderry, United Kingdom1 
contribution2 helpful votes</t>
  </si>
  <si>
    <t>Excellent location for city breakThe location was fantastic - about 5 minutes walk from Liverpool Street and 
about the same from the bustling Brick Lane, we didn't really need to leave 
the immediate area to get a great taste of London. The staff were all very 
friendly, including Catalina, who made getting up for breakfast much more 
cheery!Read moreDate of stay: November 20182 Helpful votesHelpfulShare</t>
  </si>
  <si>
    <t>Covent Garden travelodgeRoom was clean but basic, beds were comfortable, towels were fresh tea 
coffee facilities provided.. but no hairdryer, no bath mat and bath soap 
dispenser was near on empty. The hotel is in a great location very 
central...not as cheap as last time though....Read moreReview collected in 
partnership with TravelodgeDate of stay: June 2019HelpfulShare</t>
  </si>
  <si>
    <t>Lauren8590 wrote a review Nov 2018Glasgow, United Kingdom12 contributions10 
helpful votes</t>
  </si>
  <si>
    <t>Wander613197 wrote a review Jul 20192 contributions</t>
  </si>
  <si>
    <t>Great hotelGreat location to base yourself in London with Aldgate East Tube station 
round the corner and plenty of bus stops at the front of hotel. Slightly 
off the main road so you don't hear any traffic noise. Friendly and helpful 
staff. Clean new and bright rooms. Great hotel for families and couples. 
Would definetly recommend and stay again.Read moreReview collected in 
partnership with this hotelDate of stay: November 20181 Helpful 
voteHelpfulShare</t>
  </si>
  <si>
    <t>Not allocated room paid forOn arriving at hotel we were allocated the accessible room, we had booked a 
twin. We were told the room had beds pushed together which could be 
separated. It seems that others had complained about rooms previously and 
had been moved leaving us with this room. The hotel was by now full. The 
receptionist tried to put a positive spin on it by telling us the room was 
more spacious. Not a statement we agreed with! When we pushed the beds 
apart it was clear the carpet underneath had not seen a vacuum cleaner for 
some time. After inspecting the room we returned to reception to complain 
and the Duty Manager did her best to resolve things for us but no other 
rooms were available. She said she was not able to discount the room but 
offered us a free meal and a drinks each, which we…Read moreDate of stay: 
June 2019HelpfulShare</t>
  </si>
  <si>
    <t>Sportshortt wrote a review Jun 2019Weybridge, United Kingdom103 
contributions24 helpful votes</t>
  </si>
  <si>
    <t>Christopher D wrote a review Nov 2018Loughborough, United Kingdom16 
contributions8 helpful votes</t>
  </si>
  <si>
    <t>Best Travelodge I've Stayed In!I travel a lot on business and was pleasantly surprised by the London City 
Travelodge. Staff were really friendly and helpful and they really made you 
feel like they wanted you to have a good stay. I had a "super room" which 
was very well furnished. The desk area was great. The Lavazza coffee maker 
was a welcome feature too. Next business trip to London I know where I will 
be staying.Read moreReview collected in partnership with this hotelDate of 
stay: November 20181 Helpful voteHelpfulShare</t>
  </si>
  <si>
    <t>Great Location to explore London from for the first timeIt was my 12 year old son’s first time in Europe and the UK. This hotel was 
superbly located to explore all of the sights that we wanted to see and 
experience in London. The room was a good size, the beds very comfortable 
and it was great that the room had air conditioning as London had some hot 
days. Thanks for a great stay.Read moreDate of stay: June 2019HelpfulShare</t>
  </si>
  <si>
    <t>https://www.tripadvisor.co.uk/Hotel_Review-g186338-d13569031-Reviews-or1015-Travelodge_London_City_hotel-London_England.html#REVIEWS</t>
  </si>
  <si>
    <t>FarAway118647 wrote a review Jun 2019Bolton, United Kingdom1 contribution</t>
  </si>
  <si>
    <t>Victoria H wrote a review Nov 2018London, United Kingdom5 contributions3 
helpful votes</t>
  </si>
  <si>
    <t>Perfect central locationPerfect location, came with our 7ye old son for his first experience of 
London so wanted as little hassle as possible. friendly front desk staff 
allowed us to check in prior to our allotted time. Room was large, clean 
and more than enough for a wknd stay. Buffet breakfast was a bit hit with 
our son and set us up for a big day if sightseeing. We’ll be back ����Read 
moreReview collected in partnership with TravelodgeDate of stay: June 
2019HelpfulShare</t>
  </si>
  <si>
    <t>Comfortable, quiet and great valueHad a great stay here. The room was spotless. The bed was really 
comfortable. Staff were nice. Great sound proofing and tucked back any busy 
main road, so got a good night's sleep. Great location - very close to the 
tube.Read moreDate of stay: October 2018HelpfulShare</t>
  </si>
  <si>
    <t>https://www.tripadvisor.co.uk/Hotel_Review-g186338-d193057-Reviews-or940-Travelodge_London_Covent_Garden-London_England.html#REVIEWS</t>
  </si>
  <si>
    <t>rodloten wrote a review Nov 2018London, United Kingdom2 contributions1 
helpful vote</t>
  </si>
  <si>
    <t>New Travelodge in the cityBrand new building so obviously everything was shiny and new and very well 
maintained. reasonably priced compared with some other city hotels. Great 
location and friendly staff. check in and out very efficient.Read 
moreReview collected in partnership with TravelodgeDate of stay: November 
20181 Helpful voteHelpfulShare</t>
  </si>
  <si>
    <t>marina c wrote a review Nov 2018London, United Kingdom5 contributions1 
helpful vote</t>
  </si>
  <si>
    <t>210kathrynh wrote a review Jun 2019London, United Kingdom3 contributions</t>
  </si>
  <si>
    <t>excellent experience!very good position, extreme cleaness of the rooms and politeness of the 
cleaning staff, very silent room with the opportunity to make my own coffee 
and tea. Nothing to complain and I will surely come backRead moreReview 
collected in partnership with TravelodgeDate of stay: November 
2018HelpfulShare</t>
  </si>
  <si>
    <t>alanjpearson_233 wrote a review Nov 2018Kettering, United Kingdom2 
contributions2 helpful votes</t>
  </si>
  <si>
    <t>Fantastic location to CG but music and traffic noise in to the room was 
unsatisfactory.Room 146 is not the room you want to stay in. It is near the corner of 
Drury Lane so noise during the night was a big problem. The bathroom looks 
tired. A good night's sleep is not what you get in this roomRead moreDate 
of stay: June 2019HelpfulShareResponse from TravelodgeUK, Molly from the 
Social Media Team at Travelodge London Covent GardenResponded 1 Jul 
2019Thank you for your review. We are sorry to learn that your stay was 
affected by external noise. Our more central locations may be noisier and 
wherever possible, we mention on the hotel’s booking page that due to the 
location of the hotel, external noise may be heard. We have taken measures 
such as providing double glazing in attempt to reduce the impact that 
outside disruptions may have on a guests stay. It is regrettable to hear 
this was not enough to guarantee a good night stay for you. Please note 
that you can contact the Hotel directly prior to your arrival to request a 
quiet room. We hope you will chose to stay with us in the future, where we 
will endeavour to restore your faith in Travelodge.Read more</t>
  </si>
  <si>
    <t>Great value for money on the day we stayedNew hotel. In great location for our visit to the area. Rooms were very 
comfortable and clean. Quiet too considering where we were in London. We 
took advantage the advanced saver rate with additional discount Travelodge 
offered for on-line booking. Result !Read moreReview collected in 
partnership with TravelodgeDate of stay: November 2018HelpfulShare</t>
  </si>
  <si>
    <t>AReaders wrote a review Nov 2018South West England, United Kingdom18 
contributions26 helpful votes</t>
  </si>
  <si>
    <t>joannaeveharrison wrote a review Jun 2019Stoke-on-Trent, United Kingdom4 
contributions4 helpful votes</t>
  </si>
  <si>
    <t>I’ve had better experiencesAt check in we we’re told we had been put into another building, To leave 
your bag, you had to walk all the way through to around the back area, 
Breakfast was lovely, Rooms were hot as no air conditioning, Staff were 
lovely! My mum is 70 so to be told that we had to walk to another building 
wasn’t the best, we were also told on the evening that if we wanted food or 
drinks we needed to go back to the main building. We also tried to order a 
taxi and were told to flag one down, as the function was broken. The stay 
was ok, but not the best experience if I’m honest!Read moreReview collected 
in partnership with TravelodgeDate of stay: June 2019HelpfulShare</t>
  </si>
  <si>
    <t>Family Trip to LondonWe stayed here as a family of 4. x2 Nights. Thursday and Friday. Arrived 
early and took advantage of the fact you can leave your bags until you 
return later to check in. Able to check-in earlier then normal also, which 
was great news! The hotel is within a 3 min walk to both Aldgate and 
Aldgate East tube stations. Hotel is relatively new and still has a NEW 
feel to it. Downstairs bar and restaurant area is nice with very friendly 
staff. Rooms were lovely, big and very clean. We opted for the breakfast in 
the morning and it was plentiful and tasty. We would happily stay here 
again as was a great base camp for us.Read moreDate of stay: October 20181 
Helpful voteHelpfulShare</t>
  </si>
  <si>
    <t>https://www.tripadvisor.co.uk/Hotel_Review-g186338-d13569031-Reviews-or1020-Travelodge_London_City_hotel-London_England.html#REVIEWS</t>
  </si>
  <si>
    <t>Inspire02907372796 wrote a review Jun 2019Sydney, Australia1 contribution</t>
  </si>
  <si>
    <t>Colin JGreat location being in the heart of Covent Garden. Pleasant experience 
staying at this Travel lodge. Room very clean and comfortable. Small 
bathroom but very functional. Recommend to anyone wishing to stay close to 
the West End.Read moreReview collected in partnership with TravelodgeDate 
of stay: June 2019HelpfulShare</t>
  </si>
  <si>
    <t>SelamCaroline wrote a review Nov 2018Brighton, United Kingdom93 
contributions16 helpful votes</t>
  </si>
  <si>
    <t>https://www.tripadvisor.co.uk/Hotel_Review-g186338-d193057-Reviews-or945-Travelodge_London_Covent_Garden-London_England.html#REVIEWS</t>
  </si>
  <si>
    <t>Christine J wrote a review Jun 2019Manchester, United Kingdom10 
contributions6 helpful votes</t>
  </si>
  <si>
    <t>Very comfortable stayExcellent value for money. I paid only £69.00 for a double room for single 
use on a Friday night. Very good location, less than a minute's walk from 
Aldgate East underground. There are travel hairdryers available to borrow 
from reception. Obviously availability depends how many are already out. 
Comfortable room and bed although the room temperature was a bit chilly 
with the air heater blowing out tepid heat despite being set to 27. Seems 
to be excellent soundproofing as I didn't hear any noise from other rooms. 
If you have stayed at a Travelodge before then you will know what to 
expect. Already booked my next stay at the London City hotel.Read moreDate 
of stay: November 2018HelpfulShare</t>
  </si>
  <si>
    <t>Great stayThe location is good. The staff are helpful and professional. Room was 
clean and the beds and pillows were very comfy. We had the breakfast which 
was also great value for money. Can't really fault this Travelodge.Read 
moreReview collected in partnership with TravelodgeDate of stay: June 
2019HelpfulShare</t>
  </si>
  <si>
    <t>kk262811 wrote a review Nov 2018141 contributions27 helpful votes</t>
  </si>
  <si>
    <t>Lastrex wrote a review Jun 201934 contributions16 helpful votes</t>
  </si>
  <si>
    <t>Amazing!I can’t praise this hotel enough! Clean, modern, quiet and a fabulous room 
with a great coffee machine too. Great location, just 5 minute walk from 
Aldgate or 10 minutes from Liverpool Street Station. A fantastic travelodge 
hotel! Go for a super room if you can!Read moreDate of stay: November 20181 
Helpful voteHelpfulShare</t>
  </si>
  <si>
    <t>It’s a Travelodge....You’ve seen one, you’ve seen them all. I like this one though - as it’s in 
a great location. Close to all the main tourist sites, and a short walk to 
the West End. The staff are nice and accommodating too. A good one got a 
weekend in London.Read moreDate of stay: June 2019HelpfulShare</t>
  </si>
  <si>
    <t>Chemist1956 wrote a review Jun 2019Blackburn17 contributions3 helpful votes</t>
  </si>
  <si>
    <t>EddieJ_13 wrote a review Nov 2018Reading, United Kingdom5 contributions1 
helpful vote</t>
  </si>
  <si>
    <t>London In The SummerA quiet and friendly hotel. All basic amenities available. Ideal for the 
West End and the river.. Rooms comfortable and although not large they were 
clean and perfect for somewhere to sleep in the centre without paying over 
the oddsRead moreDate of stay: June 2019HelpfulShare</t>
  </si>
  <si>
    <t>Clean Comfy and good valueVery pleasant and comfortable stay in this Travelodge, l think this is a 
newish hotel so had everything required for a city centre stay and at more 
then half the price of even the most reasonable London Hotel, would 
certainly use again.Read moreReview collected in partnership with 
TravelodgeDate of stay: November 2018HelpfulShare</t>
  </si>
  <si>
    <t>Trek09376285516 wrote a review Jun 2019Tallahassee, Florida1 contribution</t>
  </si>
  <si>
    <t>kazaa75 wrote a review Nov 2018glasgow uk69 contributions13 helpful votes</t>
  </si>
  <si>
    <t>Central London in Covent GardenWonderful breakfast and dining room staff. Clean room. Comfortable Beds. 
Very Quiet. Walking distance to Covent Garden, Trafalgar Square, Buckingham 
Palace, British Museum, lots of restaurants and lots of shops. The hotel 
shows age but is clean.Read moreDate of stay: June 2019HelpfulShare</t>
  </si>
  <si>
    <t>Great hotelWe usually stay in another travelodge when we are in London but decided to 
try this one to be more in central London. This hotel is a new hotel and it 
is very fresh and clean, we were in a family room which was quite big and 
we had a double bed and two singles. The beds were so comfy and the room 
was spotless and very quiet. Our only gripe was they put us on the ground 
floor and our window looked right into the restaurant and we felt we had to 
keep the curtains closed. My sister came a day after us and they had 3 
rooms booked and when checking they were asked what floor do they want they 
opted for the 3rd floor so if i went again I would request a higher floor. 
We traveled from Euston and we got the tube from Euston Square to aldgate 
Station which was £2.40 with our contactless…Read moreDate of stay: 
November 2018HelpfulShare</t>
  </si>
  <si>
    <t>Roving26712430835 wrote a review Jun 2019Glasgow, United Kingdom1 
contribution</t>
  </si>
  <si>
    <t>The worst experience everMy last experience at Travelodge Covent Gardens Central was the worst 
experience with any hotel I have experienced so far. I have been a loyal 
Travelodge customer for many years. I was very disappointed by the quality 
of the rooms and the way I was treated by the staff during my stay.Read 
moreReview collected in partnership with TravelodgeDate of stay: June 
2019HelpfulShareResponse from TravelodgeUK, James from the Social Media 
Team at Travelodge London Covent GardenResponded 27 Jun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</si>
  <si>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https://www.tripadvisor.co.uk/Hotel_Review-g186338-d13569031-Reviews-or1025-Travelodge_London_City_hotel-London_England.html#REVIEWS</t>
  </si>
  <si>
    <t>https://www.tripadvisor.co.uk/Hotel_Review-g186338-d193057-Reviews-or950-Travelodge_London_Covent_Garden-London_England.html#REVIEWS</t>
  </si>
  <si>
    <t>Randy_the_Tester wrote a review Nov 2018Oklahoma City, Oklahoma34 
contributions21 helpful votes</t>
  </si>
  <si>
    <t>Discover56000494754 wrote a review Jun 2019Wirral, United Kingdom1 
contribution</t>
  </si>
  <si>
    <t>Good location but poor customer serviceFor a person on crutches to be given the very top floor at the very end of 
the corridor is not really acceptable. There is a sign on the lift saying 
do not use in the event of a fire - how would I have got out? Absolutely 
ridiculous! We also booked the hotel under a large group booking and spent 
over £1,000 for the booking alone. Not only was the group split onto 
different floors but we were also put in different sites/different 
buildings!Read moreReview collected in partnership with TravelodgeDate of 
stay: June 2019HelpfulShareResponse from TravelodgeUK, James from the 
Social Media Team at Travelodge London Covent GardenResponded 27 Jun 
2019Thank you for reviewing our Travelodge London Covent Garden Hotel. 
We're happy to hear you were pleased with the hotel's location during this 
stay but we're sorry to hear of the issues experienced with the hotel's 
team during this stay. Please rest assured the hotel managers check 
Tripadvisor reviews of their hotels so your comments will be reviewed by 
the hotel's team. Thank you again for leaving this review and we do hope 
that you choose to stay with us again in the future.Read more</t>
  </si>
  <si>
    <t>Great Value in the Financial AreaI had a hard time finding a hotel that fit my budget and was also not a 
dive. I am glad I found this Travelodge, which is a new property not to be 
confused with another one nearby. I booked a "Super Room" which has a King 
bed and is very spacious. I highly recommend that option. I arrived around 
noon on a Saturday from the USA and was offered the option to check in 
early for only 10 GBP. I hopped on that deal! This only available if rooms 
are available. The room also has an iron and ironing board. Also, a coffee 
machine and a hot water pot are in the room. The hotel and room were clean 
and comfortable. Great TV with plenty of HD channels. The hotel is 2 
minutes away from the Aldgate tube stop, which you can reach on the Circle 
line from Paddington. There are a few stairs at…Read moreDate of stay: 
November 20181 Helpful voteHelpfulShare</t>
  </si>
  <si>
    <t>Dawn D wrote a review Jun 2019Durham, United Kingdom6 contributions1 
helpful vote</t>
  </si>
  <si>
    <t>Everything was perfectTh staff were so polite and helpful. The breakfasts were fabulous. We never 
waited for anything. It was topped up at all times , even when really busy. 
Rooms splotlessly clean. Fantastic location for Covent Garden,Oxford 
street, Piccadilly Circus and Trafalgar Square.We will definitely return 
.Read moreDate of stay: June 2019HelpfulShare</t>
  </si>
  <si>
    <t>John R wrote a review Jun 2019Staines, United Kingdom3 contributions3 
helpful votes</t>
  </si>
  <si>
    <t>David D wrote a review Nov 2018Dundee, United Kingdom217 contributions83 
helpful votes</t>
  </si>
  <si>
    <t>An overnight stayFor a hotel in London, with breakfast, was good value. The room was clean 
and spacious. The bed was comfortable. The staff were friendly and quick to 
help. There was WiFi at and extra cost. This also proved unnecessarily 
difficult to get on as they use it for market research. Bathroom was clean 
but was very basic on toiletries. Breakfast was well cooked and good value. 
It would have got a higher rating if the coffee machines were working or 
someone could guide us to them. Sight Security was good. Although you need 
to be fit to climb up the steps to the entrance when you’re tired. Overall 
good,basic budget London stay.Read moreDate of stay: June 2019HelpfulShare</t>
  </si>
  <si>
    <t>Does Exactly What it Says on the Tin!Clean, fresh, new and functional. We were met with a polite and friendly 
receptionist and our room was clean and functional also. Not huge, but 
absolutely not an issue when staying for a quick overnight business trip. 
We utilised the breezy downstairs lobby/cafe area and it served our 
business purposes absolutely perfectly. All in all a satisfactory 
experience and we would certainly use this hotel again. Also within 5-10 
minutes walk of Liverpool Street Station, so extremely functional all 
round. We shall return! I can give no higher recommendation.Read moreDate 
of stay: November 2018HelpfulShare</t>
  </si>
  <si>
    <t>Climber46906046256 wrote a review Nov 2018Birmingham, United Kingdom2 
contributions</t>
  </si>
  <si>
    <t>Larry B wrote a review Jun 2019Capernwray, United Kingdom272 
contributions76 helpful votes</t>
  </si>
  <si>
    <t>A great day outWe needed comfortable and conveniently placed accommodation and this fitted 
the bill in full. We were efficiently and politely dealt with and had no 
problem with any element of our stay. The room was clean, comfortable and 
quiet with all we needed for our stay.Read moreReview collected in 
partnership with TravelodgeDate of stay: November 2018HelpfulShare</t>
  </si>
  <si>
    <t>Good locationStayed here for one night for a theatre visit. Well located for easy 
walking access to Covent Garden, the West End and the Strand. Comfortable 
air conditioned en-suite room with shower. Good English cooked breakfast 
buffet. Staff were rather indifferent. Hotel is a little tired, but was 
clean with comfortable beds. Discounted parking at the nearby NCP car park. 
For the price, I would have expected free WiFi to be included. Would 
certainly stay again.Read moreDate of stay: June 2019HelpfulShare</t>
  </si>
  <si>
    <t>https://www.tripadvisor.co.uk/Hotel_Review-g186338-d193057-Reviews-or955-Travelodge_London_Covent_Garden-London_England.html#REVIEWS</t>
  </si>
  <si>
    <t>baggiemac wrote a review Jun 2019west midlands42 contributions38 helpful 
votes</t>
  </si>
  <si>
    <t>https://www.tripadvisor.co.uk/Hotel_Review-g186338-d13569031-Reviews-or1030-Travelodge_London_City_hotel-London_England.html#REVIEWS</t>
  </si>
  <si>
    <t>Shaunagh R wrote a review Nov 2018Kent, United Kingdom18 contributions5 
helpful votes</t>
  </si>
  <si>
    <t>More than happyStayed in a Superroom 16-19 June with my wife on the Drury Lane site and 
was really pleased with the room. As its a London hotel of course the room 
wasn't massive but still big enough for us. We were on the 5th floor no 
noise and spotlesssly clean I believe it was recently refurbished as the 
bathroom was great and carpet had the new smell to it. Staff were 
excellent, very friendly and polite especially in the bar where we didn't 
have to wait long at all for a drink any time we were there( special thank 
you to Ivan sorted out a problem for us when card machine was playing up) 
Happy hour 4-6 well worth it ,pint of Stella and G&amp;T £8.50 very good in 
London Food also good quality and breakfast very good. Suited us anyway. As 
others have said its in a brilliant location and a short…Read moreDate of 
stay: June 2019HelpfulShare</t>
  </si>
  <si>
    <t>Perfect stay great value for money!Hotel is in a great location on top of bus stops and tube stations. Room 
was perfect comfortable bed and good shower, heating in room was great and 
freeview on the TV. Handy having complimentary bag storage after you check 
out. Didn’t eat or drink in the restaurant. All staff I met was helpful and 
friendlyRead moreDate of stay: November 2018HelpfulShare</t>
  </si>
  <si>
    <t>Flyer54605350928 wrote a review Jun 2019Birkenhead, United Kingdom1 
contribution</t>
  </si>
  <si>
    <t>DaveC58 wrote a review Nov 2018Reading, United Kingdom11 contributions3 
helpful votes</t>
  </si>
  <si>
    <t>Travelodge City Excellent experienceAll the staff we met were very friendly, The room was very clean and hotel 
was well presented. Breakfast very good variety and good value for money. 
Well located for travel options, tube bus etc. Only criticism rooms need 
more insulation as traffic noise could still be heard clearly.Read 
moreReview collected in partnership with TravelodgeDate of stay: November 
2018HelpfulShare</t>
  </si>
  <si>
    <t>Was ok but not worth what we paidCharged us a lot more for the second night. Carpet was a trip hazard. 
Considering we booked a family room it wasn't great. 1 double bed and 2 put 
up beds one of which didn't have clean bedding. Only breakfast was served 
in our building, it is 2 separate buildings....we didn't bother with 
evening meal as it was in other building and we couldn't get it in our room 
to have while getting ready to go out.Read moreReview collected in 
partnership with TravelodgeDate of stay: June 2019HelpfulShareResponse from 
TravelodgeUK, Ben from the Social Media Team at Travelodge London Covent 
GardenResponded 4 Jul 2019Thank you for taking the time to write a review 
about our London Covent Garden hotel. We are sorry to learn that you did 
not find your room to be of great value, and we are sorry to learn of the 
disappointment caused by other aspects of your stay. We appreciate all the 
feedback we receive and our Hotel Managers regularly review their 
TripAdvisor reviews in order to fix any issues raised and pass on feedback 
to their team. Thank you once again and we do hope you will stay with us in 
the future.Read more</t>
  </si>
  <si>
    <t>Bonnie-louise F wrote a review Nov 2018Ipswich, United Kingdom121 
contributions5 helpful votes</t>
  </si>
  <si>
    <t>vinnie972 wrote a review Jun 2019Dubai, United Arab Emirates244 
contributions46 helpful votes</t>
  </si>
  <si>
    <t>Business Trip HotelConveniently located Hotel, close to London Underground, competitively 
priced with good breakfast options, however and sadly when I arrived for 
breakfast, both bacon and egg looked and tasted like it had been there for 
quite some time, the bacon being rather tough and the scrambled eggs looked 
and tasted very tired. All in all a great location, really cool and helpful 
staff, however guys, please make sure the most important meal of the day is 
freshly cooked.Read moreDate of stay: June 2019HelpfulShare</t>
  </si>
  <si>
    <t>Great but no TVWe had a one night stay here and we really enjoyed it. To be fair it was 
our first weekend away together since our first daughter was born 8 years 
ago so we may have enjoyed it regardless :-) A reasonably new hotel it was 
nice. the restaurant was good value and the food arrived quickly. We had a 
comfy bed and the noise was minimal. The only problem we had was that the 
TV would not work for more than a few minutes. We did tell reception who 
advised us to change channels which we did (obviously) but it still 
wouldn’t work. Also I paid for WiFi for 2 devices but it would only allow 
me to connect and not my partner. These were small issues that didn’t ruin 
our stay - and we are keen to come back next year with our girls.Read 
moreDate of stay: November 2018HelpfulShare</t>
  </si>
  <si>
    <t>Maxine B wrote a review Jun 2019Carmichael, California1 contribution</t>
  </si>
  <si>
    <t>Great place for the moneyGood basic hotel with a great location in Covent Garden near the theatre 
district. Room rate was very reasonable and included breakfast. Rooms were 
small with no dressers and no place to store luggage, however. Hotel staff 
was very kind and accommodating.Read moreReview collected in partnership 
with TravelodgeDate of stay: June 2019HelpfulShare</t>
  </si>
  <si>
    <t>https://www.tripadvisor.co.uk/Hotel_Review-g186338-d13569031-Reviews-or1035-Travelodge_London_City_hotel-London_England.html#REVIEWS</t>
  </si>
  <si>
    <t>https://www.tripadvisor.co.uk/Hotel_Review-g186338-d193057-Reviews-or960-Travelodge_London_Covent_Garden-London_England.html#REVIEWS</t>
  </si>
  <si>
    <t>Alan942 wrote a review Nov 2018Bristol, United Kingdom9 contributions4 
helpful votes</t>
  </si>
  <si>
    <t>Inspire39724291209 wrote a review Jun 2019Singapore, Singapore1 
contribution1 helpful vote</t>
  </si>
  <si>
    <t>Well located hotel with excellent efficient staff.Central London hotel, well located, clean and well maintained with a good 
breakfast with good choices (extra). The room was comfortable with 
en-suite, shower hot and the reception staff friendly and helpful.Read 
moreReview collected in partnership with TravelodgeDate of stay: November 
2018HelpfulShare</t>
  </si>
  <si>
    <t>https://www.tripadvisor.co.uk/Hotel_Review-g186338-d1812157-Reviews-or160</t>
  </si>
  <si>
    <t>Poor reception Non working Wifi Run downPaid for wifi but did not work. Seeker help from reception who said they 
could not do anything. Made me contact third party provider myself which 
put me on hold for 15 minutes with nothing g done. I gave up. Reception 
just continued with other guests doing check in. No refund. No apology 
.Read moreReview collected in partnership with TravelodgeDate of stay: June 
20191 Helpful voteHelpfulShareResponse from TravelodgeUK, Shaf from the 
Social Media Team. at Travelodge London Covent GardenResponded 2 Jul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</si>
  <si>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Graeme T wrote a review Jun 2019Henley-on-Thames, United Kingdom171 
contributions55 helpful votes</t>
  </si>
  <si>
    <t>Jessica W wrote a review Nov 20187 contributions1 helpful vote</t>
  </si>
  <si>
    <t>Great, central location very comfortable roomsThe newly updated rooms are comfortable and clean. All essentials are taken 
care of including USB charging points. Easy to get to Holborn tube, Covent 
Garden and the West End. As good as many hotels charging considerably 
more.Read moreReview collected in partnership with TravelodgeDate of stay: 
June 2019HelpfulShare</t>
  </si>
  <si>
    <t>Jessica W wrote a review Jun 20191 contribution</t>
  </si>
  <si>
    <t>Pack Your Bags!!!The personnel at this hotel go above and beyond. Jose the manager was up 
close and personal with everyone. He gave directions, safety tips, checked 
to see that everyone was satisfied with their food, accommodations, 
everything. I have never seen a manager so engaged before. He was always 
about the lobby and breakfast area helping and encouraging. Wendy the foods 
manager came around and checked on our satisfaction with the food. Not just 
once but every day we were there. Mediocre service is not what you will 
find at this hotel. The rooms were clean, quiet and comfortable. Expect to 
enjoy yourself at this facility! Looking forward to our next visit.Read 
moreDate of stay: November 2018HelpfulShare</t>
  </si>
  <si>
    <t>Julius Jansson wrote a review Nov 2018Kauniainen, Finland56 contributions3 
helpful votes</t>
  </si>
  <si>
    <t>clean and comfortableStopped at this hotel for a London west end show school of rock and it was 
only 2 mins across the road perfect. The hotel was clean tidy and noise 
free. When arrived the staff were very busy and didn’t have much time at 
check in as rushed off there feet. They hurried us along quick with the 
process. Our room was clean and tidy the temperature was a little cold on 
arriving but we soon changed that the only fault is the loud heating 
system. The room only provided towels enough for one person luckily we 
brought our own. The tea and coffee making area wasn’t great not enough 
milk provided and cheep tea all round the hotel tyfoo this isn’t my 
favourite tea I can’t stand it and I am a massive tea drinker and I had to 
go out and buy my own tea bags such a shame. At breakfast when we…Read 
moreReview collected in partnership with TravelodgeDate of stay: June 
2019HelpfulShareResponse from TravelodgeUK, James from the Social Media 
Team at Travelodge London Covent GardenResponded 26 Jun 2019Thank you for 
reviewing our Travelodge Covent Garden Hotel. We're happy to hear you were 
pleased with the location of the hotel during your stay with us as well as 
the cleanliness of your room but were' sorry to hear of the rushed check in 
and how your room was set up incorrectly. Please rest assured that the 
hotel's management team do check up on reviews of their hotels so your 
comments have been passed on. Once again we'd like to thank you for leaving 
this lovely review and we do hope that you stay with us again!Read more</t>
  </si>
  <si>
    <t>Cheap and decent hotelConsidering the location and the quality of the building (brand new as of 
Sept. 2018) this was a pleasant surprise. I was staying with by son and we 
booked a "family room" with same price as a regular double room. The room 
had enough space; in fact it was an accessibility room with all the proper 
features for that. Interior was new, but simple. You definetely could feel 
that it´s a budget hotel, but nothing to complain. The lobby is nice. 
There´s a restaurant and some room to "hang out". Staff was friendly and 
breakfast was OK, nothing special, but nothing to complain either. I felt 
like the location is "central enough" with several tube stations nearby and 
buses going to all directions practically from doorstep.Read moreDate of 
stay: September 2018HelpfulShare</t>
  </si>
  <si>
    <t>Pioneer02180838406 wrote a review Jun 20191 contribution</t>
  </si>
  <si>
    <t>Central location with great staffFor an overnight stay it was great, polite friendly staff and excellent 
facilities. the room was very clean fresh and well maintained. Breakfast 
was of good quality, plenty of it and piping hot. cant fault anything with 
this stay.Read moreReview collected in partnership with TravelodgeDate of 
stay: June 2019HelpfulShare</t>
  </si>
  <si>
    <t>https://www.tripadvisor.co.uk/Hotel_Review-g186338-d13569031-Reviews-or1040-Travelodge_London_City_hotel-London_England.html#REVIEWS</t>
  </si>
  <si>
    <t>buntingbilly wrote a review Jun 2019Walton-on-thames, United Kingdom2 
contributions</t>
  </si>
  <si>
    <t>petegaut66 wrote a review Nov 2018Telford, United Kingdom6 contributions</t>
  </si>
  <si>
    <t>Travelodge Covent GardenGreat central location. Rooms are basic and small but functional and clean 
- no fridge or safe. Staff are friendly and helpful. Breakfast buffet is OK 
but would have liked to have seen porridge (oatmeal). I paid for WiFi with 
the room and would have liked to have been able to connect more than the 
maximum 2 devices; the speed and connection strength were good, though.Read 
moreReview collected in partnership with this hotelDate of stay: June 
2019HelpfulShare</t>
  </si>
  <si>
    <t>London City StayThe hotel was very clean and well equipped which was perfect for our 
overnight stay. Our only concern was the lack of knowledge from the 
reception staff on nearby parking as we were given very vague information 
on any nearby car parks.Read moreReview collected in partnership with 
TravelodgeDate of stay: November 2018HelpfulShare</t>
  </si>
  <si>
    <t>https://www.tripadvisor.co.uk/Hotel_Review-g186338-d193057-Reviews-or965-Travelodge_London_Covent_Garden-London_England.html#REVIEWS</t>
  </si>
  <si>
    <t>susieh424 wrote a review Jun 2019Guisborough, United Kingdom2 contributions</t>
  </si>
  <si>
    <t>Storyteller13474 wrote a review Nov 20181 contribution</t>
  </si>
  <si>
    <t>Covent Garden TravelodgeExcellent as always Clean, professional staff Great and central location. 
Felt safe and comfortable. Value for money and have stayed many times, will 
return. Privacy respected and choice for room cleaning.Read moreReview 
collected in partnership with this hotelDate of stay: June 2019HelpfulShare</t>
  </si>
  <si>
    <t>Fantastic hotel in a convenient locationWe booked a Super Room at Travelodge London City for our one night stay and 
were not disappointed! Spotless room and hotel. Great location close to 
Aldgate Tube station and near Tower Bridge. We would definitely stay here 
again. Highly recommended.Read moreReview collected in partnership with 
TravelodgeDate of stay: November 2018HelpfulShare</t>
  </si>
  <si>
    <t>Linda A wrote a review Jun 2019Eastbourne, United Kingdom39 contributions20 
helpful votes</t>
  </si>
  <si>
    <t>Travelodge Covent GardenA reasonably priced hotel in the centre of London with comfortable 
accommodation and welcoming professional staff. They serve food at certain 
times and have a 24 hour bar where you can relax after a day shopping or 
site seeing although the furnishings could be a little more 
comfortable.Read moreReview collected in partnership with this hotelDate of 
stay: June 2019HelpfulShare</t>
  </si>
  <si>
    <t>_donandviv wrote a review Nov 2018Medway, United Kingdom7 contributions4 
helpful votes</t>
  </si>
  <si>
    <t>Brett H wrote a review Jun 2019Flitwick, United Kingdom134 contributions52 
helpful votes</t>
  </si>
  <si>
    <t>Short stay in London.First class hotel just recently opened. Enjoyed our stay very much, staff 
and location excellent. Highly recommended. Next time in London we would 
defiantly stay here again. Many thanks for making our weekend truly 
wonderful.Read moreReview collected in partnership with TravelodgeDate of 
stay: November 2018HelpfulShare</t>
  </si>
  <si>
    <t>Spacious Rooms but no air conFor central london the rooms very spacious. We had booked for 3 of us to 
share a family room and there was plenty of space. It was perfectly clean 
and the beds were comfy. Breakfast is good and well worth the £10 if you're 
hungry. The real thing that let it down was there is no air con. We were on 
the 7th floor so thw windows can only be opened a crack so there is no air 
(which of course is due to health and safety of being so high up) There is 
one small desk fan provided but the rooms were very hot and stuffy so I 
wouldn't have wanted to stay here on a hotter day.Read moreDate of stay: 
June 2019HelpfulShare</t>
  </si>
  <si>
    <t>Life_Long_Fan wrote a review Jun 2019London, United Kingdom17 
contributions1 helpful vote</t>
  </si>
  <si>
    <t>Iris v wrote a review Nov 2018Breda, The Netherlands110 contributions13 
helpful votes</t>
  </si>
  <si>
    <t>Ideal Central London hotel for disabled peopleExcellent hotel for theatre district with modified room for disabled 
people, including a wet room. Breakfast was very nice, staff very helpful 
and and room very comfortable. Parking right next door and a good price for 
Central London with Travelodge discount.Read moreReview collected in 
partnership with this hotelDate of stay: May 2019HelpfulShare</t>
  </si>
  <si>
    <t>https://www.tripadvisor.co.uk/Hotel_Review-g186338-d193057-Reviews-or970-Travelodge_London_Covent_Garden-London_England.html#REVIEWS</t>
  </si>
  <si>
    <t>Everything you needMe and my friends went on a short trip to London and decided to stay at the 
Travelodge London City hotel. The check in was quick, the rooms were nice 
and clean. It was perfect for our stay to explore the city. It is located 
near Liverpool street station (metro &amp; trains) and near nice pubs and bars. 
I can definately recommend this hotel, the bed was comfortable and the 
shower/bathroom clean and nice. Everything you need!Read moreDate of stay: 
November 2018HelpfulShare</t>
  </si>
  <si>
    <t>Explorer04908197003 wrote a review Jun 20191 contribution</t>
  </si>
  <si>
    <t>Fantastic central London location for a reasonable cost.Fantastically located and well priced. Service and rooms are what you would 
expect from a budget hotel but it was clean, modern and the staff were 
efficient &amp; helpful. Facility for leaving bags for the day, after checking 
out, very useful if you're catching a flight in the evening.Read moreReview 
collected in partnership with TravelodgeDate of stay: June 2019HelpfulShare</t>
  </si>
  <si>
    <t>https://www.tripadvisor.co.uk/Hotel_Review-g186338-d13569031-Reviews-or1045-Travelodge_London_City_hotel-London_England.html#REVIEWS</t>
  </si>
  <si>
    <t>Meyer H wrote a review Jun 20191 contribution1 helpful vote</t>
  </si>
  <si>
    <t>Dreamer174640 wrote a review Nov 2018Ann Arbor, Michigan4 contributions</t>
  </si>
  <si>
    <t>SuperbOverall brilliant stay but made extra special by Mohamed and Marlene who 
went above and beyond to make our weekend even better! Thanks for taking 
the time to go the extra mile for us! Will definitely visit again, from 
Meyer and Lucy.Read moreDate of stay: June 2019HelpfulShare</t>
  </si>
  <si>
    <t>Passionate and friendly staff which made our 2-week stay a great one!Location: Right in between Aldgate and Aldgate East stations. 10-min walk 
to Liverpool Street station, and 15-min to the hip Old Spitalfields Market 
and Brick Lane. One station away from Bank (west-ward), and similarly one 
station to White Chapel (east-ward). Decent number of good restaurants (all 
varieties of cuisine) within walking distance.. Room: We upgraded our room 
to "Super Room" (15 pounds/night for the upgrade) because we have had 
stayed in other Travelodges in London in their regular rooms, and we were 
not exactly impressed. So we decided to upgrade right at the moment we 
checked into this hotel. The room is not huge, but is reasonably spacious 
(with space that could accommodate a baby cot on each side of the bed). Our 
1.5 year old son has thus, a small space…Read moreDate of stay: November 
2018HelpfulShare</t>
  </si>
  <si>
    <t>https://www.tripadvisor.co.uk/Hotel_Review-g186338-d193057-Reviews-or975-Travelodge_London_Covent_Garden-London_England.html#REVIEWS</t>
  </si>
  <si>
    <t>Moldy007 wrote a review Jun 2019Peterborough, United Kingdom70 
contributions65 helpful votes</t>
  </si>
  <si>
    <t>Carless Family wrote a review Nov 2018Cardiff, United Kingdom165 
contributions42 helpful votes</t>
  </si>
  <si>
    <t>Good location, nice room,Stayed in this hotel last night. Booked one of their "super rooms". Room 
quite big for a London budget hotel. Very comfy big bed nice pillows. 
Compact shower room, shower could have done with more pressure. Nice coffee 
machine in room although instruction card would have been helpful. Very 
little noise from outside hotel although was on the 7th floor. Breakfast 
was Buffett style need more coffee machines as queuing for coffee. Quality 
of breakfast was ok. Thought was expensive for a budget hotel but this is 
London.Read moreDate of stay: June 2019HelpfulShare</t>
  </si>
  <si>
    <t>Brilliantly located hotelWe stayed here as a family 3 on Saturday night. We arrived early and took 
advantage of the fact you can leave your bags till you return later to 
check in, saved carrying them round London. The hotel is within 3 min walk 
to both Aldgate and Aldgate East tube stations. Hotel is relavtivly new and 
still looks great. Downstirs bar and restaurant area is nice. Rooms were 
lovely and big and very clean. We opted for the breakfast in the morning 
and it was plentiful and tasty. I'd happily stay here again.Read moreDate 
of stay: November 2018HelpfulShare</t>
  </si>
  <si>
    <t>HotCharlie wrote a review Jun 2019Guernsey, United Kingdom255 
contributions138 helpful votes</t>
  </si>
  <si>
    <t>Meander52513396856 wrote a review Nov 2018West Sussex, United Kingdom1 
contribution</t>
  </si>
  <si>
    <t>Fine for One NightThis hotel isn’t pretty but it is functional. You do know what you’re 
getting with Travelodge hotels though. They are quite basic, but clean with 
comfy beds. I stayed in a standard room, but they now have Super Rooms 
which are more expensive, &amp; I can only imagine, are less basic in some way. 
The main selling point of this hotel is the location. Just a short walk to 
many of the West End theatres &amp; close to Holborn &amp; Covent Garden tube 
stations. The staff I encountered were all very friendly &amp; efficient. I 
didn’t eat at this hotel so I can’t comment on the breakfast etc. I would 
definitely stay here again for the location.Read moreDate of stay: June 
2019HelpfulShare</t>
  </si>
  <si>
    <t>Great new buildingLovely new building. Easy to get to from the Tube Quick and easy travel on 
the circle line. breakfast also very good. Staff all very attentive. One of 
the best experience's I have had in a Travel lodge.Read moreReview 
collected in partnership with this hotelDate of stay: November 
2018HelpfulShare</t>
  </si>
  <si>
    <t>Rob D wrote a review Jun 2019Marlow, United Kingdom126 contributions50 
helpful votes</t>
  </si>
  <si>
    <t>Compared to other hotels in the area - this does not meet the mark.I stayed at the Travelodge in June. The desk staff were more interested in 
having a personal chat than providing me with my room. The room was 
underground but I was assured it wasn’t a bad room... which then made me 
feel like it was a bad room. There was no hair dryer in the morning and the 
room itself is pretty run down with random stains in the bathroom and on 
the carpet. If you can find another hotel, I would highly recommend doing 
so.Read moreDate of stay: June 2019HelpfulShareResponse from TravelodgeUK, 
James from the Social Media Team at Travelodge London Covent 
GardenResponded 21 Jun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</si>
  <si>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FarAway66079066749 wrote a review Jun 2019Manila, Philippines1 contribution</t>
  </si>
  <si>
    <t>https://www.tripadvisor.co.uk/Hotel_Review-g186338-d13569031-Reviews-or1050-Travelodge_London_City_hotel-London_England.html#REVIEWS</t>
  </si>
  <si>
    <t>Comfortable accommodation in LondonTravelodge is a secure and comfortable place to stay in London. It is near 
West End (we just walked when we watched Mama Mia) and other great places 
in London. Very secure as guests need to have their keys to enter 
Travelodge premises.Read moreReview collected in partnership with 
TravelodgeDate of stay: June 2019HelpfulShare</t>
  </si>
  <si>
    <t>antoinecatherineb wrote a review Jun 20194 contributions</t>
  </si>
  <si>
    <t>Andy8408 wrote a review Nov 2018Bicester, United Kingdom34 contributions19 
helpful votes</t>
  </si>
  <si>
    <t>Nice Location for City of LondonFirst time here and I was impressed with location and cleanliness of hotel 
in all areas. Better than Premier Inns as rooms are clean and have ironing 
equipment and more drinks/eats in each room. Breakfast was lovely and 
cafe/bar area modern and open.Read moreDate of stay: November 
2018HelpfulShare</t>
  </si>
  <si>
    <t>good location, poor correspondencegood location, average breakfast, desk staff helpful. cons: send an email 
regarding a query at the end of my stay, unfortunately no one have answered 
or contact in any way. send the email 3 times and still awaiting for reply. 
really disappointed.Read moreDate of stay: March 2019HelpfulShareResponse 
from TravelodgeUK, Ben from the Social Media Team at Travelodge London 
Covent GardenResponded 30 Jun 2019Thank you for taking the time to share 
your experience of your stay at our London Covent Garden Travelodge with 
us. We're pleased to hear that you liked the hotels location and found the 
team to be helpful during your stay however we are sorry to learn that you 
have not received a response to your emails. If you wish to contact us 
directly to give us more feedback, please be aware that you can always 
contact our Customer Services team via our website. We appreciate all the 
feedback we receive and our Hotel Managers regularly review their 
TripAdvisor reviews in order to fix any issues raised and pass on feedback 
to their team. Thank you once again and we do hope you will stay with us in 
the future.Read more</t>
  </si>
  <si>
    <t>BelleHereford wrote a review Nov 20184 contributions2 helpful votes</t>
  </si>
  <si>
    <t>https://www.tripadvisor.co.uk/Hotel_Review-g186338-d193057-Reviews-or980-Travelodge_London_Covent_Garden-London_England.html#REVIEWS</t>
  </si>
  <si>
    <t>TTCal wrote a review Jun 201910 contributions1 helpful vote</t>
  </si>
  <si>
    <t>Best customer service I've had in years!This hotel is really lovely and very cosy (not very common in some chain 
hotels). Our room was clean, comfortable and I liked that the walls were 
painted in lovely neutral tones rather than stark white. Lovely and 
relaxing if you're staying for business. But where this hotel really stands 
out is the customer service. I came to London with my mum and we'd planned 
to meet up with my sister and hoped she would stay in the hotel. But I 
stupidly booked a double room and asked if I could swap to a family room. 
The staff were amazing, in particular the manager who went completely above 
and beyond to ensure we were moved to a family room so my sister could 
stay. He was such a lovely man and went out of his way for us. Please pass 
on our thanks again! We managed to get a family room and…Read moreDate of 
stay: November 2018HelpfulShare</t>
  </si>
  <si>
    <t>Wonderful 5-Star staff!The excellent customer service is really what made my stay special. The 
hotel staff went out of their way to make my overnight enjoyable despite my 
being tired and grumpy. If I could give the staff stars, I'd give them 
5-plus! The rooms are basic, a little worn, but adequate and clean. 
Location is good. I arrived late at the Travelodge for just one night 
because I had a very long layover on my way back to the States. To make 
good use of my time, I had arranged for a pre-opening hour tour of the 
British Museum, which is just a couple of blocks away from the hotel.Read 
moreDate of stay: June 2019HelpfulShare</t>
  </si>
  <si>
    <t>Elain H wrote a review Jun 2019York, United Kingdom189 contributions52 
helpful votes</t>
  </si>
  <si>
    <t>bh004f7798 wrote a review Nov 2018Stourbridge, United Kingdom5 contributions</t>
  </si>
  <si>
    <t>TRAVELODGE LONDON CITY WHITECHAPELVery clean and well presented hotel best nights sleep had in ages super 
room certainly lived up to its name close to the tube,Aldgate east,very 
comfortable bed a beautiful washroom,very quiet compared to others ive 
stopped in and very fiendly staff all this topped off with a very high 
qualtiy all you can eat breakfast that set you up for the day aheadRead 
moreReview collected in partnership with TravelodgeDate of stay: November 
2018HelpfulShare</t>
  </si>
  <si>
    <t>Perfect LocationStayed at this hotel quite a few times because of its perfect location, 
everything is on the doorstep.... staff are friendly and I’ve never had a 
problem with any of our stays. Only observation... the bath towels are 
starting to look very tired... but hey, that’s not the end of the world. 
Not had a breakfast here as there are so many fab independent cafes around, 
but had a drink in the bar which has a good atmosphere.Read moreReview 
collected in partnership with TravelodgeDate of stay: June 2019HelpfulShare</t>
  </si>
  <si>
    <t>Sonia G wrote a review Jun 2019Derby, United Kingdom566 contributions60 
helpful votes</t>
  </si>
  <si>
    <t>roy572016 wrote a review Nov 2018Tamworth, United Kingdom11 contributions2 
helpful votes</t>
  </si>
  <si>
    <t>A means to and endStayed here following a concert at Wembley. Our room was what you would 
expect from a travelodge. It was basic but clean and the beds were 
comfortable. Our sink was blocked though so could only run a little water 
at a time. The bar was very disappointing as there was no ice for the 
drinks, the bar ran out of clean glasses and the barman was almost at the 
point of being rude. He under served us on our wine and when pointed out he 
just sloshed more wine in the glass without an apology. He quite clearly 
didn’t want to be serving behind the bar on the late shift! I don’t expect 
the ritz when you pay budget prices you expect to get a budget hotel but it 
doesn’t cost anything to be polite. Will pick a different hotel next time 
I’m in LondonRead moreDate of stay: June 2019HelpfulShare</t>
  </si>
  <si>
    <t>Beleza wrote a review Jun 2019Piracicaba, SP3 contributions</t>
  </si>
  <si>
    <t>Weekend BreakI would recommend this Travel Lodge. Very clean , easy to find, right by 
Aldgate Station and very welcoming, good value. The main attractions of 
London were easy to reach by the tube, only 6 stops on the circle line. The 
best Travel Lodge we have stayed in by far.Read moreReview collected in 
partnership with TravelodgeDate of stay: November 2018HelpfulShare</t>
  </si>
  <si>
    <t>Good cost:benefit and good locationGood prices and excelent location. The breakfast is not so good. If you 
stay more than one day you have to advise the cleaner to clean your room. 
You have to pay the wifi internet and it works properlyRead moreReview 
collected in partnership with TravelodgeDate of stay: June 2019HelpfulShare</t>
  </si>
  <si>
    <t>Navigate13021020408 wrote a review Nov 20181 contribution</t>
  </si>
  <si>
    <t>Excellent location, great hotelTwo minutes from a tube station, able to drop luggage off before check in 
and after check out, hotel was immaculate, staff very friendly, once in our 
room we never heard a thing, no outside noise or even other doors closing, 
once inside you would not know you were in central London, very close to 
the Tower of London, great location and great hotel.Breakfast was buffet 
style with lots of choice and good quality Additional tea/coffee etc 
available to help yourself on reception.Read moreReview collected in 
partnership with this hotelDate of stay: November 2018HelpfulShare</t>
  </si>
  <si>
    <t>https://www.tripadvisor.co.uk/Hotel_Review-g186338-d193057-Reviews-or985-Travelodge_London_Covent_Garden-London_England.html#REVIEWS</t>
  </si>
  <si>
    <t>https://www.tripadvisor.co.uk/Hotel_Review-g186338-d13569031-Reviews-or1055-Travelodge_London_City_hotel-London_England.html#REVIEWS</t>
  </si>
  <si>
    <t>carlyrogers95 wrote a review Jun 2019Bristol, United Kingdom7 
contributions3 helpful votes</t>
  </si>
  <si>
    <t>Avid-Eater66 wrote a review Nov 2018Portadown, United Kingdom43 
contributions17 helpful votes</t>
  </si>
  <si>
    <t>Does the jobPaid under average London prices, but still expensive so should expect 
travelodge to be an exceptional one considering a chain. Great location, 
friendly staff, clean and big room. No a/c, or toilet brush, also window 
was open on arrival, so room quite cold and it had been raining. Other part 
of hotel seemed nicer in terms of lobby, also luggage storage was over 
there so had to walk over (not a big issue but wasn't made aware so put 
behind schedule)Read moreReview collected in partnership with 
TravelodgeDate of stay: June 2019HelpfulShare</t>
  </si>
  <si>
    <t>Loved it !!! Great value for moneySo this place is very new, very clean and very comfortable. It’s a 
comfortable size. The rooms aren’t massive but perfectly formed. Location 
is great a 2 Minute walk from Aldgate station and about 15min walk from 
Liverpool street station. There’s nothing in the room that isn’t a 
necessity I.e. iron, hair dryers etc. however we found when we requested 
these at reception we received them without a problem. The breakfast is 
excellent. We had a full breakfast ever morning, it could be cold at times 
but we ate it anyway. All the staff we came across in the travelodge were 
fantastic and helpful. The mulled wine is FANTASTIC. Overall we had an 
excellent stay.Read moreDate of stay: November 2018HelpfulShare</t>
  </si>
  <si>
    <t>Cruiser53951712440 wrote a review Jun 20191 contribution</t>
  </si>
  <si>
    <t>not goodno room available on arrival wrong room ,no wifi told it was virgins 
problem that code that was given on booking was to tell them, had to wait 
told no manger on to sort out problems given a glass of wine to keep us 
happy staff not very helpfulRead moreReview collected in partnership with 
TravelodgeDate of stay: June 2019HelpfulShareResponse from TravelodgeUK, 
Ben from the Social Media Team at Travelodge London Covent GardenResponded 
25 Jun 2019Thank you for taking the time to share your experience of your 
stay at our London Covent Garden Travelodge with us. We are sorry to hear 
of the problems with the room and WiFi you were provided. Our WiFi is 
provided by Virgin who have a dedicated support team and we do advise 
guests to contact them directly as they can assist. If you wish to contact 
us directly to give us more feedback, please be aware that you can always 
contact our Customer Services team via our website. Thank you again for 
reviewing our hotel.Read more</t>
  </si>
  <si>
    <t>gconnaghan wrote a review Nov 2018Greater London, United Kingdom4 
contributions6 helpful votes</t>
  </si>
  <si>
    <t>Coastal45872564968 wrote a review Jun 20191 contribution</t>
  </si>
  <si>
    <t>Excellent new hotel focused on serviceStayed for 4 nights on 7th floor. Clean,quiet and tidy room with very 
comfortable furnishings. Excellent reasonable priced buffet breakfast. 
highly recommended!. Only gripe is that wi-Fi sometimes slow/inoperative. 
Also Wi-Fi should be included in price of room in 2018!. It is basic.Read 
moreReview collected in partnership with TravelodgeDate of stay: November 
2018HelpfulShare</t>
  </si>
  <si>
    <t>Not the best stayThe staff were very polite, however the room we were given wasn’t what we 
had expected. We walked into the air conditioning being blasted out and 
took a long time for it to warm up once we had turned it off. We were in a 
room which was right opposite a very busy pub and busy road. Unfortunately 
the windows did not have sound proofing on and so we had to listen to lots 
of noise until gone 2am. The lorries then started coming past at 5am. The 
shower temperature changed every minute or so without touching it, there 
were not enough towels and overall it has put us off coming back again.Read 
moreReview collected in partnership with TravelodgeDate of stay: June 
2019HelpfulShare</t>
  </si>
  <si>
    <t>https://www.tripadvisor.co.uk/Hotel_Review-g186338-d193057-Reviews-or990-Travelodge_London_Covent_Garden-London_England.html#REVIEWS</t>
  </si>
  <si>
    <t>https://www.tripadvisor.co.uk/Hotel_Review-g186338-d13569031-Reviews-or1060-Travelodge_London_City_hotel-London_England.html#REVIEWS</t>
  </si>
  <si>
    <t>alizda174 wrote a review Jun 2019Worcester, United Kingdom316 
contributions77 helpful votes</t>
  </si>
  <si>
    <t>Not the besr5 star prices for a 2 star at best hotel. Left luggage at Drury Lane 
building, the guy was so miserable wasn’t a good start! Buttons to call 
lift were covered with black tape, lift inside was taped together - needs a 
very good makeover!! Room was OK but the toilet was a joke! Barely flushed 
so be careful what you do in it!!! For the price they charge, stay at a 
better hotel!Read moreDate of stay: June 20191 Helpful 
voteHelpfulShareResponse from TravelodgeUK, James from the Social Media 
Team at Travelodge London Covent GardenResponded 17 Jun 2019Thank you for 
reviewing our Travelodge London Covent Garden Hotel. We're sorry to hear 
you weren't happy with the service from the hotel's team during this stay 
with us as well as some of the hotels facilities and the cleanliness of 
your room. May we kindly request you contact us with the link or a copy of 
your TripAdvisor review, via our website so our customer service team can 
investigate your visit with the hotel. Thank you again for posting your 
comments and we hope to hear from you soon.Read more</t>
  </si>
  <si>
    <t>Liam S wrote a review Nov 2018London, United Kingdom56 contributions17 
helpful votes</t>
  </si>
  <si>
    <t>Patti wrote a review Jun 20194 contributions2 helpful votes</t>
  </si>
  <si>
    <t>Mostly GoodI was allocated a room on the third floor, bedroom and bathroom lovely, 
clean and fresh. The new 'Barista Coffee' in the rooms is truly disgusting 
undrinkable. I had to go out and buy a jar of coffee! The evening meal left 
a little to be desired but the cooked breakfast was terrible. bacon hard 
and clumped together and scrambled egg you could bounce off the floor. 
mushrooms shrivelled and looked old. Breakfast staff miserable. Im due to 
stay there again soon and I hope it was just a bad day.Read moreDate of 
stay: June 20191 Helpful voteHelpfulShare</t>
  </si>
  <si>
    <t>Nice clean, new hotelStayed there recently and was happy with the hotel. It is clean, friendly 
staff, convenient location near Aldgate/Aldgate East stations, near 
Petticoat Market for food at lunch, walking distance to Tower Hill station 
and therefore London Bridge etc. We stayed after work (work very close) as 
it was a night we went to a theatre show. The entrance uses the electronic 
key card to open the main door, also uses the key card to enter the 
corridor for the lifts too, so just don't leave them with your partner and 
suggest you run an errand back to the room! All in all, good room, can't 
comment on their food but would recommend and stay there again.Read 
moreDate of stay: November 2018HelpfulShare</t>
  </si>
  <si>
    <t>Wendy B wrote a review Jun 20193 contributions</t>
  </si>
  <si>
    <t>Richard S wrote a review Nov 2018Ipswich, United Kingdom34 contributions24 
helpful votes</t>
  </si>
  <si>
    <t>Cupboard roomWe stayed here 14th June 2019 after staying on previous occasions without 
any problems and it's in a favourable location. However this time we were 
allocated room 514 which we discovered to be a corridor/cupboard 
maskerading as a room .it was narrow corridor with the bed squeezed in 
behind the door as you enter and the window at the end of the corridor 
meaning you needed the light on in the day to see anything. The chair to 
the dressing table blocked access to the bathroom so you had to press 
yourself up against the wall to get past. You couldn't walk down the side 
of the bed as it was squashed against the wall so had to clamber over the 
bed to get in and out. Couldn't use a hairdryer as the wall behind was too 
close. The door to enter the room was half the size of the other…Read 
moreDate of stay: June 2019HelpfulShareResponse from TravelodgeUK, Ben from 
the Social Media Team at Travelodge London Covent GardenResponded 16 Jun 
2019Thank you for taking the time to share your experience of your stay at 
our London Covent Garden Travelodge with us. We're pleased to hear that you 
liked the hotels location and you found the team and bar to be lovely 
however we are sorry to learn of your disappointment with the room size. We 
appreciate all the feedback we receive and our Hotel Managers regularly 
review their TripAdvisor reviews in order to fix any issues raised and pass 
on feedback to their team. Thank you once again and we do hope you will 
stay with us in the future.Read more</t>
  </si>
  <si>
    <t>Weekend visit to LondonWe visited London for the weekend and after a lot of research decided upon 
this Travelodge. It was very clean and quiet, but then we did pay extra and 
book a Superior room. We were located on the 7th Floor and only noted one 
other couple in that part of the hotel. Unfortunately Saturday evening 
(10th November) we had torrential rain and so we decided to stay in the 
hotel for dinner. As apparently did several other residents. When we 
ordered our meal at the bar we were advised of a 30-40 minute wait. We were 
lucky as it seems that we did wait around 40 minutes, whereas others nearby 
had been waiting an hour and they were not served by the time we were. The 
hotel was obviously struggling under the strain of the extra guests staying 
in the hotel for dinner. We noted that what…Read moreDate of stay: November 
2018HelpfulShare</t>
  </si>
  <si>
    <t>Flyer40580502478 wrote a review Jun 20191 contribution</t>
  </si>
  <si>
    <t>https://www.tripadvisor.co.uk/Hotel_Review-g186338-d13569031-Reviews-or1065-Travelodge_London_City_hotel-London_England.html#REVIEWS</t>
  </si>
  <si>
    <t>Can’t recommendWe were treated like we were trying to steal breakfast whilst staying here. 
We paid for breakfast and then at breakfast we’re questioned about my 
daughters age. The staff went off on us like we were trying to pull one 
over on them. I told the person on the phone my daughters age and they 
asked if we wanted breakfast included. I paid for it out of convenience. I 
had no idea what I was charged or she etc so I was shocked when the lady 
went off on us. Poor service can’t recommendRead moreReview collected in 
partnership with TravelodgeDate of stay: June 2019HelpfulShareResponse from 
TravelodgeUK, Niki from The Social Media Team at Travelodge London Covent 
GardenResponded 16 Jun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</si>
  <si>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yolo y wrote a review Jun 20191 contribution</t>
  </si>
  <si>
    <t>Lesley B wrote a review Nov 20181 contribution</t>
  </si>
  <si>
    <t>Weekend break in LondonThe hotel was excellent, the staff very helpful and friendly. It's location 
could not be better, there are tube station a couple of minutes away that 
get you into the middle of things in minutes. Did not have breakfast but it 
looks value for money. The price is great for the location.Read moreReview 
collected in partnership with TravelodgeDate of stay: October 
2018HelpfulShare</t>
  </si>
  <si>
    <t>Review on travel lodgeThe hotel wasnt the best , there was a lot of blood stains everywhere on 
the matress , bathroom wall , toilet roll and shower curtains . And there 
were no locks on the bathroom door - that wasnt a major problem though . 
Generally it was okay .Read moreDate of stay: June 2019HelpfulShareResponse 
from TravelodgeUK, Niki from The Social Media Team at Travelodge London 
Covent GardenResponded 16 Jun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</si>
  <si>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travelchick-UK wrote a review Nov 2018Aldbrough St John, United Kingdom145 
contributions41 helpful votes</t>
  </si>
  <si>
    <t>https://www.tripadvisor.co.uk/Hotel_Review-g186338-d193057-Reviews-or995-Travelodge_London_Covent_Garden-London_England.html#REVIEWS</t>
  </si>
  <si>
    <t>Clean, basic, decent breakfastStayed for a work function. The hotel is located close to Aldgate and 
Liverpool street stations. The rooms are basic but clean and the bed was 
comfy.The bathroom was small but the shower was powerful. There was all in 
one shower gel/shampoo provided but I would take my own next time, I wasn't 
keen on the smell and wouldn't want to wash my hair with it. Conditioner 
wasn't provided. There is a bar that has a happy hour between 4-6pm and 
there are a wide selection of drinks included. Late food is also provided. 
Breakfast was pretty good, standard selection of cooked or cereal, fruit 
and yogurt. The sausages were tasty and at 8.30 it wasn't too 
overcrowded.Read moreDate of stay: November 2018HelpfulShare</t>
  </si>
  <si>
    <t>Becky wrote a review Jun 2019Bristol, United Kingdom83 contributions21 
helpful votes</t>
  </si>
  <si>
    <t>Jayne200047 wrote a review Nov 2018Suffolk, United Kingdom67 
contributions25 helpful votes</t>
  </si>
  <si>
    <t>Perfect for a quick stayWe stayed here for one a one night stop in London and it’s exactly what we 
needed. It’s in a good central location, close to tube stations. The room 
we had was big although it was the cheapest, it was clean and checking in 
and out was super easy. Would definitely stay againRead moreDate of stay: 
June 2019HelpfulShare</t>
  </si>
  <si>
    <t>LeonCamilleri wrote a review Jun 201975 contributions9 helpful votes</t>
  </si>
  <si>
    <t>Dirty roomJust after checking-in we noticed cobwebs on the wall on top of our bed 
which literally made us doubt if the room was ever even cleaned, and even 
wonder if the bedsheet and such were cleaned! We paid £460 for a 3 night 
stay. You don’t expect such thing for such high price. This is more than 
our 10th staying at the hotel, and definitely won’t be coming over again. 
Good job Travelodge, you’ve just lost some loyal customers.Read moreDate of 
stay: June 2019HelpfulShareResponse from TravelodgeUK, Tilly from The 
Social Media Team at Travelodge London Covent GardenResponded 18 Jun 
2019Thank you for submitting your review of our London Covent Garden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</si>
  <si>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Great hotel and locationReally good location for London sights and good bars and restaurants all 
around. Couple of quibbles. No phone in the room? But no reception contact 
number other than 0871? Had to go down to reception to ask for more covers 
as cold. When they bought them up we reported the kettle wasn't working and 
she said she'd bring one back but never did! No fan in the bathroom either 
which was strange and the shower wasn't great - would have been nicer to 
have an actual shower not one over a bath. Overall would stay again as it's 
a good price for central London for one night and bed was comfy just a 
couple of quibbles.Read moreDate of stay: November 2018HelpfulShare</t>
  </si>
  <si>
    <t>Sarah B wrote a review Jun 2019rossendale48 contributions6 helpful votes</t>
  </si>
  <si>
    <t>Cruiser58645492103 wrote a review Nov 20181 contribution</t>
  </si>
  <si>
    <t>excellent locationGreat location, comfortable beds, staff very pleasant. Hotel a little tired 
in areas but i expect it is very busy and well used. Breakfast good and 
plentiful. Staff very efficient in the dining room. Great location for 
theatre as just off Dury Lane. Would definitely use it again.Read 
moreReview collected in partnership with TravelodgeDate of stay: June 
2019HelpfulShare</t>
  </si>
  <si>
    <t>Fantastic service and great food!I could not recommend this travelodge strongly enough. Everything was just 
perfect! The service was fantastic as soon as we stepped into the building 
until we checked out. The food was great value and really tasty and we were 
thrilled with our room.Read moreReview collected in partnership with 
TravelodgeDate of stay: November 2018HelpfulShare</t>
  </si>
  <si>
    <t>Rhesuz wrote a review Jun 2019Nottingham, United Kingdom8 contributions7 
helpful votes</t>
  </si>
  <si>
    <t>https://www.tripadvisor.co.uk/Hotel_Review-g186338-d13569031-Reviews-or1070-Travelodge_London_City_hotel-London_England.html#REVIEWS</t>
  </si>
  <si>
    <t>Brilliant locationWe had a recent trip to London to visit the o2 for a concert. This hotel 
was a perfect location for bars restaurants and getting around London. It 
was clean and well maintained would definitely recommend it for future 
stays!Read moreReview collected in partnership with TravelodgeDate of stay: 
June 2019HelpfulShare</t>
  </si>
  <si>
    <t>https://www.tripadvisor.co.uk/Hotel_Review-g186338-d193057-Reviews-or1000-Travelodge_London_Covent_Garden-London_England.html#REVIEWS</t>
  </si>
  <si>
    <t>ARGeorge wrote a review Nov 2018York, United Kingdom16 contributions10 
helpful votes</t>
  </si>
  <si>
    <t>Fine StayEnjoyed a short break visiting family. Great base, easy access to tube, 
great local bars and restaurants The hotel is well serviced by polite staff 
this a quiet hotel Enjoyed the location can walk to Tower of London &amp; 
Museum of LondonRead moreDate of stay: November 2018HelpfulShare</t>
  </si>
  <si>
    <t>PJS6083 wrote a review Nov 2018Folkestone, United Kingdom27 contributions20 
helpful votes</t>
  </si>
  <si>
    <t>Excellent New HotelWe had a really great stay at this hotelThe staff were very pleasant and 
helpful. Lovely comfortable room.Good shower. Breakfast was high quality. 
Very pleasant surroundings to dine in. Would highly recommend.Read 
moreReview collected in partnership with this hotelDate of stay: November 
2018HelpfulShare</t>
  </si>
  <si>
    <t>Curious54626396655 wrote a review Jun 2019Nottinghamshire, United Kingdom1 
contribution</t>
  </si>
  <si>
    <t>primpops wrote a review Nov 2018York, United Kingdom268 contributions145 
helpful votes</t>
  </si>
  <si>
    <t>Geat StayHad a good stay, good location about 10 - 15 min walk from Holborn 
Underground. Plenty going on. Travelodge had great breakfast and evening 
meal option. Would stay again. Advise to get a street map before going.Read 
moreReview collected in partnership with TravelodgeDate of stay: June 
2019HelpfulShare</t>
  </si>
  <si>
    <t>Nigel P wrote a review Jun 2019Berkhamsted, United Kingdom1 contribution</t>
  </si>
  <si>
    <t>Excellent base to see LondonSpent two days here and couldn’t have been better. Walked from Kings Cross 
which took about an hour but we like to walk everywhere. Quick friendly 
check in, room very clean, compact and cosy. It’s a super location for 
Aldgate station and LS station but again we walked. Visited Spitalfields, 
Museum of London and Tower of London all within easy reach. Great breakfast 
cafe round the corner at Cafe Thyme as a good local pub The Bell just 50 
metres away if you don’t want to use hotel or it’s busy. Very quiet spot 
and only minor gripe was having to pay for WiFi. Should be included these 
days. Will definitely stay againRead moreDate of stay: November 
2018HelpfulShare</t>
  </si>
  <si>
    <t>Mark W wrote a review Nov 2018Birmingham, United Kingdom2 contributions1 
helpful vote</t>
  </si>
  <si>
    <t>Good location - shame about the building!Basic hotel that represents good value for money. Really well located and 
fairly clean and comfortable, just tired and noisey and needs some TLC. Our 
room was dark and cramped and there were stains on the carpetRead 
moreReview collected in partnership with TravelodgeDate of stay: May 
2019HelpfulShareResponse from TravelodgeUK, James from the Social Media 
Team at Travelodge London Covent GardenResponded 12 Jun 2019Thank you for 
reviewing our Travelodge London Covent Garden Hotel. We're pleased to hear 
you were happy with the value of the hotel during your stay as well as the 
location and cleanliness of the hotel although we are sorry to hear of the 
noise experienced. Please rest assured the hotel managers check Tripadvisor 
reviews of their hotels so your comments will be reviewed by the hotel's 
team. Thank you again for leaving this review and we do hope that you 
choose to stay with us again in the future.Read more</t>
  </si>
  <si>
    <t>Trip to londonBooked into Travelodge after finding the hotel we booked elsewhere was not 
what we wanted. We cancelled and rang Travelodge.they found us a hotel 
quickly and close to where we wanted to stay .it's a new hotel and is very 
spotless as you would expect.Read moreReview collected in partnership with 
this hotelDate of stay: November 2018HelpfulShare</t>
  </si>
  <si>
    <t>https://www.tripadvisor.co.uk/Hotel_Review-g186338-d193057-Reviews-or1005-Travelodge_London_Covent_Garden-London_England.html#REVIEWS</t>
  </si>
  <si>
    <t>https://www.tripadvisor.co.uk/Hotel_Review-g186338-d13569031-Reviews-or1075-Travelodge_London_City_hotel-London_England.html#REVIEWS</t>
  </si>
  <si>
    <t>marriedcouple32 wrote a review Jun 2019Northampton, United Kingdom120 
contributions46 helpful votes</t>
  </si>
  <si>
    <t>Fearless78401 wrote a review Nov 20181 contribution</t>
  </si>
  <si>
    <t>Perfect again...This was my second visit this year. Great budget hotel in perfect 
location...took my Grand daughter to see School of Rock...a 30 metre walk 
from the hotel.. easy access to Covent Garden and Holborn tube stations. 
Super friendly staff, super clean rooms and an excellent breakfast. Highly 
recommended budget hotel.Read moreDate of stay: June 2019HelpfulShare</t>
  </si>
  <si>
    <t>Super comfy and good locationExcellent location near to Aldwych Underground, and only a 10 minute walk 
to Liverpool Street Main Line Station.Super comfy beds. Ideal for exploring 
Shoreditch - Petticoat Lane Market is alongside too - and access to central 
London is easy.Read moreReview collected in partnership with TravelodgeDate 
of stay: November 2018HelpfulShare</t>
  </si>
  <si>
    <t>FrequentFlier85710 wrote a review Jun 2019Sydney, Australia1 contribution</t>
  </si>
  <si>
    <t>cesca3004 wrote a review Nov 201812 contributions4 helpful votes</t>
  </si>
  <si>
    <t>Would have been higher except for Fire AlarmStayed 3 nights from 26th May, 2019. Room was large &amp; clean with a 
comfortable bed. I enjoyed my stay except for one thing. The Fire Alarm. On 
the first night, it kept on going off intermittently all night, pretty much 
on an hourly basis. Hard to sleep with so many interruptions. Finally, at 
4:24am it went off &amp; didn’t stop. We were all evacuated &amp; had to wait 
outside in the cold for over an hour. Not a pleasant experience, especially 
when it was a false alarm. They did supply a full refund for the night in 
question, but it wasn’t a great start to my holiday.Read moreReview 
collected in partnership with this hotelDate of stay: May 2019HelpfulShare</t>
  </si>
  <si>
    <t>Pleasant visit, would stay again!Stayed here 2nd November 2018 for one night. Arrived early evening, checked 
in by staff efficiently and easily. They did not have a hairdryer available 
at the time, however one was given to us in the morning. Room was lovely 
and clean, bed comfortable, only issue was opening the curtains in the 
morning to an office building directly across but that wasn't really an 
issue. Drinks were reasonably priced for London and breakfast the next 
morning was good but service a bit slow on restocking food items at the 
buffet and providing glasses etc. We were able to store out luggage at the 
hotel all day which was very handy as we did some tourist sightseeing 
around London.Read moreDate of stay: November 2018HelpfulShare</t>
  </si>
  <si>
    <t>Sade wrote a review Jun 2019Birmingham, United Kingdom2 contributions</t>
  </si>
  <si>
    <t>James M wrote a review Nov 2018Burnley, United Kingdom5 contributions3 
helpful votes</t>
  </si>
  <si>
    <t>Great Location, value for money with fab breakfastNo faults. Great location, speedy check in, longer check out times. 
Friendly, happy receptionists. Fab breakfast, offering organic yogurts &amp; 
organic soya milk alternatives. Hot, easy to use powerful shower. Clean, 
basic rooms. Plenty of room in hotel with lounging area.Read moreReview 
collected in partnership with TravelodgeDate of stay: June 2019HelpfulShare</t>
  </si>
  <si>
    <t>FussyEater83 wrote a review Jun 2019153 contributions86 helpful votes</t>
  </si>
  <si>
    <t>Nice Hotel, Excellent valueExcellent location, nice friendly staff, easy check in &amp; out process and 
clean, modern rooms serviced every day.I have been to Travellodge before 
and had some fairly poor experiences. Always seemed like a lower quality 
alternative to other chains. However not only was this hotel significantly 
cheaper than some similar hotels further form the centre, it was also of a 
very good standard. Travellodge have upped their game. Only 1 minor grumble 
- wifi is EXPECTED as a standard service in 2018Read moreReview collected 
in partnership with TravelodgeDate of stay: November 2018HelpfulShare</t>
  </si>
  <si>
    <t>johncocker7 wrote a review Nov 2018Menorca, Spain17 contributions6 helpful 
votes</t>
  </si>
  <si>
    <t>Weekend BreakHad a great stay here with my brother over the weekend. Our first time in 
this new hotel and will definitely return. Quiet rooms, friendly staff, 24 
hour bar and a restaurant if required. It is a good location to all the 
areas of interest.Read moreDate of stay: November 2018HelpfulShare</t>
  </si>
  <si>
    <t>https://www.tripadvisor.co.uk/Hotel_Review-g186338-d13569031-Reviews-or1080-Travelodge_London_City_hotel-London_England.html#REVIEWS</t>
  </si>
  <si>
    <t>ian m wrote a review Nov 2018Norwich, United Kingdom23 contributions17 
helpful votes</t>
  </si>
  <si>
    <t>Checking in issueNot the best start when trying to check in. We arrived at 2.30 (check in 
was at 3pm) &amp; instead of being acknowledged we were left standing, waiting 
to get someone’s attention- the staff seemed too busy chatting amongst 
themselves &amp; 1 was showing the other something on her mobile phone. When we 
finally did get someone’s attention (all 3 of them were apparently dealing 
with another customer) we were asked if we had early check in - which we 
didn’t &amp; told that we weren’t allowed to check in &amp; had to wait until 
3pm-fair enough. We go away often &amp; stay in many hotels &amp; this was the 
first time we were told we were unable to check in early. We then waited 5 
minutes &amp; decided to go to the other Travelodge hotel- across the road &amp; 
the lady there was much more helpful &amp; actually…Read moreDate of stay: June 
2019HelpfulShareResponse from TravelodgeUK, Shaf from the Social Media 
Team. at Travelodge London Covent GardenResponded 11 Jun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</si>
  <si>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first time but not the lastmost travelodges are of similar set ups. you get exactly what you pay for 
and obviously what there website advertises ( for those who put stupid 
reviews on here after there stay. ) I knew what I was getting and 
......well got it .!! if you read the description first and its for you 
then I don't need to explain anything.! im going back there in 2 weeks 
time.Read moreReview collected in partnership with TravelodgeDate of stay: 
November 2018HelpfulShare</t>
  </si>
  <si>
    <t>Sightseer688529 wrote a review Nov 20181 contribution</t>
  </si>
  <si>
    <t>https://www.tripadvisor.co.uk/Hotel_Review-g186338-d193057-Reviews-or1010-Travelodge_London_Covent_Garden-London_England.html#REVIEWS</t>
  </si>
  <si>
    <t>one night perfect locationwe arrived early and were allowed to book in as soon as the room was ready 
1hr before schedule. Very comfortable and within walking distance of all 
East London's attractions and great pubs.I will visit again and stay 
here.Read moreReview collected in partnership with TravelodgeDate of stay: 
November 2018HelpfulShare</t>
  </si>
  <si>
    <t>Trail38117231073 wrote a review Nov 2018Hlohovec, Slovakia1 contribution</t>
  </si>
  <si>
    <t>Nice hotel and good locationGreat location, close to tube station, 8 min. to Liverpool Street Station. 
Staff is friendly and helpful. Rooms are nice and clean. Standard check-in 
is from 3pm but you can leave a luggage in the hotel luggage room and go to 
the city. I recommend and will definitely come back again.Read moreReview 
collected in partnership with TravelodgeDate of stay: November 
2018HelpfulShare</t>
  </si>
  <si>
    <t>CheshireWoody wrote a review Nov 2018Macclesfield, United Kingdom129 
contributions25 helpful votes</t>
  </si>
  <si>
    <t>Great hotelStayed here for 2 nights with a couple of mates, had a great room on the 
ground floor very spacious for the 3 of us. Lovely and clean, friendly 
staff and a 24hr bar, what more could you ask for! Will return if I visit 
London in the future.Read moreDate of stay: November 2018HelpfulShare</t>
  </si>
  <si>
    <t>Joanna B wrote a review Jun 2019Kent, United Kingdom383 contributions64 
helpful votes</t>
  </si>
  <si>
    <t>Venture561004 wrote a review Nov 20182 contributions1 helpful vote</t>
  </si>
  <si>
    <t>City breakStayed here for one evening and have to say this hotel is all you could 
possibly ask for, I have stayed in some "boutique" hotels in London for a 
lot more money and been totally let down this is not the case here. Clean 
tidy quiet and welcoming.Read moreReview collected in partnership with 
TravelodgeDate of stay: November 2018HelpfulShare</t>
  </si>
  <si>
    <t>Hen partyThe hotel looks a bit bleak on the outside but once inside it is light and 
airy. Please note they do not have hair dryers! The breakfast we paid for 
was really tasty. I would stay here again. The checking in was pretty easy 
and they will hold onto baggage if you arrive early.Read moreDate of stay: 
June 2019HelpfulShare</t>
  </si>
  <si>
    <t>Trail37435656808 wrote a review Jun 2019Newbury, United Kingdom1 
contribution</t>
  </si>
  <si>
    <t>https://www.tripadvisor.co.uk/Hotel_Review-g186338-d13569031-Reviews-or1085-Travelodge_London_City_hotel-London_England.html#REVIEWS</t>
  </si>
  <si>
    <t>Ideal for Covent Garden and theatre land,Have a lovely few days here. It was perfect for our needs. The staff were 
lovely. The rooms clean and pleasant. The show was great. Breakfast was 
good. What more can I say? It is asking for 200 characters!Read moreReview 
collected in partnership with TravelodgeDate of stay: June 2019HelpfulShare</t>
  </si>
  <si>
    <t>https://www.tripadvisor.co.uk/Hotel_Review-g186338-d1812157-Reviews-or165</t>
  </si>
  <si>
    <t>https://www.tripadvisor.co.uk/Hotel_Review-g186338-d193057-Reviews-or1015-Travelodge_London_Covent_Garden-London_England.html#REVIEWS</t>
  </si>
  <si>
    <t>Jetaimesher wrote a review Jun 2019Greater London, United Kingdom3 
contributions</t>
  </si>
  <si>
    <t>NorthStar38835770787 wrote a review Nov 20181 contribution</t>
  </si>
  <si>
    <t>Fantastic location and value for money!I stayed here for one night and I was fantastic! The front desk staff were 
very professional and courteous and I was very impressed by Betina at 
reception and Dharma the manager who went above and beyond to ensure that 
my stay was worth my while.Read moreReview collected in partnership with 
this hotelDate of stay: May 2019HelpfulShare</t>
  </si>
  <si>
    <t>Shocking threatening staffThe staff have no knowledge what so ever on what customer service means, 
the bar staff were rude, was made to feel intimidated and threatened.! 
Lovely hotel but shocking staff....would never stay againRead moreReview 
collected in partnership with TravelodgeDate of stay: November 
2018HelpfulShareResponse from TravelodgeUK, Molly from the Social Media 
Team at Travelodge London City hotelResponded 6 Nov 2018Thank you for 
submitting your review. We are sorry to learn of your disappointment 
following your recent stay with us. We hope to extend a welcoming service 
to all of our guests,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</si>
  <si>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Trek13079635209 wrote a review Jun 20191 contribution</t>
  </si>
  <si>
    <t>FantasticThis hotel has a great location, just 10 minute walk to the shopping centre 
and theatres. The check in was very speedy and staff were extremely helpful 
and polite. The room exceeded expectations and would definitely stay here 
again.Read moreReview collected in partnership with TravelodgeDate of stay: 
June 2019HelpfulShare</t>
  </si>
  <si>
    <t>Excursion25063059781 wrote a review Nov 2018Eastbourne, United Kingdom1 
contribution</t>
  </si>
  <si>
    <t>Amanda N wrote a review Jun 2019Pontefract, United Kingdom4 contributions</t>
  </si>
  <si>
    <t>Excellent StayEverything was 1st class from the moment of arrival to leaving. Staff all 
very friendly and efficient.Excellent breakfast and dining room very clean. 
The bedroom was very functional, clean and comfortable.Read moreReview 
collected in partnership with TravelodgeDate of stay: November 
2018HelpfulShare</t>
  </si>
  <si>
    <t>Great location, good value for moneyYou cant beat this hotel if you are looking for a hotel close to the 
theatres, covent garden, oxford street. We walked from Kings Cross station 
to the hotel - 25 mins nice walk. The standard of the rooms are nice, 
breakfasts are good value. no negative comments.Read moreReview collected 
in partnership with this hotelDate of stay: May 2019HelpfulShare</t>
  </si>
  <si>
    <t>https://www.tripadvisor.co.uk/Hotel_Review-g186338-d13569031-Reviews-or1090-Travelodge_London_City_hotel-London_England.html#REVIEWS</t>
  </si>
  <si>
    <t>Tedfeather wrote a review Jun 2019Buntingford, United Kingdom216 
contributions69 helpful votes</t>
  </si>
  <si>
    <t>MCutliffe wrote a review Nov 2018Swansea, United Kingdom11 contributions2 
helpful votes</t>
  </si>
  <si>
    <t>Good location for this part of London. 10 minutes from tubeAgain does what it says on the tin. Café/bar is reasonable and breakfast 
good. Staff friendly but is a bit of a warren for a place. Large hotel with 
2 parts so expect to walk to rooms. To be expected, the rooms are standard, 
clean and comfortable.Read moreDate of stay: June 2019HelpfulShare</t>
  </si>
  <si>
    <t>Excellent HotelBooked this hotel at the beginning of the year without any reviews and then 
booked it again for next month.....Did I do the right thing? Yes I did! 
Perfect location, tube around the corner, Sky Garden and Gherkin within 
5/10 minutes....Room was on the ground floor which I thought maybe noisy 
but it was very quiet indeed....would say I would definitely stay again, 
but I already am....Excellent!!!!Read moreDate of stay: November 20181 
Helpful voteHelpfulShare</t>
  </si>
  <si>
    <t>PWutt wrote a review Jun 20193 contributions</t>
  </si>
  <si>
    <t>Daydream24426316702 wrote a review Nov 2018Preston, United Kingdom1 
contribution</t>
  </si>
  <si>
    <t>My first Travel Lodge experience!We do not usually stay in Travel Lodges but this one was a pleasant 
surprise. We chose it because of the location &amp; price - still expensive but 
not as extortionate as other London hotels in the vicinity.Read moreReview 
collected in partnership with TravelodgeDate of stay: June 2019HelpfulShare</t>
  </si>
  <si>
    <t>City breakEnjoyed a lovely stay here staff very welcoming and helpful always smiling 
nothing was problem, good food and range on the menu good wine too , cooked 
breakfast perfect and fresh fruit and excellent coffee, fresh towels and 
room cleaned up daily , definitely will be staying againRead moreReview 
collected in partnership with this hotelDate of stay: October 
2018HelpfulShare</t>
  </si>
  <si>
    <t>https://www.tripadvisor.co.uk/Hotel_Review-g186338-d193057-Reviews-or1020-Travelodge_London_Covent_Garden-London_England.html#REVIEWS</t>
  </si>
  <si>
    <t>AttitudeAdjuster wrote a review Jun 2019Gillingham, United Kingdom792 
contributions294 helpful votes</t>
  </si>
  <si>
    <t>PaulT73 wrote a review Nov 2018London428 contributions222 helpful votes</t>
  </si>
  <si>
    <t>A Good Place To StayI work just round the corner and needed a hotel to stay near the office and 
this place ticked all the boxes - particularly price ( I really hope it 
stays that way). Great location, very modern, good rooms, a little compact 
with no closed in wardrobe but perfect for a one or two night stay, I doubt 
you would be comfortable doing more than that. Excellent bed and sleep 
quality and really really good staff. We regularly have clients and 
colleagues needing a stay in the City and I have and will recommend this 
hotel to them.Read moreDate of stay: November 2018HelpfulShare</t>
  </si>
  <si>
    <t>Not the best but not the worst eitherWanted somewhere close to Soho as we had a late night out planned. The 
hotel isn't that close, tucked away on Drury Lane but fine once you got 
your bearings. Arriving before 12 we put our luggage in storage and went 
off exploring. We asked for 2 rooms next to each other and both the 
receptionist and I thought that's what we got with 502 and 504 - in fact 
they were next door but one so no real problem. I slept OK though I 
struggled with my air-con on this very hot weekend. The other room felt 
much more comfortable. Usual rubbish shower, minimal pressure when you're 
in it but enough to flood the bathroom floor. We stayed until 12 the next 
day when the very smiley cleaner came knocking just as I was about to 
leave. One of the lifts was out of order most, if not all of the time…Read 
moreDate of stay: June 2019HelpfulShareResponse from TravelodgeUK, Molly 
from the Social Media Team at Travelodge London Covent GardenResponded 9 
Jun 2019Thank you for your review. We are sorry to hear that the room 
temperature affected your stay with us. We strive to make our customers as 
comfortable as possible; fans are offered to our guests and we are taking 
other measures in attempt to keep the rooms as cool as possible during the 
summer months. However, we apologise if these measures were not enough to 
guarantee a good night's stay for you. We are also sorry to learn that the 
lift was out of order during your stay and you were disappointed with the 
shower, we will pass your feedback on to the relevant team. Thank you again 
for your comments, we hope to welcome you back to stay with us again in the 
near future, where we will endeavour to restore your faith in 
Travelodge.Read more</t>
  </si>
  <si>
    <t>suty1 wrote a review Oct 201821 contributions20 helpful votes</t>
  </si>
  <si>
    <t>Julie wrote a review Jun 2019Ashburn, Virginia2 contributions</t>
  </si>
  <si>
    <t>would have been 5* for room/hotel alonelocation was great, can walk to lots of attractions tower of london/bridge, 
monument, st pauls etc rather than using tube (which is 2mins walk). rooms 
comfortable and location quiet! breakfast was good but evening meals not 
great (wrong food brought out and some basically awful), only booked meal 
deal as travelling with young child and didn't know area. There are a 
couple of restuarants outside hotel that have great reviews, that i would 
definitely use if we stayed again (indian/italian/tapas). we would stay 
again but wouldn't use evening meal option, staff were friendly and 
helpful, but evening food really lets it down!Read moreDate of stay: 
October 2018HelpfulShare</t>
  </si>
  <si>
    <t>Acceptable stay ruined by fire alarmWe knew it was a budget hotel and booked for it's great location for 
central London so did not have high expectations. We arrived earlier than 
3pm check in time and wanted to use the left luggage facility. Reception 
was busy but additional staff were soon called in and were efficient at 
shortening the queue by inquiring each patron the reason they’re in queue. 
We were directed to left luggage area soon after. When we arrived back for 
check in later at night there was a downpour and the receptionist was 
proactive in changing our room to one in the same building so we did not 
have to walk outside to the second building. We were not informed earlier 
that left luggage closed at 6pm but the receptionist was again very helpful 
and retrieved our bags soon as her colleague returned. …Read moreReview 
collected in partnership with TravelodgeDate of stay: May 
2019HelpfulShareResponse from TravelodgeUK, Molly from the Social Media 
Team at Travelodge London Covent GardenResponded 6 Jun 2019Thank you for 
your review. We are pleased to hear that your stay was enhanced by the 
location of the Hotel. We do apologise for any delays during the check in 
time however we are pleased to hear that you found the Reception Team to be 
efficient in managing this busy period. We are also pleased to note that 
your room was clean and tidy, however do apologise if you felt it looked 
dated. We will note this with the relevant teams. We are very sorry to hear 
that your stay was disrupted by a fire alarm and evacuation. Thank you for 
your feedback in regards to how this was handled and how we can improve the 
service we offer. We will certainly take your comments on board. Thanks 
again for taking the time to submit your review, we hope to welcome you 
back to stay with us again in the near future.Read more</t>
  </si>
  <si>
    <t>https://www.tripadvisor.co.uk/Hotel_Review-g186338-d13569031-Reviews-or1095-Travelodge_London_City_hotel-London_England.html#REVIEWS</t>
  </si>
  <si>
    <t>Behringer1 wrote a review Jun 2019Liverpool, United Kingdom45 
contributions59 helpful votes</t>
  </si>
  <si>
    <t>Conroy C wrote a review Oct 2018Northampton, United Kingdom9 contributions4 
helpful votes</t>
  </si>
  <si>
    <t>Not up to the high standards of TravelodgeI stay in many Travelodges around the UK for both business and leisure. In 
the last 5 years I think they have really upped their game for good 
service, comfort and value. This place seems to have lost its way badly in 
terms of customer service and quality of experience. I barely got 5 words 
spoken to me at check in, during which time the highly strung manager 
thought it was okay to speak over customers checking in to his staff about 
other tasks he wanted, ignoring the fact paying customers were checking in, 
trying to get information etc He was just rude! From the poor welcome I 
went to the lifts or rather "lift" as one was permanently out of order, in 
a 9 floor hotel with 100s of rooms. I waited 5 minutes for a lift, which 
was crushingly full. And had to avoid it for the…Read moreDate of stay: May 
2019HelpfulShareResponse from TravelodgeUK, Ben from the Social Media Team 
at Travelodge London Covent GardenResponded 6 Jun 2019Thank you for taking 
the time to share your experience of your stay at our London Covent Garden 
Travelodge with us. We're sorry to hear of your disappointment with the 
service provided by the hotel team and problems with the facilities in the 
hotel. It’s really important to us that our teams provide a fantastic 
service to our guests and remain professional at all times so we are sorry 
to learn that you feel this was not the case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</si>
  <si>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London breakIn comparison to the many hotels in London we found this one good value for 
money, a good location to travel to the main attractions to visit in the 
capital. The rooms were comfortable,the staff very he!pful and the 
breakfast really set us up for the day. My wife noticed that the room 
did'nt come with a hairdryer-maybe we should have gone for an upgrade but 
the difference in the cost of upgrade we thought rather expensive for just 
a few additional items.Read moreReview collected in partnership with this 
hotelDate of stay: October 2018HelpfulShare</t>
  </si>
  <si>
    <t>David P wrote a review Jun 2019Barnsley, United Kingdom17 contributions4 
helpful votes</t>
  </si>
  <si>
    <t>Well situatedA good starting point for seeing London's sites.Not far from Euston,King's 
Cross and St Pancras. Plenty of places to eat or drink in the surrounding 
area. Good basic accommodation. We will stay there again.Read moreReview 
collected in partnership with this hotelDate of stay: June 2019HelpfulShare</t>
  </si>
  <si>
    <t>https://www.tripadvisor.co.uk/Hotel_Review-g186338-d193057-Reviews-or1025-Travelodge_London_Covent_Garden-London_England.html#REVIEWS</t>
  </si>
  <si>
    <t>kelvinb435 wrote a review Oct 2018Sutton-in-ashfield2 contributions</t>
  </si>
  <si>
    <t>Andy330 wrote a review Jun 2019Exeter, United Kingdom3 contributions</t>
  </si>
  <si>
    <t>Covent Garden TravelodgeReally Good location, room well serviced. Only one lift working which 
irritated and led to queues to the point where we had repeated 
conversations with other quests about waiting times. shower gel 
industrialRead moreReview collected in partnership with TravelodgeDate of 
stay: June 2019HelpfulShare</t>
  </si>
  <si>
    <t>Great hotelWow, this hotel was great for the family. Very clean and well run. All 
staff were very professional and had a smile on their faces and made me 
very welcome. Nothing is too much trouble for them. Beds VERY comfortable. 
Location is great, very near 2 tube stations and bus routes. Very near 
Towar of London and lots more to see and do. I definately will stay there 
again no matter what purpose my trip to London is for. Easy access to 
everywhere.Read moreReview collected in partnership with TravelodgeDate of 
stay: October 2018HelpfulShare</t>
  </si>
  <si>
    <t>Rajesh S wrote a review Jun 2019Birmingham, United Kingdom61 contributions5 
helpful votes</t>
  </si>
  <si>
    <t>LH3275 wrote a review Oct 2018Merthyr Tydfil, United Kingdom1 contribution</t>
  </si>
  <si>
    <t>Looks like the property is spoilt in 3-4 years. Great locationsI had visited the same property couple of times in 2014/15, that time it 
was a fresh place. This time I was with my family for a holiday i realised 
it was not the most optimum for family, nevertheless I went for it as I 
knew it was well kept. Unfortunately, it was a disappointment. They first 
put me the hotel across the road by the same name. The carpets were not 
clean, so were the bed and bathrooms. The best part of this place is the 
location. 2 minutes to Covent garden shopping area and 5 mins to Covent 
garden. You can go walking to high street if you are used to long walks. 
All in all this time the hotel disappointed me.Read moreDate of stay: 
November 2018HelpfulShare</t>
  </si>
  <si>
    <t>Good base for London stayWould definitely stay here again. Really clean and modern hotel. 3 adults 
and one child stayed in family room and didn’t feel cramped. Very friendly 
staff too. Would recommend as a base to stay for visit to London.Read 
moreReview collected in partnership with TravelodgeDate of stay: October 
2018HelpfulShare</t>
  </si>
  <si>
    <t>vicksC88 wrote a review Jun 20197 contributions2 helpful votes</t>
  </si>
  <si>
    <t>Great locationStayed here for my son's birthday trip with my sister and niece. Decent 
family room in a great location for exploring London! Only down side was 
once we found the hotel from the tube station we were then sent to another 
building to find our room. Not ideal in the rain with 2 kids and suitcases. 
Wouldn't put me off booking again.Read moreDate of stay: February 
2019HelpfulShare</t>
  </si>
  <si>
    <t>imreh_zoltan wrote a review Jun 2019Warsaw, Poland2 contributions</t>
  </si>
  <si>
    <t>https://www.tripadvisor.co.uk/Hotel_Review-g186338-d13569031-Reviews-or1100-Travelodge_London_City_hotel-London_England.html#REVIEWS</t>
  </si>
  <si>
    <t>City breakWe have spent 4 nights while being on a city break. The location is very 
good, close to everything that one would like to see in central London. 
Rooms are ok and clean,but the look and feel of the hotel is rather old, 
would defenately need a refreshment.Read moreReview collected in 
partnership with TravelodgeDate of stay: May 2019HelpfulShare</t>
  </si>
  <si>
    <t>Sarah W wrote a review Jun 20197 contributions16 helpful votes</t>
  </si>
  <si>
    <t>ge0rge0usge0rge wrote a review Oct 2018Oxford, United Kingdom2 contributions</t>
  </si>
  <si>
    <t>DisappointingI’ve held off writing this review as I was going to give Travelodge a 
chance. Stayed over the bank holiday weekend, nice hotel, convenient 
location, nice room, comfortable bed. The fire alarm went off a silly 
o’clock and the whole hotel had to be evacuated, no problem, it happens. 
They promised to refund everyone for the inconvenience. Sad to say I’m 
still waiting. I’ve rang them and spoken to the manager many times, been 
giving different stories about when I’m getting my refund many times, been 
promised someone would ring me back, they never did. I’ve now lodged an 
official complaint with Travelodge and I’ve put in a dispute with PayPal as 
that’s how I paid. I was told Monday my money was being processed, I was 
told Tuesday it would be with me by Thursday, I was told…Read moreDate of 
stay: May 20191 Helpful voteHelpfulShareResponse from TravelodgeUK, Tilly 
from The Social Media Team at Travelodge London Covent GardenResponded 5 
Jun 2019Thank you for taking the time to write a review with regards to our 
London Covent Garden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</si>
  <si>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great sayvery good hotel; brand new really. would recommend. no problems at all. 
easy to get around London.easy check in. easy check out. Left luggage with 
them on leaving day whilst you spent the day in London.Read moreReview 
collected in partnership with TravelodgeDate of stay: October 
2018HelpfulShare</t>
  </si>
  <si>
    <t>https://www.tripadvisor.co.uk/Hotel_Review-g186338-d193057-Reviews-or1030-Travelodge_London_Covent_Garden-London_England.html#REVIEWS</t>
  </si>
  <si>
    <t>Mlh wrote a review Oct 2018Berkshire, United Kingdom18 contributions3 
helpful votes</t>
  </si>
  <si>
    <t>Ian T wrote a review Jun 2019Barnsley, United Kingdom26 contributions11 
helpful votes</t>
  </si>
  <si>
    <t>Great stayGood location close to tube station, new hotel so room was lovely and 
clean, comfy beds and pillows and powerful shower! All staff were very 
friendly and helpful! Downstairs restaurant was very nice and modernRead 
moreReview collected in partnership with TravelodgeDate of stay: October 
2018HelpfulShare</t>
  </si>
  <si>
    <t>Close to the excitement!Picked this hotel because it was closest to Covent Garden and Leicester 
Square, and in fact is only about a brisk 10 minute walk from the latter! 
Despite this, the hotel is in a relatively peaceful area. Overall, the 
hotel is in good shape and well maintained, although the rooms are on the 
small side (although probably not for that price in central London). The 
rooms were also fairly warm, but it was 28° outside!). The best thing 
really is the location, though. Yes, it's close to Leicester Square, but 
it's the range of small cafés, restaurants and independent shops in the 
area, as well as plenty of pubs selling crafts beer, that would make me use 
this hotel again. If you go, make sure you also wander around the area 
too.Read moreReview collected in partnership with TravelodgeDate of stay: 
June 2019HelpfulShare</t>
  </si>
  <si>
    <t>Carmel B wrote a review Jun 20194 contributions</t>
  </si>
  <si>
    <t>Carley O wrote a review Oct 2018Essex, UK159 contributions53 helpful votes</t>
  </si>
  <si>
    <t>Lovely hotelRoom was super big and comfortable (12 floor), service was excellent, quick 
and easy check in and check out, quite hotel, and we even got pizza on 
00:30 am when nothing was open outside Notice that there is only 30 minutes 
a day of wi-fiRead moreDate of stay: May 2019HelpfulShare</t>
  </si>
  <si>
    <t>Happiness10740982234 wrote a review Jun 20191 contribution</t>
  </si>
  <si>
    <t>Clean, affordable and great locationStayed for a night during a night out, 3 adults in a family room, we had 2 
camp beds and the double bed, plenty of towels and hotel is new and fresh, 
still smells of fresh carpet, a pleasant surprise was that we couldn't hear 
other guests once we were in our room. Borrowed an iron, breakfast was very 
busy but tasted greatRead moreDate of stay: October 2018HelpfulShare</t>
  </si>
  <si>
    <t>Family Trip to LondonA great location on Dury Lane but a very basic Hotel, no extra furnature in 
the room to store your clothes, the sound on the TV in the bar did not 
work, expensive food and drink. The staff in the bar prefered to stack 
glasses rather than serve when it was busy.Read moreReview collected in 
partnership with TravelodgeDate of stay: May 2019HelpfulShareResponse from 
TravelodgeUK, James from the Social Media Team at Travelodge London Covent 
GardenResponded 5 Jun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</si>
  <si>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AvrilGreig wrote a review Oct 2018Bath, United Kingdom42 contributions23 
helpful votes</t>
  </si>
  <si>
    <t>Chris R wrote a review Jun 20192 contributions3 helpful votes</t>
  </si>
  <si>
    <t>Great Location, great hotelWe really enjoyed our stay at the Travelodge London Covent Garden hotel. 
The hotel is in a great location, the staff is very friendly and the rooms 
are clean. They had everything we needed for our stay in London.Read 
moreReview collected in partnership with this hotelDate of stay: May 
2019HelpfulShare</t>
  </si>
  <si>
    <t>Comfortable, clean and convenientThis is a very new hotel and still very clean and tidy. The standard room 
was small but comfortable. I have never stayed in a Travelodge before, but 
did so for reasons of economy. I didn’t particularly like the moulded 
bathroom, with the small shower cubicle having a curtain, but it was 
perfectly functional. I would probably choose the room upgrade next time, 
budget permitting.Read moreReview collected in partnership with 
TravelodgeDate of stay: October 2018HelpfulShare</t>
  </si>
  <si>
    <t>eastysj wrote a review Jun 201910 contributions4 helpful votes</t>
  </si>
  <si>
    <t>Wakefieldwanderer04 wrote a review Oct 2018Wakefield, United Kingdom6 
contributions6 helpful votes</t>
  </si>
  <si>
    <t>What more could you wantWe had a very comfortable stay here although the fire alarm went off during 
the night this was dealt with in the most professional way and the staff 
the next day could not be more apologetic. Rooms were clean and suited all 
our needs for 2 night stay breakfast was fab value for money doesn't come 
close travelodge are amazing for the moneyRead moreReview collected in 
partnership with this hotelDate of stay: May 2019HelpfulShare</t>
  </si>
  <si>
    <t>The perfect economical hotel in LondonEverything about this hotel was perfect. It is perfectly clean, the beds 
are comfortable, the staff are very welcoming, the food is amazing value 
and it is 3 minutes walk from two tube stations to access the whole of 
London. Easy walking distance to many sights including Brick Lane, Tower of 
London.Read moreReview collected in partnership with TravelodgeDate of 
stay: October 2018HelpfulShare</t>
  </si>
  <si>
    <t>https://www.tripadvisor.co.uk/Hotel_Review-g186338-d193057-Reviews-or1035-Travelodge_London_Covent_Garden-London_England.html#REVIEWS</t>
  </si>
  <si>
    <t>https://www.tripadvisor.co.uk/Hotel_Review-g186338-d13569031-Reviews-or1105-Travelodge_London_City_hotel-London_England.html#REVIEWS</t>
  </si>
  <si>
    <t>Meander61687239266 wrote a review Jun 2019London, United Kingdom1 
contribution</t>
  </si>
  <si>
    <t>oana06 wrote a review Oct 20182 contributions</t>
  </si>
  <si>
    <t>Travelodge Covent GardenA pleasant one-night stay, only slightly let down by the noise from the 
air-conditioning, the hard pillows and creaking bed. The room was clean and 
fresh. The bathroom was also clean, but surprisingly we only had one towel! 
Just as well we had brought our own.Read moreReview collected in 
partnership with TravelodgeDate of stay: May 2019HelpfulShare</t>
  </si>
  <si>
    <t>Affordable , great place for a good night sleep.Room big enough for two or a family with children. Bed were comfortable. 
You could set the heating if too hot or cold. Tea and coffee facilities In 
the room. If you need WiFi you can pay when book or via mobile.This time we 
didn't try the food but from personal experience the food is always 
good.Read moreReview collected in partnership with TravelodgeDate of stay: 
October 2018HelpfulShare</t>
  </si>
  <si>
    <t>dappies wrote a review Oct 2018Newcastle upon Tyne, England, United 
Kingdom26 contributions15 helpful votes</t>
  </si>
  <si>
    <t>A fantastic tripWe stayed here over a weekend and it was the best Travelodge we have stayed 
at. The staff were fantastic very friendly and helpful especially Alan and 
the reception staff. I will definitely be returning. Nothing was a trouble 
all weekend.Read moreDate of stay: October 2018HelpfulShare</t>
  </si>
  <si>
    <t>Chris A wrote a review Oct 2018manchester94 contributions25 helpful votes</t>
  </si>
  <si>
    <t>What a stealWe normally visit London on a day trip, but it was because the hotel was so 
cheap that we decided to turn it into a two-night trip. I was aware it was 
reduced to draw the crowds in because it was a brand new property - only 
opened a couple of months before our visit. It was a beautiful property, 
obviously brand new, but the rooms were well laid out and the downstairs 
area welcoming and smart. The staff were ok, could be a little friendlier 
but appreciate interactions are pretty limited at a hotel of this type. My 
only tiny gripe is the shower curtain. Why Travelodge-? Brand new property 
and you picked shower curtains to save money. The shower is compact, the 
curtain makes it feel smaller - just invest in a small cantilever door, 
it’s cleaner and it’ll stand the test of time…Read moreDate of stay: 
October 2018HelpfulShare</t>
  </si>
  <si>
    <t>hazeldonkin wrote a review Oct 2018Newcastle upon Tyne, United Kingdom1 
contribution</t>
  </si>
  <si>
    <t>Faultless stayThe is quite a new hotel and so everything is good, it is well maintained 
too. Staff are friendly. It is in a perfect location, central, near a main 
road but in a quiet spot so restful sleep was easy. I felt comfortable and 
safe staying there as a lone traveller. Would recommend.Read moreReview 
collected in partnership with TravelodgeDate of stay: October 
2018HelpfulShare</t>
  </si>
  <si>
    <t>GYWX wrote a review Oct 2018Wexford, Ireland784 contributions222 helpful 
votes</t>
  </si>
  <si>
    <t>Excellent for a TravelodgeWe stayed two nights in a lovely quiet superior room. Good English 
breakfast for a Travelodge. Reasonable price for London at that time. 
Polite cheerful service. Close to Aldgate station and 10 min walk from 
Liverpool Street mainline station arriving from Stansted. On the outer edge 
of tourist London but the underground makes transport easy.Read moreDate of 
stay: October 2018HelpfulShare</t>
  </si>
  <si>
    <t>https://www.tripadvisor.co.uk/Hotel_Review-g186338-d193057-Reviews-or1040-Travelodge_London_Covent_Garden-London_England.html#REVIEWS</t>
  </si>
  <si>
    <t>https://www.tripadvisor.co.uk/Hotel_Review-g186338-d13569031-Reviews-or1110-Travelodge_London_City_hotel-London_England.html#REVIEWS</t>
  </si>
  <si>
    <t>Pat D wrote a review Jun 2019South Yorkshire, United Kingdom5,293 
contributions162 helpful votes</t>
  </si>
  <si>
    <t>michelle d wrote a review Oct 2018Warrington, United Kingdom14 
contributions10 helpful votes</t>
  </si>
  <si>
    <t>FantasticIn a fantastic location. I cannot praise the staff enough they were all so 
friendly and helpful. The Hotel was clean and well maintained. I Would 
highly recommend to anyone staying in London and I will be returning very 
soonRead moreReview collected in partnership with TravelodgeDate of stay: 
October 2018HelpfulShare</t>
  </si>
  <si>
    <t>Perfect location. Brilliant budget hotel.We booked this last minute and got a double room for just under £100, which 
we think is a brilliant price for London and for a hotel in such a prime 
location. We normally stay at the Premier Inn St Pancras but as we booked 
last minute it was twice as much, so we opted for a first stay here. Loved 
it! So nice top be able to walk back to the hotel after a night out in 
Covent Garden, West End, Leicester Square or Soho etc. The location is 
fantastic. The room was clean, quiet and a good size. Staff, so nice. The 
bed was comfy, there is a kettle, tea/coffee/sugar, TV, iron and ironing 
board in the room. Towels, toilet rolls and body wash in the bathroom. 
Enough sockets and mirrors to suit us. Not much storage in the room but we 
were only there for the night and left our stuff in…Read moreDate of stay: 
June 2019HelpfulShare</t>
  </si>
  <si>
    <t>lucy22123 wrote a review Oct 2018Leeds, United Kingdom19 contributions6 
helpful votes</t>
  </si>
  <si>
    <t>Helenandmarky wrote a review Jun 2019Liverpool, United Kingdom38 
contributions14 helpful votes</t>
  </si>
  <si>
    <t>Spotless hotelIt’s the first time I’ve stayed here and it’s great. My room was spotless 
and had everything I needed. I ate in the bar/restaurant and the food was 
good and reasonably priced. Staff were helpful on check in and out (very 
swift check out which was much appreciated). I’m so pleased with it that 
I’ve booked two other work stays.Read moreDate of stay: October 
2018HelpfulShare</t>
  </si>
  <si>
    <t>davidstewart2013 wrote a review Oct 2018Broxburn, United Kingdom5 
contributions1 helpful vote</t>
  </si>
  <si>
    <t>4 Day stay at the TravelodgeThe hotel is in a great location and for London its quit .The rooms are on 
the small side but they are adequate for a short stay I found the breakfast 
to be very good even when they did not have porridgeRead moreReview 
collected in partnership with TravelodgeDate of stay: October 
2018HelpfulShare</t>
  </si>
  <si>
    <t>Not the bestGreat location but that’s the only positive. Rooms were dated, bathroom 
tired and in need of a good scrub. Carpet needed a good hoover. Food 
shocking wish I’d gone out for breakfast. We were on the 12 floor would of 
been nice to see the view but windows absolutely filthy. Pack a hairdryer 
none in room and have about 2 to loan out!Read moreDate of stay: June 
2019HelpfulShareResponse from TravelodgeUK, Ben from the Social Media Team 
at Travelodge London Covent GardenResponded 3 Jun 2019Thank you for taking 
the time to share your experience of your stay at our London Covent Garden 
Travelodge with us. We're pleased to hear that you liked the hotels 
location however we are sorry to learn that you felt the rooms were dated 
and of your disappointment with the cleanliness, food and facilities in the 
room. We do not provide extras which other hotels may provide so we can 
keep our room rates low however we understand your frustration and we are 
sorry that you did not enjoy your stay with us. We appreciate all the 
feedback we receive and our Hotel Managers regularly review their 
TripAdvisor reviews in order to fix any issues raised and pass on feedback 
to their team. Thank you once again and we do hope you will stay with us in 
the future.Read more</t>
  </si>
  <si>
    <t>Ciara C wrote a review Oct 20182 contributions</t>
  </si>
  <si>
    <t>london city tripGreat hotel right in the middle of everywhere easy to find great choice of 
bars and restaurants nearby would highly recommend this hotel .The 
petticoat lane market is held on a sunday so this was an extra 
experienceRead moreReview collected in partnership with TravelodgeDate of 
stay: October 2018HelpfulShare</t>
  </si>
  <si>
    <t>Sam wrote a review Jun 2019Peterborough, United Kingdom1 contribution</t>
  </si>
  <si>
    <t>Exactly what you need for a short stayTravelodge Covent Garden is reasonably priced, great location and has 
friendly staff. Exactly what you need for a short stay. Have stayed here 
many times and would definitely recommend to anyone wanting to be on top of 
Covent Garden.Read moreReview collected in partnership with TravelodgeDate 
of stay: May 2019HelpfulShare</t>
  </si>
  <si>
    <t>https://www.tripadvisor.co.uk/Hotel_Review-g186338-d13569031-Reviews-or1115-Travelodge_London_City_hotel-London_England.html#REVIEWS</t>
  </si>
  <si>
    <t>Esther D wrote a review Jun 20191 contribution1 helpful vote</t>
  </si>
  <si>
    <t>nicolecita_hill wrote a review Oct 20182 contributions1 helpful vote</t>
  </si>
  <si>
    <t>Urine smelling filthy RoomThe room was dark and had an un hoovered carpet. The toilet stunk of urine 
and when I inspected the underside of the toilet I could see dribbles of 
urine that had not been cleaned. The floor also showed sign that it had not 
been cleaned. I have never used a travelodge before and certainly never 
will again. I paid £149 for the one night stay. I left feeling filthy!Read 
moreReview collected in partnership with TravelodgeDate of stay: May 
2019HelpfulShareResponse from TravelodgeUK, James from the Social media 
Team at Travelodge London Covent GardenResponded 5 Jun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</si>
  <si>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Horrible (possiblity racist) first impression, otherwise good value for 
priceThis is an rather in-depth story, so the basics first and apologies because 
I’m prone to typos. Pros: good value, very clean, everything new, great 
location close to two underground stations, bar and modest late night food, 
SOME great staff. Cons: No safe, no phones in the room, no laundry (this is 
a business hotel), no room service, mediocre breakfast, paid WIFI, paid 
late checkout, no mirror ANYWHERE in the lobby women’s bathroom, 
rude/racist/poorly trained night staff. NET NET: Super convenient to my 
company’s London office so I would consider staying again if we could deal 
with the staffing issues and depending on whether Travelodge bothers to 
respond to this review. I went to the Travelodge for business and it would 
have been great except for my check-in experience.…Read moreDate of stay: 
September 20181 Helpful voteHelpfulShare</t>
  </si>
  <si>
    <t>https://www.tripadvisor.co.uk/Hotel_Review-g186338-d193057-Reviews-or1045-Travelodge_London_Covent_Garden-London_England.html#REVIEWS</t>
  </si>
  <si>
    <t>Tony wrote a review Jun 2019Thame, United Kingdom112 contributions31 
helpful votes</t>
  </si>
  <si>
    <t>baileys692015 wrote a review Oct 2018Norwich, United Kingdom13 
contributions5 helpful votes</t>
  </si>
  <si>
    <t>Lifts!We booked a super room which was on the seventh floor. Great left luggage 
area, nice clean room, with complimentary kit kats! Friendly efficient 
staff. Only two gripes are for such a large hotel, only two lifts and one 
was out of order, this was also the case on our last visit. Also Travelodge 
breakfasts are good, but why only scrambled eggs! Overall a decent hotel 
would stay againRead moreDate of stay: June 2019HelpfulShare</t>
  </si>
  <si>
    <t>Clean, new hotel close to underground stations on Circle &amp; District linesWell decorated new hotel, good for family's, close to underground stations 
on Circle &amp; District lines. Good breakfast choices, comfy beds, kettle in 
room. Able to store luggage if you need to. Some rooms look into an 
internal courtyard.Read moreReview collected in partnership with 
TravelodgeDate of stay: October 2018HelpfulShare</t>
  </si>
  <si>
    <t>Nicola Rogers wrote a review Jun 2019Hastings, United Kingdom74 
contributions47 helpful votes</t>
  </si>
  <si>
    <t>keithsH3079UD wrote a review Oct 2018Stockport, United Kingdom4 
contributions</t>
  </si>
  <si>
    <t>RoshaanHave stayed in this hotel before and never felt compound to comment. 
However this time Roshaan stood out. Our iron tripped the circuit she came 
up to the room fixed the problem. I asked her to stay whilst I plugged the 
iron back in and yes the same thing happened. She calmly reset the fuse box 
again. She apologised and offered to bring up another iron, unfortunately 
we didn’t have the time to iron so declined. On our return we asked for 
some tea bags Roshaan told we could have as many as we liked and thanked us 
for being so reasonable earlier. Roshaan then spotted I had a bottle of 
wine under my arm and promptly offered to find us a pair of glasses. Thank 
you Roshaan.Read moreDate of stay: June 2019HelpfulShare</t>
  </si>
  <si>
    <t>MarkSmalleyNL wrote a review Jun 2019Ouderkerk aan de Amstel, The 
Netherlands168 contributions27 helpful votes</t>
  </si>
  <si>
    <t>LONDON -CITY- BRAND NEW HOTELBut for the apparent lack of car-parking facilities(?), (which is to be 
expected in that area), the hotel was in all other aspects to the good end 
of the spectrum on all counts v/v type of establishment / price paid.The 
location suited us with excellent public transport close by, however if 
your main focus is the west end, do suggest you attempt to stay closer to 
there if your time is at a premium.Read moreReview collected in partnership 
with TravelodgeDate of stay: October 2018HelpfulShare</t>
  </si>
  <si>
    <t>Under parI quite like Travelodge but this was a bit disappointing. Some staff doing 
their best but failing, others disengaged. One classy exception who will 
undoubtedly move on to better things. The usually reliable Travelodge bed 
needed a new matras. Filthy windows (outside). Food so so. Lift issues. 
Very convenient location. Lots of tourists and kids, making it a 'lively' 
experience.Read moreDate of stay: May 2019HelpfulShare</t>
  </si>
  <si>
    <t>https://www.tripadvisor.co.uk/Hotel_Review-g186338-d13569031-Reviews-or1120-Travelodge_London_City_hotel-London_England.html#REVIEWS</t>
  </si>
  <si>
    <t>AntandNeil wrote a review May 2019Sheffield165 contributions57 helpful votes</t>
  </si>
  <si>
    <t>A1846OSam wrote a review Oct 20181 contribution</t>
  </si>
  <si>
    <t>great all round experiencehotel has a great location and really easy tube connections - 2 - 3 minute 
walk.the staff were all really very helpful - every single one of 
them.lovely clean new hotel and hopefully guests will help keep it this 
way..Read moreReview collected in partnership with TravelodgeDate of stay: 
October 2018HelpfulShare</t>
  </si>
  <si>
    <t>Standard Travelodge ExperienceSomewhat overpriced for what you get but saying that it's very conveniently 
located in the heart of the West End. Rooms are basic but most importantly 
are clean. You only have 15 mins free Wi-Fi then you have to pay. Breakfast 
is ok - choice of cereals, fruit, croissants and cooked buffet. Scrambled 
eggs only no friend or poached.Read moreDate of stay: May 
2019HelpfulShareResponse from TravelodgeUK, James from the Social Media 
Team at Travelodge London Covent GardenResponded 2 Jun 2019Thank you for 
reviewing our Travelodge London Covent Garden Hotel. We're happy to hear 
you were pleased with the location and cleanliness of the hotel during this 
stay but we're sorry to hear you felt the room was over-priced. Please rest 
assured the hotel managers check Tripadvisor reviews of their hotels so 
your comments will be reviewed by the hotel's team. Thank you again for 
leaving this review and we do hope that you choose to stay with us again in 
the future.Read more</t>
  </si>
  <si>
    <t>Terri M wrote a review Oct 201835 contributions6 helpful votes</t>
  </si>
  <si>
    <t>Tess234 wrote a review May 2019Wolverhampton, United Kingdom19 
contributions7 helpful votes</t>
  </si>
  <si>
    <t>Great vauleWe stayed here for night as we were going to watch a NFL game. The hotel 
check in was very easy - used a computer to do so. Just imputed reference 
number and then it printed the key. Have us the option of one or two keys. 
Room was selected by the computer so if more than one room booked then I 
would suggest booking in with reception. We had a ground floor room. Only 
heard people in corridor once or twice but did not wake us you. The room 
was very clean and tidy. The bathroom was pristine only down side there was 
no bathroom mat to stand on when coming out of the shower so we asked for 
an extra towel to us on the floor. There was a good selection of drinks 
(alcohol) and they had a drinks offer on. We had the breakfast in the 
morning. Good selection of food. It’s an…Read moreDate of stay: October 
20181 Helpful voteHelpfulShare</t>
  </si>
  <si>
    <t>Ideal locationWe booked months in advance ready for our weekend theatre trip. Basic room, 
clean and tidy. Very warm in the room even with air conditioning on. The 
air conditioning is very noisy at night but couldn't turn it off due to how 
warm the room was anyway. A fridge in the room would have been a bonus, but 
there are tea and coffee supplies. 5 minutes walk to Covent Garden markets, 
and tube station. Holborn Station is also just a few minutes walk away. We 
ate at the hotel on our first evening but won't eat there again. I ordered 
roast chicken but it was over cooked and dry, came with fries and a tiny 
pot of coleslaw. My husband ordered the steak pudding, again this came with 
fries and peas, with a side of onion gravy. Unfortunately the pastry was 
far too thick and made the meal…Read moreDate of stay: May 2019HelpfulShare</t>
  </si>
  <si>
    <t>https://www.tripadvisor.co.uk/Hotel_Review-g186338-d193057-Reviews-or1050-Travelodge_London_Covent_Garden-London_England.html#REVIEWS</t>
  </si>
  <si>
    <t>ButcherMike wrote a review Oct 2018Winter Park, Florida54 contributions9 
helpful votes</t>
  </si>
  <si>
    <t>Second visitThis was our second visit to this hotel. We decided to go for a super room. 
Big mistake as the room was smaller and the extra money that you pay is for 
2 small kit kats, 2 hot chocolates. So as for value for money, stay with a 
standard room. Everything else about the hotel is fantastic.will use 
againRead moreDate of stay: October 2018HelpfulShare</t>
  </si>
  <si>
    <t>Sarah W wrote a review May 2019Broadstone, United Kingdom2 contributions</t>
  </si>
  <si>
    <t>Excellent value, clean, tidy and friendly efficient staffWe have never stayed in a travel lodge before and have previously always 
used 5* hotels in the west end. However, we will always choose travel lodge 
now - the hotel was excellent - clean, tidy, very convenient location and 
extremely friendly and helpful staff. We had breakfast too which was very 
good - plenty of choice and the staff constantly refilling food and 
clearing plates. Wouldn’t hesitate to use again.Read moreReview collected 
in partnership with TravelodgeDate of stay: May 2019HelpfulShare</t>
  </si>
  <si>
    <t>Peter H wrote a review Oct 2018Perth, Australia10 contributions16 helpful 
votes</t>
  </si>
  <si>
    <t>clairesteved wrote a review May 2019Stockport, United Kingdom15 
contributions3 helpful votes</t>
  </si>
  <si>
    <t>Good price, location, new hotelThis hoiel was new, clean and in a great location. Staff were friendly and 
helpfull, our friends did experience a problem with food served tnat was 
still frozen. Apologies were given and money refunded.Read moreReview 
collected in partnership with TravelodgeDate of stay: October 20181 Helpful 
voteHelpfulShare</t>
  </si>
  <si>
    <t>Great location and great value for money.You know what to expect from Travel Lodge, good clean rooms at an 
affordable price. The family room we had was a good size for two adults and 
two children. The bathroom was clean and the breakfast was excellent, all 
you could eat and the children ate for free with a full paying adult. The 
wifi worked well enough and the shower was hot.Read moreReview collected in 
partnership with TravelodgeDate of stay: May 2019HelpfulShare</t>
  </si>
  <si>
    <t>misspertwee wrote a review May 2019Cleethorpes, United Kingdom27 
contributions13 helpful votes</t>
  </si>
  <si>
    <t>Doug M wrote a review Oct 2018Horringer, United Kingdom170 contributions41 
helpful votes</t>
  </si>
  <si>
    <t>Birthday Trip to LondonWe stayed in the older part of the hotel on High Holborn had absolutely no 
problems at all the staff were very friendly. It's in a great place for 
exploring London and very close to theatre land, all in all was a great 
stayRead moreReview collected in partnership with TravelodgeDate of stay: 
May 2019HelpfulShare</t>
  </si>
  <si>
    <t>Wanderer57288838002 wrote a review May 2019Cheshire, United Kingdom1 
contribution</t>
  </si>
  <si>
    <t>Don’t get a room on the ground floorFor a Travelodge the room was modern, had a comfortable bed and was nice 
and clean. No non sense for the price in central London. The reason for a 
3/5 for me was a matter of privacy. We were allocated a ground floor room, 
where the window offered no privacy at all. People were literally walking 
past our window and looking in! As such, felt we needed to keep the 
curtains closed which was a shame given what a nice day it was when we 
arrived. The rooms also did t offer much in the way of sound proofing, and 
you could really hear the noises of London when trying to get to sleep. My 
advice is to request a room off the ground floor when checking in, and 
being some earplugs!Read moreDate of stay: October 2018HelpfulShare</t>
  </si>
  <si>
    <t>Theatre TripWould recommend this hotel it’s a great location for theatre land and 
central London sites, good value, clean and comfortable room. Friendly 
helpful staff only issue was self service terminals not working at time of 
arrival.Read moreReview collected in partnership with TravelodgeDate of 
stay: May 2019HelpfulShare</t>
  </si>
  <si>
    <t>https://www.tripadvisor.co.uk/Hotel_Review-g186338-d13569031-Reviews-or1125-Travelodge_London_City_hotel-London_England.html#REVIEWS</t>
  </si>
  <si>
    <t>https://www.tripadvisor.co.uk/Hotel_Review-g186338-d193057-Reviews-or1055-Travelodge_London_Covent_Garden-London_England.html#REVIEWS</t>
  </si>
  <si>
    <t>Allan wrote a review May 20191 contribution</t>
  </si>
  <si>
    <t>Nice ExperienceThe manager was very understanding and helpful. Great team and awesome 
service. Clean rooms and a very convenient bar/kitchen with nice food in 
case you want to stay in and not venture into the unpredictable cold London 
weather.Read moreDate of stay: March 2019HelpfulShare</t>
  </si>
  <si>
    <t>MagsGlasgow wrote a review Oct 2018Glasgow, United Kingdom50 
contributions24 helpful votes</t>
  </si>
  <si>
    <t>https://www.tripadvisor.co.uk/Hotel_Review-g186338-d1812157-Reviews-or170</t>
  </si>
  <si>
    <t>travellingchamps wrote a review May 2019Bristol, United Kingdom29 
contributions8 helpful votes</t>
  </si>
  <si>
    <t>Great locationNew build Very clean and beds amazing Breakfast okay Plenty of it and staff 
very helpful Had a few drinks at bar - prices reasonable and they do a 
happy hour 4-6 Managed to store luggage there- it’s first come first 
served, staff very helpful Location great Lots of bars and restaurants 
nearby Definitely recommend itRead moreDate of stay: October 
2018HelpfulShare</t>
  </si>
  <si>
    <t>Don’t visit if you actually want to sleepMy friend and I booked a show on Sunday 26th May, we thought we’d make a 
night of it and booked the Travelodge. We weren’t expecting much as we’d 
chosen the ‘cheap and cheerful’ option. The bag drop was good and location 
was great, although is a little daunting in the dark. We were given a 
smelly, grubby room, no toilet roll and only 1 towel. The room was also 
adapted for a disabled guest which neither of us are. There was a Dirty 
dominos pizza box outside the door which looked like it had been there for 
a while. After a great evening we got back about midnight. At 2.40am the 
fire alarm/siren started going off intermittently, there was lots of 
confusion amongst guests. We decided after 15 mins we’d go down and see if 
there was an actual fire. Lots of commotion from unhappy…Read moreDate of 
stay: May 20191 Helpful voteHelpfulShareResponse from TravelodgeUK, Molly 
from the Social Media Team at Travelodge London Covent GardenResponded 30 
May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</si>
  <si>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sigridurandrea wrote a review Oct 2018Reykjavik, Iceland17 contributions6 
helpful votes</t>
  </si>
  <si>
    <t>Christopher K wrote a review May 2019Birmingham, United Kingdom30 
contributions13 helpful votes</t>
  </si>
  <si>
    <t>Good value for your moneyOf the three Travelodge hotels I stayed in my trip, this was the best one. 
I liked the USB charging option in the hotel room (the other hotels lacked 
that). There was only a shower, but it would have been nice to have a bath 
too. Otherwise everything was good. The hotel is near two underground 
stations Aldgate and Aldgate East so it was pretty easy traveling by metro. 
The beds were comfortable and the staff was friendly and nice.Read 
moreReview collected in partnership with TravelodgeDate of stay: October 
2018HelpfulShare</t>
  </si>
  <si>
    <t>Sunday and bank holiday monday visit.Why was the alarm constantly going off all night? Why wasn't the fire 
brigade called on previous alarms to check? Who knows it could have been a 
real fire.It didn't help that someone in room 343 decides to take matters 
into their own hands.Maybe they had enough of it constantly blarring. A 
fire marshall should of been there checking off peoples names. Lesson 
learned i hope.There were a lot of tourists staying and football fans like 
myself staying prior to the play off final. The view from the bedroom 
window wasn't the best. I went down for breakfast but wasn't in the mood. 
It would of been nice of staff to say help yourself to a coffee to wake me 
up. A few more towels in the bathroom would of been nice. Oh well, at least 
i am getting some money back for the inconvenience. ��…Read moreDate of 
stay: May 2019HelpfulShareResponse from TravelodgeUK, Shaf from the Social 
Media Team. at Travelodge London Covent GardenResponded 31 May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</si>
  <si>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EYK wrote a review May 20191 contribution</t>
  </si>
  <si>
    <t>A big thank you to CatarinaOur stay was great at Travelodge Covent Garden. Special thanks to Ms 
Catarina who went through great length to book our transport to Heathrow 
during peak hours of 22 May 2019. Also thanks to the young lady staff (with 
a cast on the arm) who remained cheerful at the reception on our visit 
despite her injury. Many thanks to Team and Management at Travelodge.Read 
moreDate of stay: May 2019HelpfulShare</t>
  </si>
  <si>
    <t>JFugg wrote a review May 2019Birmingham, United Kingdom37 contributions10 
helpful votes</t>
  </si>
  <si>
    <t>https://www.tripadvisor.co.uk/Hotel_Review-g186338-d13569031-Reviews-or1130-Travelodge_London_City_hotel-London_England.html#REVIEWS</t>
  </si>
  <si>
    <t>narcisojcb wrote a review Oct 2018Castellvell del Camp, Spain9 
contributions4 helpful votes</t>
  </si>
  <si>
    <t>Low quality for low valueI gave this hotel a try as, whilst I have been disappointed by Travelodge 
hotels in the last, this had on average good reviews. Location is fine, 
nice and central and close to the main transport links, it’s also very easy 
to walk anywhere. The staff are great, nice and friendly and helpful. 
Everything else about the hotel is a bit of a disappointment. Not terrible 
in any way, just drab, uninteresting, almost like they can’t be bothered. 
Everything seems to have been cut back to the absolute minimum. Even the 
staple that you’d expect in any hotel, some information in the room, is 
limited to a menu for the restaurant and the fire evacuation routes. I 
won’t be staying here again.Read moreDate of stay: May 
2019HelpfulShareResponse from TravelodgeUK, Shaf from the Social Media 
Team. at Travelodge London Covent GardenResponded 30 May 2019Thank you for 
reviewing our London Covent Garden Travelodge. We're pleased to hear you 
liked the location of the hotel and hotel team were friendly/helpful. We do 
apologise you feel all other parts of the hotel were a disappointment. Due 
to our Covent Garden being one of our oldest locations we do look in to 
refurbishments. Feedback is invaluable and our Hotel Managers regularly 
review their TripAdvisor reviews in order to fix any issues raised and pass 
on feedback to their team. Thank you once again and we do hope you will 
stay with us in the future.Read more</t>
  </si>
  <si>
    <t>Perfect locationThe hotel was as I expected well located and clean,Good place to stay if 
you go to London,there was neither problem with the check in nor with the 
check out(it was just give the room key).I will be back for sureRead 
moreReview collected in partnership with TravelodgeDate of stay: October 
2018HelpfulShare</t>
  </si>
  <si>
    <t>Shazza8368 wrote a review Oct 2018Portsmouth, United Kingdom13 
contributions5 helpful votes</t>
  </si>
  <si>
    <t>https://www.tripadvisor.co.uk/Hotel_Review-g186338-d193057-Reviews-or1060-Travelodge_London_Covent_Garden-London_England.html#REVIEWS</t>
  </si>
  <si>
    <t>Worldtosee2018 wrote a review May 2019Greater Manchester, United Kingdom85 
contributions46 helpful votes</t>
  </si>
  <si>
    <t>Warm and friendly welcome!I’ve stayed here twice now and liked it so much I’ve booked to come back 
for a further two stays in the next couple of months. The staff are very 
friendly and nothing is too much trouble. My room on both visits has been 
warm,comfortable and clean with fresh white towels!Read moreReview 
collected in partnership with this hotelDate of stay: October 
2018HelpfulShare</t>
  </si>
  <si>
    <t>claudeweston wrote a review Oct 20181 contribution</t>
  </si>
  <si>
    <t>Clean, basic hotel in a great location.I stayed here for 1 night with my best friend, on a short city break. It 
was easy to find and staff on reception were warm and friendly. We arrived 
way too early to check-in, but were allowed to check our luggage into the 
store, until we returned after a day’s sightseeing. The whole building was 
clean and well cared for, as was our room, and the beds were comfy. What’s 
not to like? We stored our luggage again after check-out the next day. The 
only inconvenience this time, was the store closed at 6pm, and our train 
home was at 10pm, so we had to curtail our sightseeing time in order to get 
back to collect our luggage. But no problem - we just sat and enjoyed the 
craft beer place round the corner instead! I would definitely stay here 
again. Tip: the Café Verona opposite in Drury…Read moreDate of stay: March 
2019HelpfulShare</t>
  </si>
  <si>
    <t>Rebecca White wrote a review May 2019Epsom, United Kingdom243 
contributions77 helpful votes</t>
  </si>
  <si>
    <t>Friendly Staff - smelly looI guess just the product of a busy budget hotel but at an average cost of 
£120 per night you'd think a clean smelling bathroom would go without 
saying.Complimentary breakfast included mouldy tasting OJ. Obviously having 
a sense of smell (taste) is a disability in these budget environs!!Read 
moreReview collected in partnership with TravelodgeDate of stay: October 
2018HelpfulShareResponse from TravelodgeUK, Charley from the Social Media 
Team at Travelodge London City hotelResponded 19 Oct 2018Thank you for 
taking the time to review our London City hotel. We would like to apologise 
for the issues with the toilet and breakfast during your stay, however we 
are pleased to hear that you found the staff to be friendly. Your feedback 
has been passed on to the hotel team and we thank you for letting us know. 
We hope to welcome you back soon.Read more</t>
  </si>
  <si>
    <t>Lovely Staylovely hotel in a fab location, friendly staff, nice bar but food was very 
poor, I know its a Travelodge but the food was poor, I had the vegan burger 
and the chips were hard and the burger was just boring.Read moreDate of 
stay: May 2019HelpfulShare</t>
  </si>
  <si>
    <t>Navigate592438 wrote a review Oct 20181 contribution1 helpful vote</t>
  </si>
  <si>
    <t>Miss_S-Louise wrote a review May 2019Cardiff, United Kingdom85 
contributions24 helpful votes</t>
  </si>
  <si>
    <t>Anniversary breakThis hotel was very clean and staff were very welcoming, it’s situated in a 
good area about 8 minute walk to London Bridge. The only negative thing I 
would say is the cost of the breakfast it’s a bit pricey and they don’t do 
tinned tomatoes and they don’t really have a very good selection of cold 
fresh juice. But other than that it was fabRead moreReview collected in 
partnership with this hotelDate of stay: October 2018HelpfulShare</t>
  </si>
  <si>
    <t>Fire Alarms needs sorting out!I booked this hotel because I was visiting especially to run the London 10K 
on Bank Holiday Monday, it seemed within walking distance to where I was 
going. Nice sized double room, bathroom suited purpose, had no real issues 
with accomodation. Drinks at the bar mega expensive for a Travellodge! £3 
glass of coke, £25 for a bottle of wine!! Seriously!!! Didn't eat in the 
restaurant so can't comment on the food. However, when i returned to the 
room Sunday evening to plan on an early night for my run the next day the 
smoke detector in the room starting sounding intermittently, put it down to 
possibly steam from the bathroom but it kept happening every half hour or 
so. Went down to the desk to enquire and there were lots of other people 
complaining. We were told that there was…Read moreDate of stay: May 
2019HelpfulShare</t>
  </si>
  <si>
    <t>BarbieKen6070 wrote a review May 2019Redditch, United Kingdom23 
contributions11 helpful votes</t>
  </si>
  <si>
    <t>https://www.tripadvisor.co.uk/Hotel_Review-g186338-d13569031-Reviews-or1135-Travelodge_London_City_hotel-London_England.html#REVIEWS</t>
  </si>
  <si>
    <t>Great Location.....good value for moneyThis hotel is ideally situated in Covent Garden and accessible to 
surrounding areas within walking distance, have stayed here several times 
before. Good value for money Clean and comfortable bed &amp; room Free wifi 
could be longer than 30 minutes a day, especially in the day and age of 
Mobile phones Fire Alarm issues Sunday night but luckily no Fire which we 
were glad to hear, management handled this well and refunded the night, 
thank youRead moreReview collected in partnership with TravelodgeDate of 
stay: May 2019HelpfulShare</t>
  </si>
  <si>
    <t>laurelriva wrote a review Oct 2018Manchester, United Kingdom1 contribution1 
helpful vote</t>
  </si>
  <si>
    <t>Michaelfox28 wrote a review May 2019Witney, United Kingdom30 
contributions15 helpful votes</t>
  </si>
  <si>
    <t>The best in LondonWether you’re here for business or leisure, this hotel is perfect. 
Everything was spotlessly clean. The hotel staff are so welcoming and 
friendly. The windows in the hotel room are amazing they block out all of 
the noise. I opened the window in the morning when I woke up and I couldn’t 
believe how we didn’t hear any of the outside noise. It is a 1 minute walk 
from Aldgate underground station and a 2 minute walk to Aldgate East 
station. I can not fault any part of my stay and I am sooooo fussy! I will 
stay at this Travelodge for any future trips to London.Read moreReview 
collected in partnership with TravelodgeDate of stay: October 
2018HelpfulShare</t>
  </si>
  <si>
    <t>Be wary of first impressions !I read the reviews before booking and agree the exterior of the hotel is 
not welcoming! However, I found the receptionist very friendly and she 
pointed out that I had been allocated a basement room. I was given the 
option to stay and change if I wasn’t happy. One advantage of the room was 
it had air con which was fine. The room was basic and had a window to let 
in light. The breakfast is mostly cooked and very generous. I found the 
serving staff to be very helpful. Overall it’s a great location for a few 
days. My only negative comment is that the hotel is split across two sites 
which I didn’t realise. Apparently the rooms on the site with the tower 
block don’t have air con.Read moreDate of stay: May 2019HelpfulShare</t>
  </si>
  <si>
    <t>scottishtraveller74 wrote a review Oct 2018Paisley, United Kingdom514 
contributions226 helpful votes</t>
  </si>
  <si>
    <t>GREAT LOCATIONDepending on what you want to do in London this place might suit you. Right 
in between 2 tube stations and the DLR is less than 10 minutes away as 
well. We arrived early and used the left luggage room all staff were nice 
and the rooms were spotless - drinks were a bit expensive but there were 
happy hours. We would stay here again without a doubtRead moreDate of stay: 
September 2018HelpfulShare</t>
  </si>
  <si>
    <t>https://www.tripadvisor.co.uk/Hotel_Review-g186338-d193057-Reviews-or1065-Travelodge_London_Covent_Garden-London_England.html#REVIEWS</t>
  </si>
  <si>
    <t>Kathandshaun wrote a review May 2019Manchester, United Kingdom4 
contributions1 helpful vote</t>
  </si>
  <si>
    <t>MurrayJamieson848 wrote a review Oct 2018Aberdeen, United Kingdom1 
contribution</t>
  </si>
  <si>
    <t>Fire alarmWe have visited this hotel many times without issue, however this time was 
spoiled by repeated issues with the fire alarm throughout the night ending 
with an evacuation. We were told the issue was part system maintenance and 
part malicious. While we couldn't fault the staff in the handling of the 
situation it still spoiled our weekend break due to lack of sleep.Read 
moreDate of stay: May 2019HelpfulShare</t>
  </si>
  <si>
    <t>Exceeded Expectations and a very comfortable stayThis hotel exceeded my expectations of a Travelodge in every way. The staff 
were friendly, helpful and always greeted me with a smile and a hello. The 
hotel itself is very clean and so new, It still had that great "new carpet" 
smell in the hallways! My room itself was spot on. Clean, tidy, all the 
facilities worked as expected and was very comfortable to stay in. The 
location was also very good for the Aldgate tube stations and a short walk 
to Tower Bridge. I'll be in London again next weekend and will likely book 
this hotel again if I can.Read moreReview collected in partnership with 
TravelodgeDate of stay: October 2018HelpfulShare</t>
  </si>
  <si>
    <t>Coastal57643955436 wrote a review May 20193 contributions</t>
  </si>
  <si>
    <t>Ray C wrote a review Oct 2018Newbury, United Kingdom118 contributions49 
helpful votes</t>
  </si>
  <si>
    <t>Stay hereGreat location , great staff, and a lovely clean and tidy, quiet place to 
rest. Only £10 extra to check in early, kept our bags safe (and free) after 
we checked out.It also had a 'hotline' to a taxi company which sent a car 
within 5 minutes. Never had breakfast but it smelt good.Read moreReview 
collected in partnership with TravelodgeDate of stay: May 2019HelpfulShare</t>
  </si>
  <si>
    <t>Very good hotelIt's brand new so very nice. Well-designed; plug and USB sockets 
everywhere. Great AC. Very good location. Definitely the best Travelodge 
I've stayed in. But like all Travelodges, no proper storage for clothes (or 
indeed anything) and never enough towels for a couple. But that's my only 
gripe!Read moreDate of stay: October 2018HelpfulShare</t>
  </si>
  <si>
    <t>https://www.tripadvisor.co.uk/Hotel_Review-g186338-d13569031-Reviews-or1140-Travelodge_London_City_hotel-London_England.html#REVIEWS</t>
  </si>
  <si>
    <t>Sam V wrote a review May 20191 contribution1 helpful vote</t>
  </si>
  <si>
    <t>77montro77 wrote a review Oct 2018Karlstad, Sweden2 contributions</t>
  </si>
  <si>
    <t>DisasterFire alarm had a fault so we were woken up by the fire alarm several times 
during the early hours &amp; then at 3am we all got evacuated! The issue had 
been going on for over 24hours!! We left our room at 4am &amp; went home really 
tired &amp; frustrated. There were no managers on site only young staff that 
couldn’t tell us what was going on &amp; had no clue on how to handle the 
situation. I had such a lovely time visiting London but this completely 
ruin the experience overall!Read moreReview collected in partnership with 
TravelodgeDate of stay: May 2019HelpfulShareResponse from TravelodgeUK, 
James from the Social Media Team at Travelodge London Covent 
GardenResponded 29 May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</si>
  <si>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Great new hotelPrice and location is great. Nice clean rooms and the area around the hotel 
is beginning to take shape. Lots of great pubs nearby and of course the 
Tower of London a short walk away. 200 meters to the nearest tube stations 
(Aldgate/Aldgate east).Read moreReview collected in partnership with 
TravelodgeDate of stay: October 2018HelpfulShare</t>
  </si>
  <si>
    <t>Jet184891 wrote a review May 2019Croydon, Pennsylvania1 contribution</t>
  </si>
  <si>
    <t>3MMM4 wrote a review Oct 2018South West England, United Kingdom29 
contributions6 helpful votes</t>
  </si>
  <si>
    <t>Great serviceAlthough our handicapped room was small, this location is a great buy for 
price and location. The staff went out of their way to be helpful and their 
smiles brighten my day. The beds were two singles pushed together.Read 
moreReview collected in partnership with TravelodgeDate of stay: May 
2019HelpfulShare</t>
  </si>
  <si>
    <t>Good Value for MoneyBooked a family room for daughter and me. Staff on reception efficient but 
not overwhelmingly welcoming and made no mention of on-site food options. 
However, it did seem to be very busy with a very loud crowd of men staying 
in the building, Room was very clean and the beds made up well with crisp 
white sheets and pillow cases. We actually had an extra single bed in the 
room and would probably have preferred a little more space by not having it 
there as it was directly under the open plan hanging space for clothes. We 
had ample towels. Shower worked well although the shower curtain was too 
long and left a pool of water on the floor as a result. One complaint is 
the bath plug which is one of the trendy rotating ones which makes it 
practically impossible to let the water out of a…Read moreDate of stay: 
October 2018HelpfulShare</t>
  </si>
  <si>
    <t>https://www.tripadvisor.co.uk/Hotel_Review-g186338-d193057-Reviews-or1070-Travelodge_London_Covent_Garden-London_England.html#REVIEWS</t>
  </si>
  <si>
    <t>Paradise45430248238 wrote a review May 20191 contribution1 helpful vote</t>
  </si>
  <si>
    <t>chrisccm2018 wrote a review Oct 2018Singapore, Singapore1 contribution</t>
  </si>
  <si>
    <t>Great stayNew hotel so everything was up to standard. Very clean and tidy room and 
hotel/common space. Friendly and attentive staff. Location was also quite 
convenient. Close to a few markets and alot of eateries, restaurants 
etc.Read moreReview collected in partnership with TravelodgeDate of stay: 
October 2018HelpfulShare</t>
  </si>
  <si>
    <t>terrible stayan awful stay at travelodge. fire alarms constantly going due to a fault 
and therefore lack of maintenance. up for over an hour at 4.30am after the 
alarm going regularly since sunday afternoon. fire brigade identified a 
fault. carpet was dirty in room and corridors. pillows lumpy. breakfast 
awful. stay at your peril.Read moreReview collected in partnership with 
TravelodgeDate of stay: May 2019HelpfulShareResponse from TravelodgeUK, 
Shaf from the Social Media Team. at Travelodge London Covent 
GardenResponded 29 May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</si>
  <si>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https://www.tripadvisor.co.uk/Hotel_Review-g186338-d13569031-Reviews-or1145-Travelodge_London_City_hotel-London_England.html#REVIEWS</t>
  </si>
  <si>
    <t>venkateshthammegowda wrote a review Oct 20181 contribution</t>
  </si>
  <si>
    <t>Wow..very nice roomsVery nice room. Super maintenance. Brand new facilities in bathrooms. Very 
near to Liverpool Street station. Very good service from the staff. Also I 
saw a very big restuarant attached. Overall it is great value for 
money.Read moreReview collected in partnership with this hotelDate of stay: 
October 2018HelpfulShare</t>
  </si>
  <si>
    <t>Sally-Anne E wrote a review Oct 2018Northill23 contributions2 helpful votes</t>
  </si>
  <si>
    <t>https://www.tripadvisor.co.uk/Hotel_Review-g186338-d193057-Reviews-or1075-Travelodge_London_Covent_Garden-London_England.html#REVIEWS</t>
  </si>
  <si>
    <t>Roblej wrote a review May 2019Seaton, United Kingdom7 contributions9 
helpful votes</t>
  </si>
  <si>
    <t>Great location and amenitiesGreat new, clean, fresh hotel and good value for money. Highly recommend. 
Good nights sleep and quiet room. Everything was brand new and there is now 
a coffee machine as well as Kettle and free top up milks etc in reception. 
Bar and cafe area spotless. Staying again for our Xmas party.Read 
moreReview collected in partnership with TravelodgeDate of stay: October 
2018HelpfulShare</t>
  </si>
  <si>
    <t>Weekend in the cityI’ve stayed at this Travelodge many times before and never really had a 
problem with the hotel. Good location in central London and quite 
reasonable priced for where it is . I stayed 3 nights and all was fine up 
until Sunday 26th when it all seemed to go horrible wrong . The fire alarm 
in my room and every room in the hotel sounded for 10 seconds or more every 
hour from about midnight making any kind of sleep impossible. It was very 
loud and a shock to the system: before going off non stop at around 4am . 
So I along with everyone in the busy hotel grabbed some clothes and made my 
way down to the street outside where we all waited for about 45 minutes for 
the fire men to complete their checks and see where the problem with the 
alarm was . It was all quite orderly and not too much…Read moreDate of 
stay: May 20191 Helpful voteHelpfulShare</t>
  </si>
  <si>
    <t>Mel L wrote a review May 2019Jersey, United Kingdom3 contributions2 helpful 
votes</t>
  </si>
  <si>
    <t>Fabulous location and great hotelThis hotel is split into 2. Half our family stayed in Drury lane as that 
has family rooms, and the gradparents were just across the road, They are 
both immaculately clean but the Drury Lane one is a little more tired and 
in need of improvements but staff are friendly and location is great and 
the hotel is very clean so although not luxury you cannot really ask for 
much more.Read moreReview collected in partnership with TravelodgeDate of 
stay: May 2019HelpfulShare</t>
  </si>
  <si>
    <t>Dimpz7 wrote a review Oct 2018Guildford, United Kingdom1 contribution</t>
  </si>
  <si>
    <t>Nice new HotelGood sized, clean rooms. Helpful and polite staff. Room was too cold when 
we first entered. Good location for getting around London as close to 
public transport.Only downside lack of parking in area.Read moreReview 
collected in partnership with this hotelDate of stay: October 
2018HelpfulShare</t>
  </si>
  <si>
    <t>Susan T wrote a review May 2019Bristol, United Kingdom2 contributions2 
helpful votes</t>
  </si>
  <si>
    <t>in need of modernisationAll family rooms are located in a separate building where the rooms are 
tired and in need of updating. Our room had a stained carpet, a burnt 
desktop, broken mirror, dirty windows and an old bathroom. Having paid a 
lot of money for the room i expected a lot better.Read moreReview collected 
in partnership with TravelodgeDate of stay: May 20191 Helpful 
voteHelpfulShareResponse from TravelodgeUK, James from the Social Media 
Team at Travelodge London Covent GardenResponded 28 May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</si>
  <si>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https://www.tripadvisor.co.uk/Hotel_Review-g186338-d13569031-Reviews-or1150-Travelodge_London_City_hotel-London_England.html#REVIEWS</t>
  </si>
  <si>
    <t>Cara M wrote a review May 2019Aberdeen, United Kingdom6 contributions6 
helpful votes</t>
  </si>
  <si>
    <t>Emma W wrote a review Oct 2018Milton Keynes, United Kingdom30 
contributions5 helpful votes</t>
  </si>
  <si>
    <t>Worst hotel I have ever stayed inThe only good thing about this hotel is the location. The rooms in the 
older building are very tired and basic, the stairwell is dirty and not 
well lit. Housekeeping are dreadful, generally don’t speak English and left 
us every day without clean towels. Customer service is not their strong 
point. Don’t pay for the breakfast, it was extremely disappointing.Read 
moreDate of stay: May 20191 Helpful voteHelpfulShareResponse from 
TravelodgeUK, James from the Social Media Team at Travelodge London Covent 
GardenResponded 28 May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</si>
  <si>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Great Hotel, quiet for LondonMy daughter and I stayed here in a standard double room 7 (ground floor) It 
was perfect for us immaculately clean as expected for a new hotel. The room 
had everything we needed and was very comfortable and quiet. The English 
breakfast could be better it was a bit a bit pants but not the end of the 
world we ate elsewhere on the first morning. We would however stay here 
again as it’s conveniently located to Aldgate station so easy to get 
about!Read moreDate of stay: October 2018HelpfulShare</t>
  </si>
  <si>
    <t>https://www.tripadvisor.co.uk/Hotel_Review-g186338-d193057-Reviews-or1080-Travelodge_London_Covent_Garden-London_England.html#REVIEWS</t>
  </si>
  <si>
    <t>CLascelles wrote a review May 2019England17 contributions23 helpful votes</t>
  </si>
  <si>
    <t>Kimmie wrote a review Oct 2018Worcester, United Kingdom159 contributions48 
helpful votes</t>
  </si>
  <si>
    <t>Ideal Location for City ExploringNewer Travelodge with a lot to offer. Rooms are functional, comfy bed &amp; 
pillows, clean &amp; great piping hot shower. Plentiful breakfast including 
veggie sausages. Staff helpful and polite and hotel offers baggage storage 
on first come first served basis. Situated between Aldgate &amp; Aldgate East 
tube. Short walk to Petticoat Lane and Whitechapel. Absolutely ideal for a 
couple of nights stay at a reasonable price.Read moreDate of stay: October 
2018HelpfulShare</t>
  </si>
  <si>
    <t>Fire alarm...So far, the fire alarm has gone off 6 times while I've been in this hotel 
tonight..... It could be more, but 'fortunately' for me, I was out between 
7:30 pm and 1 am. This is utterly ridiculous. People had been coming out of 
their rooms to check if these were genuine fire alarms or not. It's 
currently 3 am and the alarm has just gone off again. We can only hope 
there is no real fire alarm tonight and that if there is, people don't just 
assume that yet again, it's a false alarm. Absolutely awful. Great location 
and that's all that is positive about this place.Read moreDate of stay: May 
20191 Helpful voteHelpfulShareResponse from TravelodgeUK, James from the 
Social Media Team at Travelodge London Covent GardenResponded 28 May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</si>
  <si>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Chezni79 wrote a review Oct 2018Peterborough, United Kingdom22 
contributions1 helpful vote</t>
  </si>
  <si>
    <t>Felipe P wrote a review May 20191 contribution1 helpful vote</t>
  </si>
  <si>
    <t>Air conditioning missingAir conditioning and hair dryers missing. Great location, however it is an 
old hotel with poor maintenance. Staff was fine. Vending machines without 
products. There are other better options on same price.Read moreReview 
collected in partnership with TravelodgeDate of stay: May 20191 Helpful 
voteHelpfulShare</t>
  </si>
  <si>
    <t>Over and above a normal TravelodgeLovely clean and modern budget hotel. Restaurant staff- Catalina and 
Michael are fantastic, along with staff behind the bar. Here for 5 days for 
a course in Aldgate- perfect location for both tube stations. Coffee maker 
in Super Room, room cleaned everyday as well as clean towels. Excellent 
breakfast. Barcelona Tapas over the road is very good too!!Read moreDate of 
stay: October 2018HelpfulShare</t>
  </si>
  <si>
    <t>BananaBrew wrote a review Oct 2018Leeds, United Kingdom7 contributions</t>
  </si>
  <si>
    <t>Problems every timeI stayed at this hotel for two nights a week for four weeks and had to ask 
my company to book me elsewhere as I got completely fed up. The beds 
themselves are fine but the towels smell disgusting and twice had long 
black hairs inside. You have to pay for WiFi. The restaurant is pretty 
awful - each time I ordered food there would be something missing from the 
menu description, or my desert would come out first (or not at all) and 
once there was some paper packaging stuck in my food. The staff are 
friendly but very inexperienced, presumably because the hotel is so new, 
and never knew how to deal with any issues - I often saw other guests 
complaining. The only difference with the superior rooms is that you get 
two kitkats and a pod coffee machine - not really worth the price 
hike.…Read moreDate of stay: September 2018HelpfulShareResponse from 
TravelodgeUK, Molly from the Social Media Team at Travelodge London City 
hotelResponded 10 Oct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</si>
  <si>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frankhitc wrote a review Oct 2018Torquay5 contributions13 helpful votes</t>
  </si>
  <si>
    <t>https://www.tripadvisor.co.uk/Hotel_Review-g186338-d193057-Reviews-or1085-Travelodge_London_Covent_Garden-London_England.html#REVIEWS</t>
  </si>
  <si>
    <t>Great TravelodgeThis Travelodge was excellent in every way, super rooms so comfortable and 
quiet, and the staff were very good, breakfasts of good quality, location 
is good, between two nearby tube stations a very short walk to either, we 
enjoyed our stay here.Read moreReview collected in partnership with 
TravelodgeDate of stay: October 2018HelpfulShare</t>
  </si>
  <si>
    <t>GoPlaces59255575553 wrote a review May 2019Leeds, United Kingdom1 
contribution</t>
  </si>
  <si>
    <t>https://www.tripadvisor.co.uk/Hotel_Review-g186338-d13569031-Reviews-or1155-Travelodge_London_City_hotel-London_England.html#REVIEWS</t>
  </si>
  <si>
    <t>Great stay perfect locationPerfect location for travel services. Nice bars and restaurants in direct 
vicinity Clean well managed hotel with welcoming staff One of the best 
travelodges we have stayed in Will definitely stay here againRead 
moreReview collected in partnership with TravelodgeDate of stay: May 
2019HelpfulShare</t>
  </si>
  <si>
    <t>Vacation21980352995 wrote a review May 20191 contribution</t>
  </si>
  <si>
    <t>MacITTech wrote a review Oct 2018Edinburgh, United Kingdom3 contributions</t>
  </si>
  <si>
    <t>Great Stay In Covent GardenThis is an excellent place to stay in Central London.Our room was clean &amp; 
spacious, hot water was plentiful &amp; shower pressure good.The mattress &amp; 
pillows were exceptionally comfortable, public areas of the hotel 
attractive &amp; nicely lit. Meals were really good (we had breakfast daily &amp; 
dinner twice).Staff were very busy, but always willing to help.The location 
is great for a London break.Read moreReview collected in partnership with 
TravelodgeDate of stay: May 2019HelpfulShare</t>
  </si>
  <si>
    <t>Travelodge at its best!Travelodge London City is Perfect! Location couldn't have worked out better 
- 205 bus straight from Euston to the Hotel (and passing King's Cross on 
the way). The Hotel is only 30 seconds from the bus stop and only two 
minutes from Aldgate tube Station. Clean Hotel, helpful and friendly staff 
and the food is fab. Cooked breakfast is the best I've had in a hotel in a 
long time. Fresh, regularly topped up. And the evening food - fantastic 
Pizza and Sticky Toffee Pudding to die for! Well done Travelodge - you have 
it spot on with this one. And as long as you keep the prices at a 
reasonable level - I'll be back!Read moreReview collected in partnership 
with TravelodgeDate of stay: October 2018HelpfulShare</t>
  </si>
  <si>
    <t>johnnyboy114 wrote a review Oct 20181 contribution</t>
  </si>
  <si>
    <t>Kniza wrote a review May 2019Torquay, United Kingdom51 contributions5 
helpful votes</t>
  </si>
  <si>
    <t>Business stay with helpThe hotel is modern, updated and the staff were very friendly and helpful. 
I am a wedding photographer and got back quite late with a lot of very 
heavy gear and was visibly tired. The desk staff arranged for a security 
person to help me with my gear to my room, which was really unexpected but 
very welcome. Don't use the recommended car park though. Not Travelodge's 
in any way fault, but the nearest one nearest is an open, one level car 
park wedged between some buildings and when I returned to my car in the 
morning, it had been broken into, as had about 6 others parked near. A 
shame as had been a great day or so in London and a great stay at the 
hotel.Read moreReview collected in partnership with TravelodgeDate of stay: 
September 2018HelpfulShare</t>
  </si>
  <si>
    <t>London fixThis hotel offered all that I needed, a great location in the heart of 
Covent Garden, great value too for the centre of the West End. I used to 
live in London and occasionally I need to return for my London fix... :-) 
the buzz, atmosphere and people watching is just incredible. I had no plans 
apart from a day at The Chelsea Flower show... I wondered around, had 
breakfast at an organic cafe in Neals yard, a cuppa and cake in the Strand 
and booked a theatre ticket to see the “Tina Turner” show for £10, which 
was fantastic... The staff on reception were professional and helpful 
especially Dharma, the assistant manager, who went that extra mile to help, 
he had a lovely professional and warm personality, he deserves recognition. 
As I had a long journey arriving into London and…Read moreDate of stay: May 
2019HelpfulShare</t>
  </si>
  <si>
    <t>mansoldave wrote a review Oct 2018Beckenham, United Kingdom41 
contributions21 helpful votes</t>
  </si>
  <si>
    <t>https://www.tripadvisor.co.uk/Hotel_Review-g186338-d193057-Reviews-or1090-Travelodge_London_Covent_Garden-London_England.html#REVIEWS</t>
  </si>
  <si>
    <t>Excellent new hotelA welcome addition to London hotels. The hotel shone - everything was good, 
location, staff, rooms and food. I just hope that this can be kept up and 
isn't just an opening honeymoon. I had never really considered Travelodge 
before but on this performance they are now n the radar.Read moreReview 
collected in partnership with this hotelDate of stay: October 
2018HelpfulShare</t>
  </si>
  <si>
    <t>123pix wrote a review May 2019Falmouth, United Kingdom385 contributions94 
helpful votes</t>
  </si>
  <si>
    <t>https://www.tripadvisor.co.uk/Hotel_Review-g186338-d13569031-Reviews-or1160-Travelodge_London_City_hotel-London_England.html#REVIEWS</t>
  </si>
  <si>
    <t>Comfortable stay in an ideal locationBooked a super room for 4 nights. It was a nice quiet room on floor 9 and 
appeared to have been recently refurnished. Included a hairdryer, 
tea/coffee and ironing facilities. Quick check in and very helpful staff on 
the reception. There is a cash point just inside the main entrance and by 
the bar area you can help yourself to more coffee sachets, teabags etc. The 
location is superb if you want to be central and in walking distance to 
many attractions. The British Museum is 6 minutes away, many theatres are 
close by and the embankment within 10 minutes. Umpteen 
restaurants/bars/takeaway nearby, got a great pizza take out from just 
across the road, baked fresh for £5 also the Lowlander restaurant a few 
minutes away was excellent.Read moreDate of stay: May 2019HelpfulShare</t>
  </si>
  <si>
    <t>John B wrote a review May 2019Regina, Canada3 contributions9 helpful votes</t>
  </si>
  <si>
    <t>holeymoley1 wrote a review Oct 2018Chester, United Kingdom4 contributions</t>
  </si>
  <si>
    <t>would never stay here againstaff assured us on check in that our three reservations were linked and we 
would not have to change rooms - wrong. We found out just before leaving 
for a tour that we had to move. Manager was only able to say 'sorry' as he 
had no control over any aspect of the room assignments. Don't count on the 
Wi-fi working either even if you pay for the service. You can count on the 
front counter staff not knowing what is going on and unable to help when 
you bring issues forward.Read moreReview collected in partnership with 
TravelodgeDate of stay: May 2019HelpfulShare</t>
  </si>
  <si>
    <t>Super Clean new hotelWould highly recommend, two minutes from the tube, brand new, so everything 
was lovely. Would definitely stay again and recommend to friends and 
family. Staff were lovely, welcoming and polite and great option to let you 
arrive early and leave your bags especially as we were going to a show!Read 
moreReview collected in partnership with TravelodgeDate of stay: October 
2018HelpfulShare</t>
  </si>
  <si>
    <t>Laura B wrote a review May 2019Angus, United Kingdom47 contributions7 
helpful votes</t>
  </si>
  <si>
    <t>Mle101 wrote a review Oct 2018Cardiff, United Kingdom21 contributions6 
helpful votes</t>
  </si>
  <si>
    <t>Perfect base for London adventuresWe spent 2 nights here. We flew into Heathrow and were able to jump on the 
tube right to Covent Garden then it's maximum 5 mins walk to the hotel. You 
can't check in til 3pm but they have left luggage between 9-6pm so we 
dropped our bags off at 10am and were straight out for some sightseeing. We 
were well able to do all the touristy stuff we wanted from here on foot 
including Big Ben, Houses of Parliament, Trafalgar Square, Picadilly 
Circus, Chinatown. We did end up walking further than expected and you 
could definitely use the tube more than we did. We only used it to get to 
the Natural History Museum and Tower Of London. The room was fine - 
standard travelodge set up, so as we expected. Nice and quiet and 
air-conditioning in the room. We didn't have breakfast in the hotel 
but…Read moreDate of stay: May 2019HelpfulShare</t>
  </si>
  <si>
    <t>Jon_Butlin wrote a review May 2019Burlington, Canada20 contributions19 
helpful votes</t>
  </si>
  <si>
    <t>Good StayWe had a good, comfortable stay here on the weekend. Extremely close to 
Aldgate and Aldgate East underground stations. Staff were friendly and 
helpful. The room was fine, clean, comfortable. I wasn’t expecting a fold 
out bed in the family room but it was comfortable and fine. We were woken 
in the morning by a couple...having fun... which I could have done without, 
but such is life. Breakfast was fine - cereal, toast, fryup, fruit juice, 
hot drinks etc. They was plenty of staff too, which meant tables were 
cleared and questions answered in an efficient and timely manner The staff 
were extremely helpful upon checkout and the manager went out of his way to 
ensure we could leave our luggage :)Read moreReview collected in 
partnership with TravelodgeDate of stay: October 2018HelpfulShare</t>
  </si>
  <si>
    <t>Not recommendedYou definitely get what you pay for... I wasn’t expecting luxury, but the 
travelodge was on par with places that charge by the hour for rooms! The 
carpet and bedspread were both stained horribly. Cleaning in general was 
really poor. I hate to think what a crime scene blue light would have 
revealed. Needless to say, socks were mandatory at all times and the 
bedspread was ditched in favour of being cold at night. When we checked in 
the first day, there was half a roll of TP - no big deal, that would get us 
through the night. The next day was spent at the theatre and when we came 
back that same roll, now nearly empty, had not been replaced. I went to 
call down to the desk when I noticed there wasn’t even a phone... so off I 
trudged down to the crowded front lobby to ask for TP. …Read moreDate of 
stay: May 2019HelpfulShareResponse from TravelodgeUK, Ben from the Social 
Media Team at Travelodge London Covent GardenResponded 22 May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</si>
  <si>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https://www.tripadvisor.co.uk/Hotel_Review-g186338-d193057-Reviews-or1095-Travelodge_London_Covent_Garden-London_England.html#REVIEWS</t>
  </si>
  <si>
    <t>Fearless36832362751 wrote a review May 20191 contribution1 helpful vote</t>
  </si>
  <si>
    <t>suzannelewis wrote a review Oct 20182 contributions1 helpful vote</t>
  </si>
  <si>
    <t>Just okayGood price but definitely a “no frills” place for the standard room. Shower 
was so small I couldn’t shave my legs in there and there was a constant 
draft in the bathroom making the shower curtain stick to you while trying 
to shower. Not terrible but so basic I would have liked to pay a little 
more for just slightly higher accommodations.Read moreReview collected in 
partnership with TravelodgeDate of stay: May 2019HelpfulShareResponse from 
TravelodgeUK, Ben from the Social Media Team at Travelodge London Covent 
GardenResponded 22 May 2019Thank you for taking the time to share your 
experience of your stay at our London Covent Garden Travelodge with us. 
We're pleased to hear that you liked the price of the room however we are 
sorry to learn of your disappointment with the size and facilities. We 
appreciate all the feedback we receive and our Hotel Managers regularly 
review their TripAdvisor reviews in order to fix any issues raised and pass 
on feedback to their team. Thank you once again and we do hope you will 
stay with us in the future.Read more</t>
  </si>
  <si>
    <t>1 night London theatre breakBrand new very clean and tidy travelodge in London City. Nearest tube 
Aldgate or Aldgate East. Very accessible tube stations. 15 min walk to 
tower bridge. Had a breakfast bar which we did not use. Very little noise. 
Very suitable for 1 night theatre break.Read moreReview collected in 
partnership with TravelodgeDate of stay: October 2018HelpfulShare</t>
  </si>
  <si>
    <t>_cshawyer wrote a review May 2019Weston-super-Mare, United Kingdom5 
contributions</t>
  </si>
  <si>
    <t>Quick trip to LondonI was only staying two nights and wanted somewhere not far from things to 
do and see. Covent Garden Travel Lodge is slap bang in the thick of it. 2 
minutes from Scholl of Rock (excellent show) and 15-20 minutes from Covent 
Garden and the tube there. Surrounded by cafes and bars but quiet and a 
good base. Really enjoyed my stay despite being nervous as a single female 
not used to London. Will come again as a great area to explore fromRead 
moreReview collected in partnership with TravelodgeDate of stay: May 
2019HelpfulShare</t>
  </si>
  <si>
    <t>https://www.tripadvisor.co.uk/Hotel_Review-g186338-d13569031-Reviews-or1165-Travelodge_London_City_hotel-London_England.html#REVIEWS</t>
  </si>
  <si>
    <t>harrysmum06 wrote a review May 2019Ramsgate, United Kingdom16 
contributions14 helpful votes</t>
  </si>
  <si>
    <t>Lovely stay , will be back!Stayed here for two nights and was perfect. Check in was fast and 
receptionist was very friendly. Room was immaculately clean and had 
everything we needed. The night bar/ reception staff we’re exceptional 
(especially Kevin) very friendly good service. The hotel location is very 
good, for the price you pay compared to other hotels in the area we thought 
it was brilliant ! Will definitely be back. ThankyouRead moreDate of stay: 
May 20191 Helpful voteHelpfulShare</t>
  </si>
  <si>
    <t>McTug01 wrote a review May 2019London, United Kingdom37 contributions43 
helpful votes</t>
  </si>
  <si>
    <t>pradeep k wrote a review Oct 20188 contributions2 helpful votes</t>
  </si>
  <si>
    <t>Great stop overStayed here for one night in May, have stayed before a few years ago and 
I’d forgotten what a great location it is. It takes only 5 mins or so to 
get to Covent Garden, no need for taxis in and out. The hotel is clean, 
airy and staff are helpful. We had 2 double rooms both of which were clean, 
comfortable and had good tea/coffee making facilities, tv, good linen and 
bathroom amenities. It has a left luggage facility and check in and check 
out was quick and efficient. Wouldn’t hesitate to stay here again, you know 
what you get with Travelodge, we didn’t eat here or have a drink at the bar 
but both bar and restaurant were busy and looked nice. Next time I need a 
night stop over in the capital, close to Covent Garden for good shopping, 
close to great bars and restaurants this is…Read moreDate of stay: May 
2019HelpfulShare</t>
  </si>
  <si>
    <t>Amazing stay - close to any Holiday Inn, IndigoAmazing hotel. Great location Great food happy hour Shower is the best Very 
comfortable bed Clean welcoming It’s a great hotel, very new with great 
location and facilities Great for short stay we enjoyed our stayRead 
moreDate of stay: October 2018HelpfulShare</t>
  </si>
  <si>
    <t>https://www.tripadvisor.co.uk/Hotel_Review-g186338-d193057-Reviews-or1100-Travelodge_London_Covent_Garden-London_England.html#REVIEWS</t>
  </si>
  <si>
    <t>https://www.tripadvisor.co.uk/Hotel_Review-g186338-d1812157-Reviews-or175</t>
  </si>
  <si>
    <t>oldfathertime wrote a review May 2019Wigan, United Kingdom186 
contributions82 helpful votes</t>
  </si>
  <si>
    <t>Clean Your WindowsStayed in this TL before as its central to the places we wish to visit. It 
is worth remembering that although you do save money by booking early it 
does come at the cost of being sent to the top floors and yet AGAIN the 
lifts were in-and-out of service very annoying. If you book early (always 
on cancellation) check the hotel price weekly as they often bring the price 
down for a couple of days and then back-up again. Booking in went smoothly 
and the room was clean and tidy but the television was so far away we 
considered buying some binoculars. Like most Travelodge hotels in the 
Capital it requires a good overall, they all that Premier Inn class and no 
matter how helpful the staff are you can't change the need to upgrade. We 
did not dine in the hotel but we rarely do in…Read moreDate of stay: May 
20191 Helpful voteHelpfulShare</t>
  </si>
  <si>
    <t>morwennauk wrote a review May 2019Bristol, United Kingdom54 contributions2 
helpful votes</t>
  </si>
  <si>
    <t>Good value for money, decor v tired but v clean and staff v goodGreat stay, brilliant location and excellent value for money. Staff v 
polite and helpful. Decor throughout hotel a bit tired and double bed 
slightly roll together but us and kids in family room comfortable apart 
from that.Read moreReview collected in partnership with TravelodgeDate of 
stay: May 2019HelpfulShare</t>
  </si>
  <si>
    <t>Safari64860187167 wrote a review May 2019Barcelona, Spain1 contribution</t>
  </si>
  <si>
    <t>Very good hotelThe hotel was very central, near to the main important monuments and very 
close to the public transportations. The rooms were big and comfortable. 
Good room for the price. A good election if you travel to London.Read 
moreReview collected in partnership with this hotelDate of stay: May 
2019HelpfulShare</t>
  </si>
  <si>
    <t>Tracey F wrote a review Oct 2018280 contributions59 helpful votes</t>
  </si>
  <si>
    <t>https://www.tripadvisor.co.uk/Hotel_Review-g186338-d193057-Reviews-or1105-Travelodge_London_Covent_Garden-London_England.html#REVIEWS</t>
  </si>
  <si>
    <t>Jorge J. wrote a review May 2019Logrono, Spain1 contribution</t>
  </si>
  <si>
    <t>New hotel in great locationThis is a new Travelodge and it is in a great location - really close to 
the City offices and a number of tube stations including Aldgate and 
Aldgate East which are both literally on its door step. Rooms are new and 
well appointed - great stay there on the 2 occasions I have stayed there - 
friendly staff too!!Read moreDate of stay: October 2018HelpfulShare</t>
  </si>
  <si>
    <t>Great value and serviceIt was the first time that we visited London and stayed at this hotel. It's 
located very close to Holborn and Covent Garden station. The breakfast was 
great and the staff too! Bea helped us when we checked in and gave us some 
recommendations of places to visit. We will definetly come back next time. 
Hopefully soon!Read moreDate of stay: May 2019HelpfulShare</t>
  </si>
  <si>
    <t>muakaka wrote a review Oct 2018Kuala Lumpur, Malaysia24 contributions5 
helpful votes</t>
  </si>
  <si>
    <t>Climber15317097752 wrote a review May 2019Kenilworth, United Kingdom2 
contributions</t>
  </si>
  <si>
    <t>Very convenient and comfortable hotelGood budget hotel. Well placed for Covent Garden. Comfortable, clean and 
well decorated. Helpful and obliging staff, particularly at the breakfast 
bar when registering for breakfast. Super room fitted our bill but could 
have been a bit bigger. Very comfortable bed, clean bedding and excellent 
shower.Read moreReview collected in partnership with TravelodgeDate of 
stay: May 2019HelpfulShare</t>
  </si>
  <si>
    <t>Great Location And Value for MoneyTravelodge never dissapoint me. Great Value for Money! We stayed 6 nights 
here. The location is great. Not so busy area. Just a minute walk from 
Aldgate and Aldgate East Underground Station (Metropolitan, Circle, 
Hammersmith &amp; City and District Line) and also bus stop. Tesco Express and 
Sainsbury just around the corner. Halal food is nearby. Petticoat Lane 
Market just behind the hotel. The rooms were clean with plenty of space and 
very comfortable. Friendly staff at receptionist. We would definitely 
recommend this hotel.Read moreReview collected in partnership with 
TravelodgeDate of stay: September 2018HelpfulShare</t>
  </si>
  <si>
    <t>CWOssy wrote a review May 2019Lancashire, United Kingdom46 contributions20 
helpful votes</t>
  </si>
  <si>
    <t>samanthabJ8155YN wrote a review Oct 2018Blackwell, United Kingdom3 
contributions1 helpful vote</t>
  </si>
  <si>
    <t>Less friendly staff, more worn and tired looking.Since staying at this hotel a couple of years ago, it has become more worn 
and tired looking. The rooms were a little tatty and the carpet was grubby. 
The staff didnt seem as friendly as previous stay. The breakfast was poorly 
organised, with the veggie sausages being put next to the bacon on both 
mornings we were there. The eggs were cold and dry. A bit of a let down 
really as l had hoped it would be ok with having stayed twice 
previously.Read moreDate of stay: January 2019HelpfulShare</t>
  </si>
  <si>
    <t>Guide54326553244 wrote a review May 20191 contribution</t>
  </si>
  <si>
    <t>Great tripVery clean hotel. staff very friendly and polite. Liverpool station and 
aldgate east tube station are both really close to hotel. A short ten 
minute stroll to tower bridge so good location for sight seeing .really 
pleased we chose to stay at London city Travelodge. will definitely 
recommend to friends and already planning our next stay at this hotel.Read 
moreReview collected in partnership with this hotelDate of stay: September 
2018HelpfulShare</t>
  </si>
  <si>
    <t>Great spotBreakfast over the road, as it really was not very good, apart from the 
yoghurt. Tv remote had flat batteries. However, it is fair value in the 
middle of London.. very close to Holborn tube . Comfy bed. Ok room .Read 
moreReview collected in partnership with TravelodgeDate of stay: May 
2019HelpfulShare</t>
  </si>
  <si>
    <t>TheBrawns wrote a review May 2019Northamptonshire, United Kingdom11 
contributions2 helpful votes</t>
  </si>
  <si>
    <t>Great location great priceGreat location for Covent Garden and theatreland, Leicester Square etc. 
Lovely size room, great bar service late into the evening, lovely 
breakfast, good selection, served until 10am and check out 12noon.Read 
moreDate of stay: May 2019HelpfulShare</t>
  </si>
  <si>
    <t>https://www.tripadvisor.co.uk/Hotel_Review-g186338-d13569031-Reviews-or1170-Travelodge_London_City_hotel-London_England.html#REVIEWS</t>
  </si>
  <si>
    <t>https://www.tripadvisor.co.uk/Hotel_Review-g186338-d193057-Reviews-or1110-Travelodge_London_Covent_Garden-London_England.html#REVIEWS</t>
  </si>
  <si>
    <t>Andy T wrote a review Oct 2018Colchester, United Kingdom23 contributions4 
helpful votes</t>
  </si>
  <si>
    <t>martin c wrote a review May 2019Chester, United Kingdom125 contributions35 
helpful votes</t>
  </si>
  <si>
    <t>Weekend in LondonI was very impressed by this hotel. Great location and very good value for 
money. I will definitely stay again. Beds are comfortable and the air con 
was excellent as the temp outside was 25+ at night.Read moreDate of stay: 
August 2018HelpfulShare</t>
  </si>
  <si>
    <t>MAY VISITGood value for a central London hotel Large bedroom by London standards and 
bathroom adequate No plug in sink No hair drier but no problem getting one 
from reception Not a luxury hotel by any means but then not paying top 
price so overall a good stay and would return without doubtRead moreReview 
collected in partnership with TravelodgeDate of stay: May 2019HelpfulShare</t>
  </si>
  <si>
    <t>cornwall100 wrote a review May 2019Truro, United Kingdom13 contributions17 
helpful votes</t>
  </si>
  <si>
    <t>Nobody does what you ask them to doUnder duress, I stay in this hotel every other week, It's convenient for 
work. Overall the hotel is fairly clean but shabby around the edges. When 
something is missing from the "super room" it's impossible to get things 
rectified. Shower gel, coffee, towels never arrive, despite numerous 
requests to a front desk. I've worked out junior staff generally deflect to 
another colleague or agree to sort but do nothing. There is never an 
apology. If you see a manager, do try to seek to check in with them, it's a 
much pleasanter experience. I tried the breakfast once and didn't stay to 
eat, I left to go to a local cafe for half the price with much better 
quality. My heart sinks when I book in, for spending circa £500 for a stay 
with them.Read moreDate of stay: May 20191 Helpful voteHelpfulShareResponse 
from TravelodgeUK, Ben from the Social Media Team at Travelodge London 
Covent GardenResponded 20 May 2019Thank you for taking the time to share 
your experience of your stay at our London Covent Garden Travelodge with 
us. We're pleased to hear that the hotels location suited your needs and 
that you found the hotel to be clean however we are sorry to learn of your 
disappointment with the breakfast and the service received from the hotel 
team. It’s really important to us that our teams provide a fantastic 
service to our guests and remain professional at all times so we are sorry 
to learn that you feel this was not the case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</si>
  <si>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Dundun0101 wrote a review May 2019Tel Aviv, Israel622 contributions137 
helpful votes</t>
  </si>
  <si>
    <t>Kevin M wrote a review Oct 20181 contribution</t>
  </si>
  <si>
    <t>Great Value for Money and Perfect LocationWe spent 8 nights in this lovely and welcoming hotel. The location is 
perfect - within walking distance to the charming Covent Garden market, 
Oxford street,and to 3 tube lines (Picadilly, Central, Northern), to 
surrounded by pubs, cafes, restaurants and shops. The rooms are spacious - 
we were 4 guests in the room and couldn't feel it. There are coffee and tea 
facilities in the room. Very good isolation from outside and inside so it 
was very quiet all the time and we had a very good night sleep. Breakfast 
was great - traditional English breakfast of course, along with fresh 
fruits, cereals, yogurt, toasts, croissants, coffee machine. Dining room 
was spacious. The reception staff was very welcoming and helpful. Over all 
I recommend this hotel and If ever back in London - I sure…Read moreReview 
collected in partnership with TravelodgeDate of stay: May 2019HelpfulShare</t>
  </si>
  <si>
    <t>It does the job... And a bit moreSlightly more than your standard travelodge with the bar, rooms, and staff 
much improved at this new venue. Cat and Ruth on the food a nice couple 
looking to get this place on the map... Help them out!Read moreDate of 
stay: October 2018HelpfulShare</t>
  </si>
  <si>
    <t>str3aky wrote a review May 2019Sandbach18 contributions4 helpful votes</t>
  </si>
  <si>
    <t>HongKongPhooey69 wrote a review Oct 2018Ripon, United Kingdom15 
contributions6 helpful votes</t>
  </si>
  <si>
    <t>Take your own toilet rollYou get what you pay for. Great location, edible breakfast and a 
comfortable bed. I’ve stopped at this hotel a few times, mostly without 
issue. The last time on arrival there were blood stains on my sheets. The 
hotel rectified this quickly and changed my room, although it did feel like 
they interrogated me when I complained. They also didn’t apologise... If 
your staying in London for a few days and just want to get you head down 
you will be ok here. I would however advise you to take you own bog roll, 
as the stuff they have here is like b and q p60.Read moreDate of stay: 
November 2018HelpfulShareResponse from TravelodgeUK, James from the Social 
Media Team at Travelodge London Covent GardenResponded 19 May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</si>
  <si>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Very un-Travelodge likeMost Travelodges are fine. They are clean, have an easy check-in etc. But I 
think that, compared to other budget hotel brands, they are soulless. Well, 
the new London City hotel is a revelation. The rooms are definitely a step 
up, especially the SuperRooms. But the thing that makes it is the 
downstairs bar / restaurant area. The staff are great and, being new, 
everything is very shiny. There’s a good level of noise - enough to feel 
like it’s alive! Food is generic, but the pizza I had was nice and crisp 
(no soggy bottom!)Read moreDate of stay: October 2018HelpfulShare</t>
  </si>
  <si>
    <t>https://www.tripadvisor.co.uk/Hotel_Review-g186338-d13569031-Reviews-or1175-Travelodge_London_City_hotel-London_England.html#REVIEWS</t>
  </si>
  <si>
    <t>https://www.tripadvisor.co.uk/Hotel_Review-g186338-d193057-Reviews-or1115-Travelodge_London_Covent_Garden-London_England.html#REVIEWS</t>
  </si>
  <si>
    <t>maddi_mayer wrote a review Oct 2018Luedenscheid2 contributions</t>
  </si>
  <si>
    <t>Trek02239638330 wrote a review May 20191 contribution</t>
  </si>
  <si>
    <t>Good location, tidy and air-conditionedThe location of this hotel is perfect for us. It´s tidy, the rooms big 
enough and the staff has been very nice. In contrary to many other 
travelodges we couldn´t hear much noise from the hallway or other rooms. 
The air condition worked perfectly and what is great is that it was very 
quiet! We will be back for sure.Read moreReview collected in partnership 
with TravelodgeDate of stay: September 2018HelpfulShare</t>
  </si>
  <si>
    <t>False advertisingWhen booked on the website a kingsize bed was promised. Upon arrival they 
gave us a room with a double bed. We had to pay 15 pounds a night to get a 
large double. No King was available. Reception was unhelpfulRead moreReview 
collected in partnership with TravelodgeDate of stay: May 
2019HelpfulShareResponse from TravelodgeUK, James from the Social Media 
Team at Travelodge London Covent GardenResponded 19 May 2019Thank you for 
reviewing our Travelodge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</si>
  <si>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Lital S wrote a review May 2019Peterborough, United Kingdom4 contributions4 
helpful votes</t>
  </si>
  <si>
    <t>Loved it!We loved this hotel. Booked room only. Got upgraded. Great room. Absolutely 
brilliant value for the location. Great bed. Great location. Lovely 
hospitable reception staff. Would definitely book again.Read moreReview 
collected in partnership with this hotelDate of stay: April 2019HelpfulShare</t>
  </si>
  <si>
    <t>FrankandNat wrote a review May 2019East Sussex, United Kingdom45 
contributions23 helpful votes</t>
  </si>
  <si>
    <t>Great Value - Perfectly Placed for Covent GardenTravelodge Covent Garden is a great hotel that is perfectly placed to walk 
to Covent Garden, 7 Dials, Soho and the West End. The room costs are very 
reasonable, the rooms are all clean and fresh and there is a reasonably 
priced restaurant onsite. Just make sure you book in advance because the 
rooms sell out very quicklyRead moreDate of stay: September 2018HelpfulShare</t>
  </si>
  <si>
    <t>https://www.tripadvisor.co.uk/Hotel_Review-g186338-d193057-Reviews-or1120-Travelodge_London_Covent_Garden-London_England.html#REVIEWS</t>
  </si>
  <si>
    <t>sheppardmike88 wrote a review May 2019Daventry, United Kingdom2 
contributions1 helpful vote</t>
  </si>
  <si>
    <t>Wheelchair accessible hotel near Great Queen StreetReasonably priced hotel with most of the disabled features required and 
offering free parking under the hotel - ideally located for Freemason's 
Hall in Great Queen St and restaurants, markets and theatres of Covent 
GardenRead moreReview collected in partnership with TravelodgeDate of stay: 
May 20191 Helpful voteHelpfulShare</t>
  </si>
  <si>
    <t>tiger077 wrote a review May 2019scunthorpe england204 contributions91 
helpful votes</t>
  </si>
  <si>
    <t>https://www.tripadvisor.co.uk/Hotel_Review-g186338-d193057-Reviews-or1125-Travelodge_London_Covent_Garden-London_England.html#REVIEWS</t>
  </si>
  <si>
    <t>Safari47758009124 wrote a review May 2019Esher, United Kingdom1 contribution</t>
  </si>
  <si>
    <t>Good Location but poor service on arrival spoilt our stayWe arrived at 2.30 on Sunday 5th May for a pre booked Superior room. We 
were asked if we had pre booked early checkin which we confirmed we hadnt. 
We were told checkin was 3pm &amp; to wait in reception area if a room became 
available earlier they would come &amp; let us know.At 3pm we rejoined the 
queue to check in.We were again told no rooms were available and to wait a 
further 10 mins.It seemed to be they had a problem with superior rooms not 
showing as having been cleaned on the system.We waited 10 minutes whilst 
the receptionist went off to check. They came back and told us we needed to 
wait a further 10 minutes to which I stated check in was 3pm &amp; we had 
already been waiting for 40 minutes could they please find out what was 
going on as we were in a hurry &amp; had somewhere to be.At…Read moreReview 
collected in partnership with TravelodgeDate of stay: May 
2019HelpfulShareResponse from TravelodgeUK, Molly from the Social Media 
Team at Travelodge London Covent GardenResponded 16 May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</si>
  <si>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sallylamb2018 wrote a review May 2019Romford, United Kingdom3 
contributions1 helpful vote</t>
  </si>
  <si>
    <t>Great staffAmazing staff called Mimi dealt with all our needs can’t fault her at all, 
so thank you to her for making us feel welcome. Andrea was also very 
helpful. Nothing was to much for your staff. Breakfast was nice with lots 
of variety staff also friendly and well maintained to a very clean 
standard.Read moreReview collected in partnership with TravelodgeDate of 
stay: May 2019HelpfulShare</t>
  </si>
  <si>
    <t>Alfonso Morales wrote a review May 2019Valladolid, Spain1 contribution</t>
  </si>
  <si>
    <t>Nice stay.Nice place to stay. Good location , near of pubs , theather, Restaurants . 
The staff was so helpfull Room always fresh and Clean and breakfast 
abundant and tasty. I’ve been many times and I recomend this hotel to my 
friends .Read moreReview collected in partnership with TravelodgeDate of 
stay: May 2019HelpfulShare</t>
  </si>
  <si>
    <t>Venture16499989184 wrote a review May 20191 contribution</t>
  </si>
  <si>
    <t>Great LocationWe have stayed here a few times as the location is great for the West End 
and it is good value for money. Some rooms can be small but comfortable. It 
is easy to get around London on public transport here and it wasn't 
noisy.Read moreReview collected in partnership with TravelodgeDate of stay: 
May 2019HelpfulShare</t>
  </si>
  <si>
    <t>JO H wrote a review May 2019Oswestry, United Kingdom6 contributions3 
helpful votes</t>
  </si>
  <si>
    <t>Clean, tidy and great locationWe stayed on a Sunday night. Great location, just a 6 minute walk to Covent 
Garden tubestation. The hotel was clean, the staff friendly but efficient. 
Breakfast was good with a selection of hot and cold dishes but expensive 
but very convenient. The best bit is that there’s a facility to store your 
luggage (free of charge) from 9am to 6pm. Really useful when checking out 
but can’t take your luggage with you.Read moreReview collected in 
partnership with TravelodgeDate of stay: May 2019HelpfulShare</t>
  </si>
  <si>
    <t>https://www.tripadvisor.co.uk/Hotel_Review-g186338-d193057-Reviews-or1130-Travelodge_London_Covent_Garden-London_England.html#REVIEWS</t>
  </si>
  <si>
    <t>Anne M wrote a review May 2019Ross-on-Wye, United Kingdom3 contributions1 
helpful vote</t>
  </si>
  <si>
    <t>Theatre tripIdeally placed for theatre trip. Clean, comfortable accommodation. Slight 
problem with length of time we waited for dinner with other people ordering 
after and being served ages before us....45 minute wait. Bar staff helpful 
when delay pointed out.Read moreReview collected in partnership with 
TravelodgeDate of stay: May 2019HelpfulShare</t>
  </si>
  <si>
    <t>greggjc wrote a review May 2019Derby, United Kingdom116 contributions49 
helpful votes</t>
  </si>
  <si>
    <t>great location, comfortable, quiet - great stayTechnically it isn't a 5-star hotel, but it deserves a 5-star mark as it 
met and exceeded our expectations - brilliant location, easy walking to 
Covent Garden and other attractions - very comfortable beds, good size room 
and decent value considering its location. Great shower. We slept well. 
Good temperature control. Very clean. Reception staff excellent.Read 
moreReview collected in partnership with TravelodgeDate of stay: May 
2019HelpfulShare</t>
  </si>
  <si>
    <t>Luludundee wrote a review May 2019Dundee40 contributions21 helpful votes</t>
  </si>
  <si>
    <t>teacrafty wrote a review Oct 2018Melbourne, Australia8 contributions2 
helpful votes</t>
  </si>
  <si>
    <t>Very clean and quiet.It was a great place to stay as it was walking distance to the Tower of 
London. The underground we used the most was Aldgate on the circle line or 
Aldgate East. The rooms are small but very clean and quiet. The staff were 
really helpful.Read moreDate of stay: September 2018HelpfulShare</t>
  </si>
  <si>
    <t>Ray W wrote a review Oct 2018Grantham, United Kingdom268 contributions153 
helpful votes</t>
  </si>
  <si>
    <t>Not too badThis is the second time we have stayed at this particular Travel Lodge 
although this time we were not in the Drury Lane complex but the one across 
the road. Everything was fine, no problems at all, the room was clean 
although the windows were filthy. Room service was very good. I liked the 
idea of hanging the ticket outside the door before 11am if you wanted the 
room cleaned. As we were out and about long before 11am each day, we didn't 
have the worry of the room service personnel coming into the room while you 
were still in it, which has happened in other hotels. Booked the room 
several months before the trip and was slightly put out at the different 
rates for each day (we were there for 5 nights) but going by London prices, 
I don't suppose the overall price was too…Read moreReview collected in 
partnership with TravelodgeDate of stay: May 2019HelpfulShare</t>
  </si>
  <si>
    <t>New hotel with business roomsI booked this hotel was it was new and had business rooms. Our room was on 
the 6th floor and we found the room spotless and unmarked but a bit on the 
small size. what let this room down was that the bed a double, sagged 
towards the middle and I felt that I was clinging onto the edge throughout 
the night. I did not report this as the reception staff were busy in the 
morning . I paid £54 for the room as it was a Sunday night and found that 
transport into central London was nearby. The reception staff were 
excellent on arrival, the room was quiet. If you wanted to eat in the 
restaurant prices were not too high .It was a shame about the bed, 
certainly not as comfortable as a rival hotel chain.Read moreDate of stay: 
October 2018HelpfulShare</t>
  </si>
  <si>
    <t>https://www.tripadvisor.co.uk/Hotel_Review-g186338-d193057-Reviews-or1135-Travelodge_London_Covent_Garden-London_England.html#REVIEWS</t>
  </si>
  <si>
    <t>badmuva wrote a review Oct 2018Colchester, United Kingdom3 contributions2 
helpful votes</t>
  </si>
  <si>
    <t>BuckBud wrote a review May 2019Hamilton, Canada291 contributions110 helpful 
votes</t>
  </si>
  <si>
    <t>Great value for moneyGreat centrally located hotel, clean and funky, great comfortable rooms 
with all amenities. Great price for a city stay (if you don’t want a view) 
breakfast tasty and plentiful. Friendly, helpful staff, indispensable 
luggage drop/store. What’s not to like!?Read moreReview collected in 
partnership with TravelodgeDate of stay: October 2018HelpfulShare</t>
  </si>
  <si>
    <t>No room phone?I suppose this is a typical London hotel! Overpriced and average rooms. I 
suppose you accept paying a lot for a hotel in London, but then you expect 
things to be good. This hotel has small rooms, and even smaller bathrooms. 
Talking of bathrooms, there was half a roll of toilet paper and no spare 
roll. Also no tissues! But you can’t complain about it because... yes you 
guessed it, there are no room phones. So down to the front desk you go and 
come back through the lobby carrying toilet paper! Place was very clean 
though. The hotel breakfast was great (extra charge). The staff were very 
helpful and friendly. All in all, I would probably return.Read moreDate of 
stay: May 2019HelpfulShare</t>
  </si>
  <si>
    <t>gmh57 wrote a review May 2019Aberdeen, United Kingdom14 contributions4 
helpful votes</t>
  </si>
  <si>
    <t>https://www.tripadvisor.co.uk/Hotel_Review-g186338-d13569031-Reviews-or1180-Travelodge_London_City_hotel-London_England.html#REVIEWS</t>
  </si>
  <si>
    <t>jigsaw3dlimited wrote a review Oct 2018London, United Kingdom1 contribution</t>
  </si>
  <si>
    <t>Travelodge Covent GardenGreat Location. Close to Theatre Land, Underground Station, Leicester 
Square, Piccadilly Circus, Soho etc. You can come &amp; go when you want. Room 
is large and airy but lacks drawer space for underwear etc so had to keep 
most clothing in the suitcase. We had breakfast included but it was not 
very enjoyable. We have stayed here before and breakfast was a lot better 
so hopefully they can sort this. I would recommend this place and would 
book it again but go out for breakfast as there is plenty place to eat at 
just outside.Read moreReview collected in partnership with TravelodgeDate 
of stay: May 2019HelpfulShare</t>
  </si>
  <si>
    <t>Best yet?OK so its new. However, this is the best TL I have stayed at and over the 
years I've been to dozens probably. The accommodation was as you would 
expect but perfectly comfortable. The food was excellent too.Read moreDate 
of stay: October 2018HelpfulShare</t>
  </si>
  <si>
    <t>syanara wrote a review May 2019Swindon, United Kingdom4 contributions1 
helpful vote</t>
  </si>
  <si>
    <t>redharvey64_10 wrote a review Oct 2018North Yorkshire111 contributions52 
helpful votes</t>
  </si>
  <si>
    <t>Disgusting hotelThis is the worst hotel I’ve ever stayed in. I have no idea how it’s got 
any stars let alone 4. I give it 1star only because the location is ideal 
if you want to stay in Covent Garden. The first room we were given had 
blood on the door and toilet seat, mould growing on the ceiling, massive 
sticky looking drips down the wall (no idea what this was), the carpet was 
falling to pieces and filthy, and the air-con unit was also covered in dirt 
and barely working. I refused to stay in that room and changed rooms. 
Whilst the next room was better, there were still unknown bits stuck to the 
bathroom wall, the hand soap was water, the carpet again falling to pieces 
and dirty, and the air-con whistled constantly. The water never ran cold 
enough to drink out of and had a funny taste. …Read moreDate of stay: May 
20191 Helpful voteHelpfulShareResponse from TravelodgeUK, Shaf from the 
Social Media Team. at Travelodge London Covent GardenResponded 12 May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</si>
  <si>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BrilliantStayed for two nights in one of their new superior rooms. Very clean, bed 
comfortable, all mod cons. Only criticism was no bath. Perfect location 
close to all main city venues. Staff all very helpful. Will be staying 
again. Well done Travelodge well impressedRead moreDate of stay: October 
2018HelpfulShare</t>
  </si>
  <si>
    <t>Jamie wrote a review May 2019Birmingham, United Kingdom18 contributions3 
helpful votes</t>
  </si>
  <si>
    <t>Nazzy wrote a review Oct 2018United Kingdom6 contributions</t>
  </si>
  <si>
    <t>Great Stay for LFWClose to Aldgate station which makes it easily accessible. Hotel is in a 
wide open space and easy to find...new hotel clean and well kept. Plenty of 
places to eat nearby...lovely breakfast a few blocks left at Dulce Cafe. 
Staff friendly and helpful.Read moreReview collected in partnership with 
TravelodgeDate of stay: October 2018HelpfulShare</t>
  </si>
  <si>
    <t>One of the better Travelodge’s!Was given a super room and it was definitely better that then standard 
room. Coffee machine, updated, USB wall sockets, comfy bed and quiet. Bar 
is open till 4am, quick check in and just all round good experience.Read 
moreDate of stay: May 2019HelpfulShare</t>
  </si>
  <si>
    <t>duncanMidlands wrote a review May 2019midlands31 contributions21 helpful 
votes</t>
  </si>
  <si>
    <t>Great StayStayed over night with friends. Basic but clean and comfortable with good 
amenities. Food was lovely but the staff made it so worth while. All were 
so helpful and welcoming (especially the bar staff). There was eight of us 
and we all enjoyed our stay.Read moreDate of stay: May 2019HelpfulShare</t>
  </si>
  <si>
    <t>Miss N wrote a review Oct 2018Chepstow, United Kingdom5 contributions5 
helpful votes</t>
  </si>
  <si>
    <t>https://www.tripadvisor.co.uk/Hotel_Review-g186338-d193057-Reviews-or1140-Travelodge_London_Covent_Garden-London_England.html#REVIEWS</t>
  </si>
  <si>
    <t>Excellent hotelVery clean, smart looking hotel. Excellent location across the road from 
Aldgate station and a short 5-10 min walk to Liverpool St. station. Was 
given a room on the ground floor overlooking a walkway, surprisingly very 
quiet considering. Excellent sized room with excellent facilities. Room 
description and pictures exactly as described on website. Would highly 
recommend and would definitely stay again.Read moreReview collected in 
partnership with TravelodgeDate of stay: September 2018HelpfulShare</t>
  </si>
  <si>
    <t>https://www.tripadvisor.co.uk/Hotel_Review-g186338-d1812157-Reviews-or180</t>
  </si>
  <si>
    <t>Wander53437845028 wrote a review May 2019Northamptonshire, United Kingdom1 
contribution</t>
  </si>
  <si>
    <t>https://www.tripadvisor.co.uk/Hotel_Review-g186338-d13569031-Reviews-or1185-Travelodge_London_City_hotel-London_England.html#REVIEWS</t>
  </si>
  <si>
    <t>Short StayBetter all round than many far more expensive London Hotels. Comfortable, 
well equipped room. Efficient check-in, check-out procedures. Location is 
great for getting around theatre land and the city generally.Read 
moreReview collected in partnership with TravelodgeDate of stay: April 
2019HelpfulShare</t>
  </si>
  <si>
    <t>Cath S wrote a review May 2019Wigan, United Kingdom51 contributions16 
helpful votes</t>
  </si>
  <si>
    <t>Much better!Second visit and stayed on the Drury lane hotel. Had a ground floor room 
which was quiet and comfortable. Great welcome, lovely clean room and 
unlike my previous stay air con! Can’t beat a travelodge breakfast!Read 
moreDate of stay: May 2019HelpfulShare</t>
  </si>
  <si>
    <t>Brian L wrote a review Oct 2018Dublin127 contributions24 helpful votes</t>
  </si>
  <si>
    <t>dianavenegas wrote a review May 2019Bournemouth, United Kingdom4 
contributions11 helpful votes</t>
  </si>
  <si>
    <t>Great Location, Friendly staff, clean roomsWe (2 Adults) stayed for 4 nts. Great location beside Aldgate tube and 8 
min walk to Liverpool St. Also right beside Spitalfield Markets and 
Petticoat Lane market on Sundays. Staff were very friendly and helpful. 
Rooms are OK size, but are very clean.Read moreDate of stay: September 
2018HelpfulShare</t>
  </si>
  <si>
    <t>Scarlet8201 wrote a review Oct 2018Stockholm, Sweden44 contributions17 
helpful votes</t>
  </si>
  <si>
    <t>Almost perfectTravel lodge is exceptional value for money, I have never found anywhere 
else to stay in central London for under £40 a night that offers the same 
facilities. I stayed at the Covent Garden site (Drury Lane), my room was 
exceptionally clean, and I heard no traffic or noise from other rooms which 
was great. Staff were friendly and courteous. The room had facilities for 
making coffee and tea, an ironing board, and an option for free wifi for 30 
minutes (it was £3 for 24 hours thereafter). Aircon available, which I 
didn't use. Bathroom was clean and perfect for my needs. The single issue 
that let the experience down was that the pillows were hard and 
uncomfortable so my sleep quality wasn't brilliant, which is a shame 
because the whole stay was perfect other than this.Read moreReview 
collected in partnership with TravelodgeDate of stay: May 2019HelpfulShare</t>
  </si>
  <si>
    <t>Excellent value for money at great locationPerfect hotel for a London weekend when you are out all day - 2 minutes 
walk from Aldgate (East) underground, super convenient. The hotel is very 
new and modern, and I had a restful sleep in a comfortable bed. Normally I 
prefer smaller cosier hotels, but with London prices, this ended up being 
perfect for my needs (a clean and comfortable place to sleep and shower, 
while being in the city). I did not pay for breakfast, but there are lots 
of breakfast options in the area. The only downside was the room 
temperature, I remained rather chilly even though I adjusted the A/C. I 
would definitely recommend this hotel to friends!Read moreReview collected 
in partnership with TravelodgeDate of stay: September 2018HelpfulShare</t>
  </si>
  <si>
    <t>GreatAdventures2 wrote a review May 2019Melbourne, Australia15 
contributions2 helpful votes</t>
  </si>
  <si>
    <t>JuliaB909 wrote a review Oct 2018Kingsbridge, United Kingdom2 contributions</t>
  </si>
  <si>
    <t>Excellent value hotelA very light, bright &amp; comfortable hotel. The staff are pleasant, helpful 
and welcoming.And unlikemany hotels, the prices for food &amp; drink are very 
good. The location is also good for easy access to the tube, buses etc. My 
hotel of choice for my next visit to London.Read moreReview collected in 
partnership with TravelodgeDate of stay: September 2018HelpfulShare</t>
  </si>
  <si>
    <t>Good location, breakfast good for familyFamily of 4 from Australia, recommended as good location and well priced. 
Agree with their recommendation when we stayed a week in March / April. We 
were in Family Room so at the High Holburn address. Had a friendly welcome 
and room on 7th floor. Room is basic, but all we needed for sleep and 
shower etc. Rooms are tired, carpets, paint etc. but beds were comfortable. 
No fridge, but could open window for fresh air. Lack of AC was no impact on 
us at this time. We took the breakfast offer with kids eating free. 
Pleasantly surprised with the spread, cereals, coffee, fruit salad as well 
as cooked spread. Kids enjoyed and whilst busy we never waited for a table 
or felt rushed. We saw the Drury Lane location when we left bags on our 
last day and it looks to have been refreshed and…Read moreDate of stay: 
April 2019HelpfulShareResponse from TravelodgeUK, Tilly from The Social 
Media Team at Travelodge London Covent GardenResponded 12 May 2019Thank you 
for your feedback about our London Covent Garden hotel. We're pleased to 
learn you had a peaceful and we thank you for sharing your positive stay 
with us. We aim to provide a comfortable stay for all of our guests and 
we're thankful this has been achieved. We will be sure to pass your kind 
comments to the hotel and we do hope you stay with us again.Read more</t>
  </si>
  <si>
    <t>SelbyAndy wrote a review Sep 2018Selby, United Kingdom287 contributions140 
helpful votes</t>
  </si>
  <si>
    <t>Tracy B wrote a review May 2019Blackpool, United Kingdom8 contributions9 
helpful votes</t>
  </si>
  <si>
    <t>Two Night StaySo had a two night stay here, this the best Travelodge I have stayed in, 
yes it is new! The rooms are great with air-conditioning and very comfy 
beds. The breakfast area is nice and airy and the breakfast was goodRead 
moreDate of stay: September 2018HelpfulShare</t>
  </si>
  <si>
    <t>Girly weekendStayed for 2 nites in a twin room. No problems at all. All staff lovely and 
helpful. Food in hotel is lovely and affordable. Location is great to get 
around London buses and underground a stone's throw away. Nice pubs and 
restaurants on the same road. Had a lovely timeRead moreDate of stay: April 
2019HelpfulShare</t>
  </si>
  <si>
    <t>https://www.tripadvisor.co.uk/Hotel_Review-g186338-d193057-Reviews-or1145-Travelodge_London_Covent_Garden-London_England.html#REVIEWS</t>
  </si>
  <si>
    <t>Paradise54084427197 wrote a review May 20191 contribution</t>
  </si>
  <si>
    <t>weekend awayA nice and pleasant hotel. No bad points , staff were friendly and helpful 
would stay there again .It isn't too far away from the hussle and bussle of 
central london . Good sized restaurant and bar areaRead moreReview 
collected in partnership with TravelodgeDate of stay: May 2019HelpfulShare</t>
  </si>
  <si>
    <t>Navigate38517814065 wrote a review May 20191 contribution</t>
  </si>
  <si>
    <t>Overnight stay for the theatreCentral location, easy to find. Very near Covent Garden for the Royal Opera 
House and nearby theatres. Clean, good service especially on reception. 
Breakfast fairly good and efficient. Good value for the money.Read 
moreReview collected in partnership with this hotelDate of stay: May 
2019HelpfulShare</t>
  </si>
  <si>
    <t>Seaside00392706871 wrote a review May 20191 contribution1 helpful vote</t>
  </si>
  <si>
    <t>Our travelodge stayThe room was perfect for us. Comfortable and all convenience. Went to a 
show returned for drinks. We had a disaster at the hub by premiere despite 
paying for two nights left after one painfull night never to return. 
Therefore was so relieved to find the travelodge had a proper comfortable 
bed,a room of good size and tea making facilities.Read moreReview collected 
in partnership with this hotelDate of stay: April 20191 Helpful 
voteHelpfulShare</t>
  </si>
  <si>
    <t>faye p wrote a review May 201980 contributions34 helpful votes</t>
  </si>
  <si>
    <t>Great locationStayed here for 1 night, whilst in London to see our sons. The location is 
amazing... a few minutes walk from the main Covent Garden square, with its 
lovely market, shops and entertainers. The hotel is not the best looking 
from the outside, however inside the reception staff were very welcoming 
and the room was very clean and fresh. We were on the 5th floor with a 
window, so had some views. The only thing that I can say was a negative was 
a strange noise through the night... possibly the pipes or air 
conditioning??? Not sure. However we would stay again as it was so central 
and good value.Read moreDate of stay: May 2019HelpfulShare</t>
  </si>
  <si>
    <t>TCVisits wrote a review May 2019Bournemouth, United Kingdom457 
contributions33 helpful votes</t>
  </si>
  <si>
    <t>Better than most travel lodgesAfter staying in travel lodges around the midlands previously I wasn’t 
expecting good things from this hotel but was a cut above my previous 
experiences. Easy to find and big reception area (if devoid of staff 
wanting to check me in) it wasn’t a bad first impression. The room was 
fine. Reasonably clean and suited my needs for a 1 night stay in the area 
on business. I would recommend for a 1 or 2 night stay tops which I’m sure 
is what the expectation would be for most peopleRead moreDate of stay: May 
2019HelpfulShare</t>
  </si>
  <si>
    <t>https://www.tripadvisor.co.uk/Hotel_Review-g186338-d193057-Reviews-or1150-Travelodge_London_Covent_Garden-London_England.html#REVIEWS</t>
  </si>
  <si>
    <t>Jinx130 wrote a review May 2019Swansea, United Kingdom196 contributions29 
helpful votes</t>
  </si>
  <si>
    <t>Overnight stayI like the travelodge as you know what you are going to get anywhere in the 
UK. We stayed overnight to see magic mike, the hotel location to our venue 
was perfect aswell as Covent Garden itself. The staff were welcoming and 
friendly, overall a pleasant stay.Read moreDate of stay: April 
2019HelpfulShare</t>
  </si>
  <si>
    <t>MumsyT wrote a review May 2019Inverurie, United Kingdom72 contributions11 
helpful votes</t>
  </si>
  <si>
    <t>Bang averageJust spent a few nights at the Covent Garden Travelodge. Couldn’t be more 
ideally located!! Room just as expected for Travelodge. Comfy bed and 
pillows. Peaceful....we were on a quiet floor. Just a bit grubby on closer 
inspection and room in need of a spruce up, chip on cups, etc. Weren’t able 
to pay for our meal with debit card in the bar, so remember cash!Read 
moreDate of stay: May 20191 Helpful voteHelpfulShare</t>
  </si>
  <si>
    <t>portcullis222 wrote a review May 2019Yeovil, United Kingdom6 contributions3 
helpful votes</t>
  </si>
  <si>
    <t>Dreadful room In underground areaMy room was booked and paid for weeks ago.. or so I thought. But I arrived 
at 2300 after going to the theatre and was placed in a shockingly sparse 
room right at the back and next to the utility areas. Woken at 0545 by 
doors swinging and kitchen staff and other staff right outside my window 
shouting and pulling trollies of linen, rubbish, supplies. Complained to 
the assistant manager who would only refund 50% of my stay. I was 
eventually offered a full e-credit as I have an account with Travelodge. 
And free upgrade to premium room next time. I had to accept that as a 
settlement. I was really fed up though as clearly their policy is to sell 
all rooms including mine as I hadn’t arrived earlier. As far as I am 
concerned, the customer, the room which I had reserved and paid for…Read 
moreReview collected in partnership with TravelodgeDate of stay: May 20191 
Helpful voteHelpfulShareResponse from TravelodgeUK, Ben from the Social 
Media Team at Travelodge London Covent GardenResponded 12 May 2019Thank you 
for taking the time to share your experience of your stay at our London 
Covent Garden Travelodge with us. We're pleased to hear that the hotels 
location suited your needs however we are sorry to learn of your 
disappointment with the room provided and that your stay was affected by 
noise. Room are allocated to guests on their arrival at the hotel and 
cannot be reserved during the booking journey however should guests have 
any specific requests they can contact the hotel team directly before their 
stay. We appreciate all the feedback we receive and our Hotel Managers 
regularly review their TripAdvisor reviews in order to fix any issues 
raised and pass on feedback to their team. Thank you once again and we do 
hope you will stay with us in the future.Read more</t>
  </si>
  <si>
    <t>Vic D wrote a review May 2019Toronto, Canada389 contributions107 helpful 
votes</t>
  </si>
  <si>
    <t>Great locationThis hotel is situated very central, close to all the bars and restaurants, 
rooms are very basic but it’s a Travelodge - budget hotel. Great English 
breakfast and bar is open 24 hrs. Very friendly staff.Read moreDate of 
stay: May 2019HelpfulShare</t>
  </si>
  <si>
    <t>Chloe wrote a review May 20199 contributions1 helpful vote</t>
  </si>
  <si>
    <t>Weekend breakStayed here with my partner for 2 nights. Air conditioning in room and the 
room was spacious. We ate in on one night and the food was very nice. The 
whole atmosphere in the restaurant was very good. Very busy. Right in the 
middle of London so alot to do. The best travelodge I have stayed in.Read 
moreDate of stay: May 2019HelpfulShare</t>
  </si>
  <si>
    <t>https://www.tripadvisor.co.uk/Hotel_Review-g186338-d193057-Reviews-or1155-Travelodge_London_Covent_Garden-London_England.html#REVIEWS</t>
  </si>
  <si>
    <t>Hannah wrote a review May 201961 contributions9 helpful votes</t>
  </si>
  <si>
    <t>Good locationGreat location meaning we could walk most places around London. Friendly 
staff. Nice clean and quiet room. However, no plug sockets next to the 
beds. Quite pricey at the weekend for a Travelodge. Would return.Read 
moreDate of stay: May 2019HelpfulShare</t>
  </si>
  <si>
    <t>Lindsey M wrote a review May 201933 contributions2 helpful votes</t>
  </si>
  <si>
    <t>Great valueCentral hotel in an excellent locality. Was mostly clean (room wasn't 
cleaned twice even though we put the sign on the door and we did report 
this to the front desk). Breakfast was plentiful,varied and good. Staff 
were very helpful. Front stairs might be an issue for mobility impaired 
persons, but they do have a ramp at the back.Read moreDate of stay: May 
2019HelpfulShare</t>
  </si>
  <si>
    <t>djanhf wrote a review May 20191 contribution</t>
  </si>
  <si>
    <t>A weekend away for my partner and I. Great customer service!A short break from the kids, just to get some sleep and peace!! The beds 
were very comfy in the super room and the customer service was excellent. 
We pestered a ‘Roshaan Shake’ who was working at the front desk for advice 
on local attractions as well as a few minor complaints in our room, she 
handled it with ease and gave us great advice for local places that are 
good to visit. We travel to hotels fairly often and really value customer 
service like hers, it definitely adds to the trip! Will come back soon!Read 
moreDate of stay: April 2019HelpfulShare</t>
  </si>
  <si>
    <t>https://www.tripadvisor.co.uk/Hotel_Review-g186338-d193057-Reviews-or1160-Travelodge_London_Covent_Garden-London_England.html#REVIEWS</t>
  </si>
  <si>
    <t>BryanS wrote a review May 2019United Kingdom3 contributions2 helpful votes</t>
  </si>
  <si>
    <t>A family room for the night, nothing more.Finding a family room for parents and a five and seven year old, at a weeks 
notice in London can be tough when two rooms are over kill yet many rooms 
are two small for additional beds. The travelodge covent garden family room 
solved this problem with ample space for a double bed plus two singles. The 
good: Quick to check in. Room provided was on 2nd floor and had a lot of 
traffic noise, on request the staff quickly moved us to a higher floor. 
When leaving the next day the hotel offered a left luggage facility that 
just worked. The bathroom was clean. The price, £130 for a one night stay. 
The not so good: The hotel was worn, carpets are stained in the rooms and 
along the corridors, while the bathroom was clean everything felt grubby 
with age. The room had no air…Read moreDate of stay: April 20191 Helpful 
voteHelpfulShare</t>
  </si>
  <si>
    <t>Cl4r4bell wrote a review May 2019Liverpool, United Kingdom27 contributions3 
helpful votes</t>
  </si>
  <si>
    <t>Great location for everythingGreat hotel in a fantastic location would definitely recommend ! We stayed 
her to go and see Hamilton. After checking in to our room which was nice 
and clean we then made our way out. This hotel is in such an ideal location 
so close to Covent Garden, the Seven Dials and Leicester Square! Ideal for 
theatre goersRead moreReview collected in partnership with TravelodgeDate 
of stay: April 2019HelpfulShare</t>
  </si>
  <si>
    <t>Navigate556860 wrote a review May 20191 contribution</t>
  </si>
  <si>
    <t>Family room, Covent GardenExcellent, spacious family room for 4, cetral location, very quiet at night 
and great breakfast (kids breakfast free). All for £65 on Easter bank 
holiday monday. Would definit ly recomment, you need to check prices as 
they vary alot over a short period of time. ��Read moreReview collected in 
partnership with TravelodgeDate of stay: April 2019HelpfulShare</t>
  </si>
  <si>
    <t>brianscross wrote a review May 2019Plymouth, United Kingdom5 contributions1 
helpful vote</t>
  </si>
  <si>
    <t>Trip to SohoArrived and Travelodge was pretty much as expected. Problems started when 
being abruptly woken at 7.30 due to loud bangs outside which lasted 30 
mins, and also we had no electricity leaving us in the dark and not able to 
use shower, lights kettle tv etc. We were offered a £45 credit on 
departure, which we have yet to see!!Read moreReview collected in 
partnership with TravelodgeDate of stay: April 2019HelpfulShareResponse 
from TravelodgeUK, Ben from the Social Media Team at Travelodge London 
Covent GardenResponded 12 May 2019Thank you for taking the time to share 
your experience of your stay at our London Covent Garden Travelodge with 
us. We are sorry to learn that your stay was affected by noise and a power 
cut. These type of issues are something that can not always be resolved as 
efficiently and quickly as we would hope as an external company may need to 
be called. If you have still not received the eVoucher can we ask you to 
contact our Customer Services team via our website. Thank you once again 
and we do hope you will stay with us in the future.Read more</t>
  </si>
  <si>
    <t>https://www.tripadvisor.co.uk/Hotel_Review-g186338-d193057-Reviews-or1165-Travelodge_London_Covent_Garden-London_England.html#REVIEWS</t>
  </si>
  <si>
    <t>GrandTour47168339807 wrote a review May 20191 contribution</t>
  </si>
  <si>
    <t>a great location to be in.I have been here before so central to every thing to see od do in London 
nice staff a basic room nothing fancy but you only sleep in it and the 
sheets were lovely and fresh the breakfast was nice and the staff really 
nice and helpful.Read moreReview collected in partnership with 
TravelodgeDate of stay: April 2019HelpfulShare</t>
  </si>
  <si>
    <t>landingz wrote a review Apr 201915 contributions8 helpful votes</t>
  </si>
  <si>
    <t>Fantastic customer serviceIt’s unusual to stay in a franchise hotel and experience such a personal 
experience when it comes to customer service and the personal touch. The 
staff on the bar and particular Yiota made what was a normal business trip 
in a real experience where they actually take the time the speak to guests 
and made me feel valued as a guest. It is usual to experience such customer 
services in central London.Read moreDate of stay: April 2019HelpfulShare</t>
  </si>
  <si>
    <t>John Cowey wrote a review Apr 2019Langley Moor, United Kingdom14 
contributions5 helpful votes</t>
  </si>
  <si>
    <t>Great location. Does the job.I'm a fairly regular visitor to this establishment. Location a relatively 
short walk from where I work and close to some interesting stuff to make a 
nighttime wander enjoyable. If you're looking for a base for sight seeing 
or theatre this is a great choice. It's a fairly impersonal experience but 
I've never had any issues with the room. There are two blocks on either 
side of the road. I am always allocated to the one on Drury Lane so can't 
comment on the other building.Read moreDate of stay: April 2019HelpfulShare</t>
  </si>
  <si>
    <t>https://www.tripadvisor.co.uk/Hotel_Review-g186338-d1812157-Reviews-or185</t>
  </si>
  <si>
    <t>Iker wrote a review Apr 2019Vitoria-Gasteiz, Spain3 contributions2 helpful 
votes</t>
  </si>
  <si>
    <t>Location is excellent!I travelled with my wifer and 2 kids.we had to take 2 rooms. they gave us 
room next to each other, so that was helpful. Both of them were modern and 
quiet. Hotel location is excellent. walking distance to town center.Read 
moreReview collected in partnership with TravelodgeDate of stay: April 
2019HelpfulShare</t>
  </si>
  <si>
    <t>loveofmaneki wrote a review Apr 2019Scotland, United Kingdom643 
contributions95 helpful votes</t>
  </si>
  <si>
    <t>https://www.tripadvisor.co.uk/Hotel_Review-g186338-d193057-Reviews-or1170-Travelodge_London_Covent_Garden-London_England.html#REVIEWS</t>
  </si>
  <si>
    <t>Philip M wrote a review Apr 2019Cheltenham, United Kingdom69 
contributions48 helpful votes</t>
  </si>
  <si>
    <t>Good Location - The Only Plus Point.In the area of Covent Garden. We had a "Super Room". Sadly very little was 
super. Spacious enough room but with a portaloo stuffed in the corner! What 
towels were there were used to mop up the water from the shower which 
sprayed everywhere in that tiny bathroom. Wifi was difficult to access and 
did not (as advertised) stretch to 2 devices. It was also charged for! 
Still that's London for you. We're only up from the sticks so what do we 
know?Read moreReview collected in partnership with TravelodgeDate of stay: 
April 20191 Helpful voteHelpfulShareResponse from TravelodgeUK, Shaf from 
the Social Media Team. at Travelodge London Covent GardenResponded 30 Apr 
2019Thank you for reviewing our London Covent Garden Travelodge. We're 
really sorry to learn of your disappointment regarding the shower and WiFi 
on this occasion. Feedback is invaluable and our Hotel Managers regularly 
review their TripAdvisor reviews in order to fix any issues raised and pass 
on feedback to their team. Thank you once again and we do hope you will 
stay with us in the future.Read more</t>
  </si>
  <si>
    <t>Tony F wrote a review Apr 20196 contributions3 helpful votes</t>
  </si>
  <si>
    <t>Filthy Drury Lane Travel Lodgesent from one hotel to another due to Travel Lodge Mix up after that we 
think we ended up in the wrong travel lodge and Receptionist tried to give 
us a family room instead of a twin that we booked, then tried to charge us 
for breakfast that we had already paid for, filthy room, next to noisy 
lift, stains on carpet, stains in toilet &amp; bath, stains and pen marks on 
bedding, should have used Premier InnRead moreReview collected in 
partnership with TravelodgeDate of stay: April 20191 Helpful 
voteHelpfulShareResponse from TravelodgeUK, Shaf from the Social Media 
Team. at Travelodge London Covent GardenResponded 30 Apr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</si>
  <si>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Regina H wrote a review Apr 2019New York, United States22 contributions9 
helpful votes</t>
  </si>
  <si>
    <t>Perfect Place to stay in LondonThis hotel is perfect for when you go to London. It is super central (I 
love the street it is on - Drury Lane!). The rooms are quiet, neat and 
quaint. The breakfast everyday is very fresh and delicious. I had dinner 
there late one evening and got the pizza - it was SUPER - just like a NY 
pizza! This is truly the best place to stay if you are going to visit 
London.Read moreReview collected in partnership with TravelodgeDate of 
stay: April 2019HelpfulShare</t>
  </si>
  <si>
    <t>kaye m wrote a review Apr 20191 contribution</t>
  </si>
  <si>
    <t>moving roomspaying for super room the first room was so small and dark it looked like a 
cupboard, returned to reception to ask for a bigger room, the staff we 
happy to change the room and moved us to the 8th floor, the room was ok but 
the curtain was hanging off the dimmer switch for the min lights didn't 
work and the head board light was also broken. In the morning we reported 
the problems and once again moved rooms. This was my husbands 60th birthday 
weekend which was not without issues in the hotel.Read moreReview collected 
in partnership with TravelodgeDate of stay: April 2019HelpfulShareResponse 
from TravelodgeUK, Ben from the Social Media Team at Travelodge London 
Covent GardenResponded 8 May 2019Thank you for reviewing your stay with us 
at our London Covent Garden hotel. We are pleased to hear that you found 
the hotel team to be helpful during your stay however we are sorry to learn 
of the problems experienced with the rooms you were provided.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</si>
  <si>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https://www.tripadvisor.co.uk/Hotel_Review-g186338-d193057-Reviews-or1175-Travelodge_London_Covent_Garden-London_England.html#REVIEWS</t>
  </si>
  <si>
    <t>Liz H wrote a review Apr 2019Four Marks, United Kingdom20 contributions7 
helpful votes</t>
  </si>
  <si>
    <t>Good location and good value for moneyThe Travelodge London Covent Garden is in a great location. Surprisingly 
quiet considering it's location. Very comfortable clean rooms. Staff were 
very helpful with information and maps of local area.Read moreReview 
collected in partnership with TravelodgeDate of stay: April 2019HelpfulShare</t>
  </si>
  <si>
    <t>Birgit1977 wrote a review Apr 2019Harndrup, Denmark2 contributions</t>
  </si>
  <si>
    <t>Perfect situated, clean and good priceVery well situated, friendly staff, and clean rooms. Every day the beds 
were made. the bathroom was clean and well functioning. The staff in the 
kitchen was also friendly. It seemed like a quiet neighboorhood, although 
in the middle of the cityRead moreReview collected in partnership with 
TravelodgeDate of stay: April 2019HelpfulShare</t>
  </si>
  <si>
    <t>GuildfiordTrotter wrote a review Apr 2019Guildfiord7 contributions8 helpful 
votes</t>
  </si>
  <si>
    <t>Nothing to recommendBed clean and fine but hotel tired and room bare and unwelcoming . Do not 
expect anything other than a bed. This hotel is tired and past its best. 
Nothing to recommend it.Not particular value for money and on reflection 
would have looked for something better.Read moreReview collected in 
partnership with TravelodgeDate of stay: April 2019HelpfulShare</t>
  </si>
  <si>
    <t>https://www.tripadvisor.co.uk/Hotel_Review-g186338-d193057-Reviews-or1180-Travelodge_London_Covent_Garden-London_England.html#REVIEWS</t>
  </si>
  <si>
    <t>lauren a wrote a review Apr 2019south wales10 contributions7 helpful votes</t>
  </si>
  <si>
    <t>Great value.No faults. Stayed for one night and it was great for what we needed- just a 
base when visiting London. Hotel manager approached us at breakfast to 
introduce himself and ask if we were happy with our stay and if there was 
anything we needed etc... this was very welcoming. Overall no faults and 
very happy with our stay :-)Read moreReview collected in partnership with 
TravelodgeDate of stay: April 2019HelpfulShare</t>
  </si>
  <si>
    <t>Inspiration563161 wrote a review Apr 20191 contribution</t>
  </si>
  <si>
    <t>Decent Stay in Convent GardenIt was really a good stay - for the price its not as great as you would 
think. We paid extra for WiFi, we used the breakfast each morning, which 
helped us on our way each day. Location location location. It is in a great 
area and we found it quite clean after getting a room that hadn't been made 
up - the new room was just fine.Read moreReview collected in partnership 
with TravelodgeDate of stay: April 2019HelpfulShareResponse from 
TravelodgeUK, Ben from the Social Media Team at Travelodge London Covent 
GardenResponded 30 Apr 2019Thank you for reviewing your stay with us at our 
London Covent Garden hotel. We're pleased to learn you enjoyed the location 
of the hotel, you found your room to be clean and that your overall 
experience was a positive one. We appreciate all the feedback we receive 
and our Hotel Managers regularly review their TripAdvisor reviews in order 
to fix any issues raised and pass on feedback to their team. Thank you once 
again and we do hope you will stay with us in the future.Read more</t>
  </si>
  <si>
    <t>Graham D wrote a review Apr 20194 contributions</t>
  </si>
  <si>
    <t>Graham’s review of the Covent Garden travel lodgeThis travelodge is ideally located in Covent Garden just a ten minute walk 
to the nearest tube station. The staff are very friendly and the fact that 
it has a restaurant is a bonus. We have stayed here before and wouldn’t 
hesitate to stay again.Read moreReview collected in partnership with this 
hotelDate of stay: April 2019HelpfulShare</t>
  </si>
  <si>
    <t>EuphemiaFarq wrote a review Apr 2019Newcastle upon Tyne, United Kingdom7 
contributions2 helpful votes</t>
  </si>
  <si>
    <t>Would definitely returnMuch better than expected - we’re planning another visit to London and will 
be returning to this accommodation. Few minutes walk from the tube and 
Oxford Street and Neale’s Yard. Staff were helpful and friendly.Read 
moreReview collected in partnership with this hotelDate of stay: April 
2019HelpfulShare</t>
  </si>
  <si>
    <t>https://www.tripadvisor.co.uk/Hotel_Review-g186338-d193057-Reviews-or1185-Travelodge_London_Covent_Garden-London_England.html#REVIEWS</t>
  </si>
  <si>
    <t>Hilary T wrote a review Apr 2019Nottingham, United Kingdom29 
contributions23 helpful votes</t>
  </si>
  <si>
    <t>Comfy stayWe had a lovely 2 night stay, we were given a choice of travel lodge (there 
is one on each side of the road)we were then offered a low floor or a 
higher floor.we chose higher with a nice view over London. The room was 
very spacious and clean.The only tiny thing was that the tea coffee and 
milk wasnt replenishedRead moreDate of stay: April 2019HelpfulShare</t>
  </si>
  <si>
    <t>497colleenc wrote a review Apr 2019Greystones, Ireland1 contribution1 
helpful vote</t>
  </si>
  <si>
    <t>Second time here. Will probably be back.Such a great location and the hotel bar is handy if you're on a family 
holiday. Room was clean, comfortable and well-maintained. Staff went out of 
their way to make our stay enjoyable. They informed us about left luggage 
store as we were leaving which they didn't have to do but it made such a 
difference to our dayRead moreReview collected in partnership with 
TravelodgeDate of stay: April 20191 Helpful voteHelpfulShare</t>
  </si>
  <si>
    <t>johnhZ1382PC wrote a review Apr 2019Neath Port Talbot, United Kingdom4 
contributions3 helpful votes</t>
  </si>
  <si>
    <t>Basic. Many things didn't work in our room.Our room was very basic. The air conditioner didn't work and neither did 
the extractor fan in the bathroom. The toilet was dirty under the bowl. The 
TV did not have USB. Really, it's no frills. None. The beds and bedding are 
very comfortable though. Also there's one clothes rail with 5 hangers. One 
shelf. Like I said. Basic.Read moreReview collected in partnership with 
TravelodgeDate of stay: April 2019HelpfulShareResponse from TravelodgeUK, 
Ben from the Social Media Team at Travelodge London Covent GardenResponded 
30 Apr 2019Thank you for taking the time to share your experience of your 
stay at our London Covent Garden Travelodge with us. We're pleased to hear 
that you found the bed to be comfortable however we are sorry to learn that 
you felt your room was basic and of your disappointment with the facilities 
and cleaning standards. We appreciate all the feedback we receive and our 
Hotel Managers regularly review their TripAdvisor reviews in order to fix 
any issues raised and pass on feedback to their team. Thank you once again 
and we do hope you will stay with us in the future.Read more</t>
  </si>
  <si>
    <t>Chris wrote a review Apr 2019Bristol, United Kingdom9 contributions1 
helpful vote</t>
  </si>
  <si>
    <t>Excellent location for Central London/Covent GardenA modern hotel located in Drury Lane, Covent Garden. Many rooms have been 
upgraded but not all. Ask for these rooms when booking in. Very expensive 
on certain dates. I paid £179 plus £3 for WiFi for a small dated box type 
room with a very dated bathroom.Read moreReview collected in partnership 
with TravelodgeDate of stay: March 2019HelpfulShare</t>
  </si>
  <si>
    <t>Theresa B wrote a review Apr 2019Bradford, United Kingdom10 contributions2 
helpful votes</t>
  </si>
  <si>
    <t>London sightseeing trip with friendsA great hotel in the centre of everything but nice and quiet. Thank you 
Leila on reception who changed our room due to faulty bathroom light- great 
fast response to our problem. Very polite and pleasant.Read moreDate of 
stay: April 2019HelpfulShare</t>
  </si>
  <si>
    <t>https://www.tripadvisor.co.uk/Hotel_Review-g186338-d193057-Reviews-or1190-Travelodge_London_Covent_Garden-London_England.html#REVIEWS</t>
  </si>
  <si>
    <t>Jemb89 wrote a review Apr 2019Tideswell, United Kingdom4 contributions1 
helpful vote</t>
  </si>
  <si>
    <t>Awful stayLocation is probably the only good thing about this hotel , we arrived at 
4.30 to be told system was down and had walk over to the other hotel to 
check in which is fine got there and was told to go for walk round London 
for bit as our room was not ready , we had been walking round all day and 
ya d a 5 year old and my self was 6montha pregnant ! I asked if I could 
take the key and wait for it to be cleaned which they were happy about 
after An hour o asked the manager if it was ready to which he apologised as 
it was still not , then tried to offer us alcoholic drinks to be apologetic 
which was a nice thought but we really just wanted the room ! Eventually it 
became available ! The room was gross the windows gross the bath was dirty 
it was just all gross would not stay here again ,…Read moreDate of stay: 
April 2019HelpfulShareResponse from TravelodgeUK, James from the Social 
Media Team at Travelodge London Covent GardenResponded 25 Apr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</si>
  <si>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JeeHaa_1959 wrote a review Apr 2019Flanders, Belgium1 contribution</t>
  </si>
  <si>
    <t>Very nice.Excellent location. Five minute walk to underground. Clean and spacy room. 
No noise from outside. Comfortable bed. Complete and good working bathroom. 
Friendly staff. Delicious and unlimited English breakfast.Read moreReview 
collected in partnership with TravelodgeDate of stay: April 2019HelpfulShare</t>
  </si>
  <si>
    <t>Steve C wrote a review Apr 2019London, United Kingdom28 contributions4 
helpful votes</t>
  </si>
  <si>
    <t>Xmas 2018 breakBeing a bit of a loner now, im always looking to get away at xmas. Many 
years i have been to the Strand Palace but their prices have increased over 
the last few years and if you are going for quite a few days, it gets very 
costly especially if your having xmas lunch there as well. I was waiting 
for xmas offers on their website, but they never came. Id already booked 
xmas day lunch there and quite by chance i got an email from travelodge 
detailing xmas deals. So i looked up Covent Garden and surprised myself to 
find i could get 5 nights from the 23rd to the 27th for roughly £420 
including breakfast. Very good bargain i thought. Booking made. All i 
wanted to do was relax over xmas, watch TV, sport and movies, &amp; have xmas 
lunch. This i managed to do easily and although you get…Read moreDate of 
stay: December 2018HelpfulShare</t>
  </si>
  <si>
    <t>Dan Phillips wrote a review Apr 2019Bristol, United Kingdom13 contributions</t>
  </si>
  <si>
    <t>Excellent locationExcellent location for theatres, eating and generally getting around - 
close to tube stations. Rooms adequate - did have to ask for a hairdryer at 
reception and more loo rolls. Breakfast staff very friendly and randomly my 
boys loved the sausages!Read moreDate of stay: April 2019HelpfulShare</t>
  </si>
  <si>
    <t>https://www.tripadvisor.co.uk/Hotel_Review-g186338-d193057-Reviews-or1195-Travelodge_London_Covent_Garden-London_England.html#REVIEWS</t>
  </si>
  <si>
    <t>Sightseer09548960454 wrote a review Apr 20191 contribution</t>
  </si>
  <si>
    <t>https://www.tripadvisor.co.uk/Hotel_Review-g186338-d1812157-Reviews-or190</t>
  </si>
  <si>
    <t>To good to be trueBooked into a “super room” but got put into a regular room with dingy 
carpets. That pretty much ruined the stay. Of the three elevators that were 
to service 13 floors, one worked. The location is very good but the parking 
nearby is very expensive.Read moreReview collected in partnership with 
TravelodgeDate of stay: April 2019HelpfulShareResponse from TravelodgeUK, 
James from the Social Media Team at Travelodge London Covent 
GardenResponded 25 Apr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</si>
  <si>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tracy s wrote a review Apr 2019Wolverhampton, United Kingdom9 
contributions4 helpful votes</t>
  </si>
  <si>
    <t>Fantastic location, let down by one member of staff.We stayed in 2 room for 2 nights, family of six grandparents, parents and 2 
children 4 &amp; 9. Overall you get what you pay for rooms clean and beds are 
comfortable. We added the option of breakfast and evening meal and prepaid 
this option thinking this was the easiest way, which for breakfast it was 
but evening meal is a nightmare!! Things you need to know if you are 
ordering prepaid food: 1, you must order your starter/main/dessert at the 
same time. 2, they will put the order through for each person one at a time 
so the orders come out at different times (you don't eat together). 3, the 
staff get really annoyed at your inexperience and lack of understanding and 
have no patience. Scottish lady on our first night was absolutely horrible! 
And it wasn't the accent, she was…Read moreReview collected in partnership 
with TravelodgeDate of stay: April 20191 Helpful voteHelpfulShare</t>
  </si>
  <si>
    <t>Disappointed wrote a review Apr 20196 contributions3 helpful votes</t>
  </si>
  <si>
    <t>Value for moneyGreat value for money. We stayed I a super room which provided coffee 
machine,hair dryer, iron and ironing board if you needed them. Clean well 
decorated new room, comfy bed and pillows. Hot day when we arrived and air 
con was set to cool which was brilliant. Quiet room on the 5th floor, so a 
good nights sleep. Well situated for the local shows nd eating places. 
Vibrant area with lots to do, Oxford and regent street just a walk away. 
Walking distance of Trafalgar Square. Been before and would go again.Read 
moreReview collected in partnership with TravelodgeDate of stay: April 
2019HelpfulShare</t>
  </si>
  <si>
    <t>Karen C wrote a review Apr 2019San Francisco, California10 contributions6 
helpful votes</t>
  </si>
  <si>
    <t>Very convenient location, comfortable roomGreat location and very affordable price. Near the tube and easily walkable 
to Covent Garden and theatre activities. Simple, clean room. Expect some 
city noise, but it wasn't a bother for our family. Would stay here 
again.Read moreReview collected in partnership with this hotelDate of stay: 
January 2019HelpfulShare</t>
  </si>
  <si>
    <t>cdevans wrote a review Apr 2019Dudley, United Kingdom27 contributions11 
helpful votes</t>
  </si>
  <si>
    <t>Great staffI was staying here for 4 nights with two separate bookings. On check in 
Leila was amazing. She quickly linked my rooms together so that I wasn’t 
inconvenienced and even waived an additional fee. I wish more hotel staff 
were as helpful and friendly as the staff at this hotel.Read moreDate of 
stay: April 2019HelpfulShare</t>
  </si>
  <si>
    <t>https://www.tripadvisor.co.uk/Hotel_Review-g186338-d193057-Reviews-or1200-Travelodge_London_Covent_Garden-London_England.html#REVIEWS</t>
  </si>
  <si>
    <t>Alison P wrote a review Apr 2019Cambridge, United Kingdom49 contributions23 
helpful votes</t>
  </si>
  <si>
    <t>BasicHad a 2 night stay here over the easter break. Paid for early check in, and 
when we arrived, rooms ready. We had booked the comfort rooms. First time 
we had stayed in a Travel Lodge, normally Premier Inn! Rooms where on 4th 
floor, seemed clean enough, shower only and very small bathroom. When 
returning after our evening out, had a drink in the bar, staff very 
friendly, however bar area not inviting at all, more like a sports bar! 
Large TV screens, everybody just looking at it! When returning to rooms, we 
ended up remaking our bed, bottom sheet hanging on, duvet opening to one 
side, very odd! The mattress needs replacing, dips in the middle big time. 
We had our windows shut all night, but the noise from outside was 
horrendous! Breakfast, was ok, just make sure you have a. copy of…Read 
moreDate of stay: April 2019HelpfulShare</t>
  </si>
  <si>
    <t>mon0 wrote a review Apr 2019West Midlands, United Kingdom71 contributions24 
helpful votes</t>
  </si>
  <si>
    <t>Birthday WeekendThey stay was good, I requested an outward facing window (which we 
eventually got after 2 attempts) the rooms were actually very nice, very 
comfortable. The location is great very convenient. Staff were warm, we had 
a few drinks downstairs at the bar and they were polite.Would return for 
next London trip!Read moreDate of stay: February 2019HelpfulShare</t>
  </si>
  <si>
    <t>5868lisa wrote a review Apr 2019Brighton, United Kingdom8 contributions1 
helpful vote</t>
  </si>
  <si>
    <t>Value for MoneyGreat place to stay for central London, right on your door step is Covent 
Garden and just down the road to all the theatres. Everyone who worked 
there was very polite and helpful and the breakfast was greatRead 
moreReview collected in partnership with TravelodgeDate of stay: March 
2019HelpfulShare</t>
  </si>
  <si>
    <t>Kel B wrote a review Apr 2019Brighouse, United Kingdom4 contributions2 
helpful votes</t>
  </si>
  <si>
    <t>Great hotel until check outThe staff, hotel and breakfast was fantastic. Couldn't have asked for 
better until the day of check out. We paid for late check out (which I 
believe is 2pm), we came back to the hotel to pack and get ready to leave 
at 12:30 ish to find our key cards were not working. The staff apologised 
stating the system checks everyone out at 12pm, so we had to be escorted 
through the building and to our room to be let in. We should have had our 
cards reactivated as it meant if we went back out or came down to 
reception, we would need to be let in again. But around 1.30pm we had a 
knock on the door, it was a member of staff asking if we were checking out. 
It felt like we were being told we needed to leave. The rest of the trip 
was perfect, no faults at all but this just made it seem…Read moreReview 
collected in partnership with TravelodgeDate of stay: April 2019HelpfulShare</t>
  </si>
  <si>
    <t>Connector680583 wrote a review Apr 20191 contribution</t>
  </si>
  <si>
    <t>Overall okay except for a few unhelpful staffsdo not expect any service other than okay stay. Stay was fine with great 
location, but it is very hard and difficult to get any help from the 
staffs. Most of staffs were not helpful and polite. Please gather any 
information by yourselves before the stay.Read moreReview collected in 
partnership with TravelodgeDate of stay: April 2019HelpfulShare</t>
  </si>
  <si>
    <t>https://www.tripadvisor.co.uk/Hotel_Review-g186338-d193057-Reviews-or1205-Travelodge_London_Covent_Garden-London_England.html#REVIEWS</t>
  </si>
  <si>
    <t>Lou Lou B wrote a review Apr 2019Leeds, United Kingdom967 contributions170 
helpful votes</t>
  </si>
  <si>
    <t>Great ValueVisited with a group of friends . Fab location, lovely friendly staff. Our 
room was on the top floor , hidden by the lift, felt like Harry Potter in 
the broom cupboard. Don’t think we would have found it , if the cleaner 
hadn’t shown us where to look. Room was a fair size, bed was quite hard. 
Bathroom looked tired , limescale on the taps, flooring very shabby. Great 
views of the city. No hairdryer in the room but iron and ironing board.Tea 
and coffee facilities in our room. Breakfast was reasonable. Would be happy 
to stay here again as good location and reasonably priced. ,just remember 
to put the card on your door if you want the room cleaned etc .Read 
moreDate of stay: April 2019HelpfulShare</t>
  </si>
  <si>
    <t>Tara73 wrote a review Apr 2019London, United Kingdom7 contributions</t>
  </si>
  <si>
    <t>Great stay in LondonFriendly staff at the hotel. Didn't have to wait very long at all at 
checking in/out times. Room had everything that was needed, most 
importantly a very comfortable bed. Location was great, 4 minute walk to 
the Royal Opera House, 5 minutes to the tube station. Very noisy throughout 
the night but this was outside the hotel not from within. It was a Saturday 
night and so to be expected I guess.Read moreReview collected in 
partnership with this hotelDate of stay: April 2019HelpfulShare</t>
  </si>
  <si>
    <t>https://www.tripadvisor.co.uk/Hotel_Review-g186338-d193057-Reviews-or1210-Travelodge_London_Covent_Garden-London_England.html#REVIEWS</t>
  </si>
  <si>
    <t>j0hnparks wrote a review Apr 2019Kenilworth, United Kingdom7 contributions</t>
  </si>
  <si>
    <t>London tripHad a lovely stay as always would just like to say Emy the manager went out 
of his way to be friendly and helpful really nice chap all added to a 
lovely weekend in London would highly recommend the travel lodge for a 
reasonable priced hotel in LondonRead moreDate of stay: April 
2019HelpfulShare</t>
  </si>
  <si>
    <t>1bitesizer wrote a review Apr 2019Sotogrande, Spain65 contributions32 
helpful votes</t>
  </si>
  <si>
    <t>Avoid at all costsI would not recommend this hotel. There are cheaper, better quality hotels 
in central London. This has to be one of the worst I have stayed in. 
Absolutely disgusting; my room was filthy: dirty, stained carpet, ‘sticky’ 
tv remote, ‘off white’ towels, ripped armchairs, mildew around the bathtub, 
broken tiles in the bathroom. The room doors were dirty, chipped broken 
wood and stained. The room was booked by my company for a 4 nights stay. As 
I arrived late in the evening after a long flight, I stayed the first night 
and then checked out. I should have taken photos but I was so tired and 
disgusted, I just wanted to get out. I gingerly slept with one eye open. At 
reception, I was asked if I had enjoyed my stay and when I told the 
receptionist what I thought, she ignored me. Very,…Read moreDate of stay: 
April 20193 Helpful votesHelpfulShareResponse from TravelodgeUK, James from 
the Social Media Team at Travelodge London Covent GardenResponded 23 Apr 
2019Thank you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</si>
  <si>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Mark H wrote a review Apr 20191 contribution</t>
  </si>
  <si>
    <t>American 1st time in EuropeVery friendly, helpful staff. Greeted me with respect upon arrival and best 
of all, they allowed me to change my room to no extra cost. Great location 
within walking distance of multiple places to visit.Read moreDate of stay: 
April 2019HelpfulShare</t>
  </si>
  <si>
    <t>https://www.tripadvisor.co.uk/Hotel_Review-g186338-d193057-Reviews-or1215-Travelodge_London_Covent_Garden-London_England.html#REVIEWS</t>
  </si>
  <si>
    <t>Traveler768450 wrote a review Apr 2019Essex, United Kingdom31 
contributions6 helpful votes</t>
  </si>
  <si>
    <t>perfect locationperfect location for the theatres,great breakfast,excellent value hotel,the 
super rooms are much bigger and well worth the extra few pounds,Chinatown 
and oxford street right on your doorstep. We drove up and stayed in the NCP 
car park right next to the Hotel 50% discount for staying in the Travel 
lodge,£22 for 24 hours of secure parking in London,no brainer,cheap as 
chips.Read moreReview collected in partnership with TravelodgeDate of stay: 
April 2019HelpfulShare</t>
  </si>
  <si>
    <t>Paul K wrote a review Apr 2019Waterford, Ireland9 contributions6 helpful 
votes</t>
  </si>
  <si>
    <t>PkavVery very disappointed with this hotel.. I know it's a budget hotel in a 
great central location. But the service was very poor Advertised on their 
website that you can book in early at 12 for a fee . We arrived in London 
very early that morning were told at 12 no you cant book in until 3pm. No 
reason given. Wanted to use the toilets but you had to have a key card to 
get in which we couldn't have until 3. Hotel never changed the towels after 
3 showers they were soaking wet . No refilling of the coffee making 
facilities. No phone to ring ro reception in the rooms . It's TRUE what 
they say . You get what you pay for but on this occasion we didn't even get 
that .. the hotel is by no means cheap either. Would never set foot in a 
travelodge againRead moreDate of stay: April 20191 Helpful 
voteHelpfulShareResponse from TravelodgeUK, Molly from the Social Media 
Team at Travelodge London Covent GardenResponded 23 Apr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</si>
  <si>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Odyssey66709797855 wrote a review Apr 20191 contribution</t>
  </si>
  <si>
    <t>Good locationIt’s in good location to convert garden, china town, soho area. But the 
room feel like a basement room, very low roof, small window with huge water 
conduit view. Dirty kettle, no toothpaste and soap in the shower room with 
£99 per night charge.Read moreReview collected in partnership with 
TravelodgeDate of stay: April 2019HelpfulShareResponse from TravelodgeUK, 
Niki from The Social Media Team at Travelodge London Covent GardenResponded 
23 Apr 2019Many thanks for your review of our London Covent Garden 
Travelodge. We're pleased that you found the hotel to be in an ideal 
location for your needs. We are sorry to hear that you found the kettle to 
be dirty in your room. In such instances, we would suggest that an issues 
are reported to the reception team so they can resolve these for you. We 
will be sure to pass your comments onto the hotel team and we hope to have 
the chance to welcome you back again soon.Read more</t>
  </si>
  <si>
    <t>https://www.tripadvisor.co.uk/Hotel_Review-g186338-d193057-Reviews-or1220-Travelodge_London_Covent_Garden-London_England.html#REVIEWS</t>
  </si>
  <si>
    <t>Lizfiz522 wrote a review Apr 20196 contributions2 helpful votes</t>
  </si>
  <si>
    <t>Great location lovely staff.Fab location in Covent Garden. Great staff. Clean rooms. Not so good power 
shower. Very firm matteress. Great breakfast all you can eat. hot or cold. 
Juices toast fresh fruit salad. Could do with choice off matteress.Read 
moreReview collected in partnership with TravelodgeDate of stay: April 
2019HelpfulShare</t>
  </si>
  <si>
    <t>Michelle G wrote a review Apr 20191 contribution</t>
  </si>
  <si>
    <t>Covent Garden tranquilityGreat location for exploring Covent Garden, 10 minute walk to Leicester 
Square and Oxford Street. Even though it is situated in the heart of Covent 
Garden the rooms were quiet no street noise whatsoever which surprised 
me.Read moreReview collected in partnership with this hotelDate of stay: 
April 2019HelpfulShare</t>
  </si>
  <si>
    <t>Nomad 981 wrote a review Apr 2019Norwich, United Kingdom6 contributions</t>
  </si>
  <si>
    <t>Great Location at an affordable priceGood value, rooms and hotel in general very clean. Staff were pleasant. 
Ideal location for theatre trips. Only downside we’re bar prices ...way 
over the top, plenty of pubs nearby but sometimes you just want to chill in 
your hotel after a busy day!Read moreReview collected in partnership with 
this hotelDate of stay: April 2019HelpfulShare</t>
  </si>
  <si>
    <t>GryRef wrote a review Apr 2019Randaberg Municipality, Norway26 
contributions11 helpful votes</t>
  </si>
  <si>
    <t>Great locationWe stayed here for four nights. Nice and clean in the heart og everything. 
We could walk all over the place in the center og London. Rooms are bigger 
than I am used to, bathrooms are small. The elevator was a bit scary, they 
could probably have someone look in to that.Read moreReview collected in 
partnership with this hotelDate of stay: April 2019HelpfulShare</t>
  </si>
  <si>
    <t>https://www.tripadvisor.co.uk/Hotel_Review-g186338-d193057-Reviews-or1225-Travelodge_London_Covent_Garden-London_England.html#REVIEWS</t>
  </si>
  <si>
    <t>974janetr wrote a review Apr 2019Eastbourne, United Kingdom83 
contributions20 helpful votes</t>
  </si>
  <si>
    <t>Always good valueWe have stayed in both buildings and found the staff in both to be 
excellent. It is possible to walk to a large number of attractions and it 
is in the middle of theatre land.The breakfast is good value especially if 
you have children.Read moreReview collected in partnership with this 
hotelDate of stay: April 2019HelpfulShare</t>
  </si>
  <si>
    <t>Emsie222 wrote a review Apr 2019Cheddar, United Kingdom34 contributions22 
helpful votes</t>
  </si>
  <si>
    <t>Great Value for MoneyIt is in a great location, very close to Covent Garden, the West End/ 
Theatre Land &amp; Trafalgar Square. It is at a great price especially for 
Family Rooms. It has everything you need for a city break and very friendly 
staff. The breakfast is good value and it really is eat &amp; drink as much as 
you need. I would thoroughly recommend, there is nothing to complain 
about.Read moreReview collected in partnership with TravelodgeDate of stay: 
April 2019HelpfulShare</t>
  </si>
  <si>
    <t>mj6 wrote a review Apr 2019manchester england1,352 contributions78 helpful 
votes</t>
  </si>
  <si>
    <t>1 visitStayed overnight the room was clean and well maintained the staff we came 
in contact with were efficient and friendly The hotel is less than 10 mins 
walk from Tottenham Court tube station The hotel is situated near bars 
restaurants and theatres Next time in London I will stay here and would 
recommend itRead moreDate of stay: April 2019HelpfulShare</t>
  </si>
  <si>
    <t>daveblunston wrote a review Apr 2019Solihull, United Kingdom7 
contributions1 helpful vote</t>
  </si>
  <si>
    <t>https://www.tripadvisor.co.uk/Hotel_Review-g186338-d1812157-Reviews-or195</t>
  </si>
  <si>
    <t>Family weekendHotel is in a great position, lots to do and see close by, Room was very 
clean and comfortable and quiet staff were friendly and helpful. would 
definitely stay there again and I will recommend to Others.Read moreReview 
collected in partnership with TravelodgeDate of stay: April 2019HelpfulShare</t>
  </si>
  <si>
    <t>https://www.tripadvisor.co.uk/Hotel_Review-g186338-d193057-Reviews-or1230-Travelodge_London_Covent_Garden-London_England.html#REVIEWS</t>
  </si>
  <si>
    <t>sfkeyter wrote a review Apr 20199 contributions1 helpful vote</t>
  </si>
  <si>
    <t>Not value for moneyI stayed in Covent Gardens, London. For the price that I paid I expected 
glasses, soaps for hand washing, beds that weren't for children and a 
breakfast that wasn't dry and tasted horrid. It was such a disappointment 
and wouldn't go back.Read moreReview collected in partnership with 
TravelodgeDate of stay: April 2019HelpfulShareResponse from TravelodgeUK, 
Ben from the Social Media Team at Travelodge London Covent GardenResponded 
29 Apr 2019Thank you for taking the time to write a review about our London 
Covent Garden hotel. We are sorry to learn that you did not find your room 
to be of great value, and we are sorry to learn of the disappointment 
caused by other aspects of your stay. Feedback is invaluable and our Hotel 
Managers regularly review their TripAdvisor reviews in order to fix any 
issues raised and pass on feedback to their team. Thank you once again and 
we do hope you will stay with us in the future.Read more</t>
  </si>
  <si>
    <t>1460review wrote a review Apr 2019Cambridge, United Kingdom30 
contributions13 helpful votes</t>
  </si>
  <si>
    <t>Happy guest ����Arrived and checked in no problem by Samantha, was allocated room 531, nice 
corner room out the way, but no to far to walk to. Room was lovely, nice 
new super room, everything I needed and very clean! Decided to wait in the 
bar for a friend and have a drink, both bar staff were lovely, mimi and 
adisa, assistant manager adhrama was great and spoke to us, will definitely 
be back :)Read moreDate of stay: April 2019HelpfulShare</t>
  </si>
  <si>
    <t>Max M wrote a review Apr 2019162 contributions13 helpful votes</t>
  </si>
  <si>
    <t>Beaming smile!!!Wow what a welcome!! A beaming smile and the friendliest person ever! 
��Samantha you truly are a little gem,extremely attentive and customer 
service second to none, Travelodge keep hold of this one she will go far 
!!!!! This hotel is exceptionally clean, staff very helpful, our super room 
is fab! Location is perfect!! Happy birthday hubby!!Read moreDate of stay: 
April 2019HelpfulShare</t>
  </si>
  <si>
    <t>Cloda R wrote a review Apr 2019Exeter, United Kingdom4 contributions4 
helpful votes</t>
  </si>
  <si>
    <t>Great location.Excellent location with easy walk to Covent Garden and tube station. Plenty 
of options to eat/drink in the area. Very quiet in the room with good 
facilities. Great for families and friends. The food offering was good for 
families.Read moreReview collected in partnership with TravelodgeDate of 
stay: April 2019HelpfulShare</t>
  </si>
  <si>
    <t>https://www.tripadvisor.co.uk/Hotel_Review-g186338-d193057-Reviews-or1235-Travelodge_London_Covent_Garden-London_England.html#REVIEWS</t>
  </si>
  <si>
    <t>Georgia D wrote a review Apr 2019Bristol, United Kingdom6 contributions1 
helpful vote</t>
  </si>
  <si>
    <t>Expensive for what you getPretty basic, no glasses or soaps etc in the room. Also had very dirty 
windows and could hear everything in rooms next door. It’s quite annoying 
that Travelodge never seem to have twin rooms available- we had to book a 
family room just to get 2 separate beds. Good location thoughRead moreDate 
of stay: April 2019HelpfulShare</t>
  </si>
  <si>
    <t>Iain Halliday wrote a review Apr 2019Aberystwyth, United Kingdom4 
contributions</t>
  </si>
  <si>
    <t>A 5 minute walk from The Royal Opera House - perfectNeeded an overnight bed for our heads after ballet at The Opera House, 
Travelodge Covent Garden seemed to tick these boxes at the time of booking 
online. Check-in was a quick and erfficient procedure handled by very 
friendly and helpful personnel. The room was more than adequately sized 
with a comfy bed, good shower and a Nespresso capsule coffee machine. 
Needed to be off early the following morning, so did not partake of 
breakfast, check out took 20 seconds ! Am sure that we were fortunate that 
our stay was on a Monday night, nevetheless, was very favourable 
impressed.Read moreDate of stay: April 2019HelpfulShare</t>
  </si>
  <si>
    <t>Seaside785421 wrote a review Apr 2019Queenborough, United Kingdom1 
contribution</t>
  </si>
  <si>
    <t>Theatre weekendThis is the second time we have used this travel lodge its clean tidy well 
presented an ideal place to stay for a theatre weekend, Staff are always 
friendly and helpful. Prices do vary a bit depending on when you book.Read 
moreReview collected in partnership with TravelodgeDate of stay: April 
2019HelpfulShare</t>
  </si>
  <si>
    <t>LondonGuy wrote a review Apr 2020London, United Kingdom265 contributions170  helpful votes</t>
  </si>
  <si>
    <t>Hstevens282 wrote a review Apr 2019Leven, United Kingdom216 contributions82 
helpful votes</t>
  </si>
  <si>
    <t>Good, no-nonsense hotel in the heart of LondonWe have used this hotel on a few occasions over the years and have always 
had a satisfactory stay there. Thi trip was no different. It is a 5 minute 
walk from Holborn or Covent Garden tube stations. The building itself is 
not very pre-possessing;an anonymous, concrete block off Drury Lane on the 
corner of Short's Gardens. Inside it is pretty anonymous too with 4 desks 
for rocessing the stream of guests arriving and departing. The lifts 
clanked a bit as they ascended and descended but they got us there each 
time. Our room was 604, a good room to get as it is quiet. However all the 
standard rooms are standard with a double bed, an en-suite and a place to 
hang your clothes and shelves ot stack them. You also get complimentary 
coffee and tea in the room. The bed is comfortable enugh…Read moreReview 
collected in partnership with TravelodgeDate of stay: April 2019HelpfulShare</t>
  </si>
  <si>
    <t>https://www.tripadvisor.co.uk/Hotel_Review-g186338-d193057-Reviews-or1240-Travelodge_London_Covent_Garden-London_England.html#REVIEWS</t>
  </si>
  <si>
    <t>Beagleheart wrote a review Apr 2019Accrington, United Kingdom253 
contributions70 helpful votes</t>
  </si>
  <si>
    <t>It’s a Travelodge.This Travelodge is brilliantly situated and the all you can eat breakfast 
is just like all the others in the chain. If you like that then all is 
good. Here we found the reception staff to be less than helpful when we 
notified them of the lack of shower products in one of our rooms and even 
less helpful when we required some toothpaste because we had forgotten 
ours. The rest of the staff were lovely though.Read moreDate of stay: April 
2019HelpfulShare</t>
  </si>
  <si>
    <t>OnAir539611 wrote a review Apr 20191 contribution</t>
  </si>
  <si>
    <t>Helpful friendly staffFound this to be in a good position to walk into the City. Found the staff 
very helpful and friendly, even though they staff on the bar were new the 
were very helpful and kind. Found the reception staff to be happy to help, 
and treated us with incredible respect. Would use the Covent Garden Travel 
lodge again.Read moreReview collected in partnership with TravelodgeDate of 
stay: April 2019HelpfulShare</t>
  </si>
  <si>
    <t>Ellis T wrote a review Apr 20192 contributions1 helpful vote</t>
  </si>
  <si>
    <t>Disappointing stay due to uncleanlinessThere was a clump of someone hair near the bin when I asked reception to 
sort they didn’t the hair was still there. The ceiling had an unsightly 
stain as did the side of the bed frame very off puttingRead moreReview 
collected in partnership with TravelodgeDate of stay: April 20191 Helpful 
voteHelpfulShareResponse from TravelodgeUK, Molly from the Social Media 
Team at Travelodge London Covent GardenResponded 17 Apr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</si>
  <si>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NorthStar62500641957 wrote a review Apr 20191 contribution</t>
  </si>
  <si>
    <t>Great location and value for moneyFriendly staff, lovely room and great value for money! It is also an 
excellent location - just around the corner from Covent Garden! I would 
highly recommend !! Obviously you can get more luxurious Hotels - but they 
cost 2-3 times more!!Read moreReview collected in partnership with 
TravelodgeDate of stay: April 2019HelpfulShare</t>
  </si>
  <si>
    <t>https://www.tripadvisor.co.uk/Hotel_Review-g186338-d193057-Reviews-or1245-Travelodge_London_Covent_Garden-London_England.html#REVIEWS</t>
  </si>
  <si>
    <t>Tracey J wrote a review Apr 2019Basingstoke, United Kingdom12 
contributions11 helpful votes</t>
  </si>
  <si>
    <t>Alarm going off at 5am and no water the second night!Great location, but poor maintenance and breakfast was like a zoo with poor 
quality food sadly. The check in service was ok, but was told that I would 
be sent a voucher due to a blazing alarm going off at 5am for 5 mins and no 
water the second night. Not adequate at all for a central London hotelRead 
moreReview collected in partnership with TravelodgeDate of stay: April 
2019HelpfulShareResponse from TravelodgeUK, Ben from the Social Media Team 
at Travelodge London Covent GardenResponded 28 Apr 2019We appreciate the 
time you have taken to review our London Covent Garden hotel. We are 
pleased to hear that you liked the hotels location however we are sorry to 
learn of your disappointment with the breakfast and that your stay was 
disturbed due to a fire alarm and problems with hot water. We understand 
the hotel team have offered an eVoucher to apologise for any 
disappointment, this can take up to 30 days to be processed however if you 
have still not received this please be aware that you can always contact 
our Customer Services team via our website who can look into this for you. 
Thank you again for reviewing our hotel.Read more</t>
  </si>
  <si>
    <t>Monika wrote a review Apr 20192 contributions</t>
  </si>
  <si>
    <t>Can’t fault itBasic but clean and sufficient. Room could do with some improvements in 
decor just to bring it to standard of the some other Tr L hotels. Unless I 
was just unlucky with my room this time I won’t know.Read moreReview 
collected in partnership with TravelodgeDate of stay: March 2019HelpfulShare</t>
  </si>
  <si>
    <t>Richard P wrote a review Apr 2019Shrewsbury, United Kingdom38 
contributions9 helpful votes</t>
  </si>
  <si>
    <t>Value for moneyWe were visiting London for a theatre visit. The hotel is conveniently 
placed for theatreland. It was comfortable and clean. Staff were pleasant 
and helpful and we enjoyed a good breakfast after our night there. It was 
excellent value for money.Read moreReview collected in partnership with 
TravelodgeDate of stay: April 2019HelpfulShare</t>
  </si>
  <si>
    <t>https://www.tripadvisor.co.uk/Hotel_Review-g186338-d193057-Reviews-or1250-Travelodge_London_Covent_Garden-London_England.html#REVIEWS</t>
  </si>
  <si>
    <t>Connector39747482974 wrote a review Apr 2019Kingston-upon-Hull, United 
Kingdom1 contribution</t>
  </si>
  <si>
    <t>Great value great locationReally good location for getting around good value hotel and breakfast 
would recommend this hotel if this is the area you want to be in. We had a 
family room and this was a good size for 3 adults. Room was nice and 
tidyRead moreReview collected in partnership with TravelodgeDate of stay: 
April 2019HelpfulShare</t>
  </si>
  <si>
    <t>lourad1 wrote a review Apr 2019Bridgwater, United Kingdom15 contributions6 
helpful votes</t>
  </si>
  <si>
    <t>Ideal locationGreat location - Fateha on reception was extremely helpful! We had a 
superoom - great size comfy bed! Would recommend this Travelodge. Only 
slight issue we had was at breakfast when we were told we couldn't have 
been in the room numbers that we said we were as they weren't down for 
breakfast even though i had an email to prove we bad paid for it!Read 
moreReview collected in partnership with TravelodgeDate of stay: April 
2019HelpfulShare</t>
  </si>
  <si>
    <t>Angie R wrote a review Apr 2019Redditch, United Kingdom42 contributions17 
helpful votes</t>
  </si>
  <si>
    <t>A great findBooked a super room and was worth it - view was non- existent (we were in a 
dark corner room which looked out into a courtyard) but for the time we 
were in the room it didn’t matter. Room included an iron, hair drier and 
coffee machine. Bed was comfy. Location is excellent. School of Rock 
showing just over the road. We walked about 7 minutes to go and watch ‘The 
play that goes wrong’ which is right opposite Mama Mia. Also saw theatres 
showing Les Miserables and Harry Potter on our travels - all within 15 
minutes of the hotel. Staff really friendly on arrival - laughing and 
joking and great to see. Check in was quick (got here at 2pm but able to go 
straight to room). Had a snack before the theatre and then drinks 
afterwards. The barman was really friendly and made me a…Read moreDate of 
stay: April 2019HelpfulShare</t>
  </si>
  <si>
    <t>Titch83 wrote a review Apr 2019Derby, United Kingdom25 contributions6 
helpful votes</t>
  </si>
  <si>
    <t>Great locationIf you want a central location for shopping this is your place. Walking 
distance to Leicester Square, Covent Garden and Oxford street. If you are 
wanting to use the tube to visit other areas you have plenty of options 
within a short walk. The hotel was clean and tidy and pretty much ticked 
all the boxes. Plenty of places close by and even across the road to eat 
and drink at a reasonable price. I will certainly stay here againRead 
moreReview collected in partnership with TravelodgeDate of stay: April 
2019HelpfulShare</t>
  </si>
  <si>
    <t>https://www.tripadvisor.co.uk/Hotel_Review-g186338-d193057-Reviews-or1255-Travelodge_London_Covent_Garden-London_England.html#REVIEWS</t>
  </si>
  <si>
    <t>amanda wrote a review Apr 2019King's Lynn, United Kingdom7 contributions</t>
  </si>
  <si>
    <t>https://www.tripadvisor.co.uk/Hotel_Review-g186338-d1812157-Reviews-or200</t>
  </si>
  <si>
    <t>night awayexcellent service and food , friendly staff and servers, we always know 
Travelodge rooms will be clean and tidy , restaurant and bar area roomy 
clean and bright , good location for west end theatre landRead moreDate of 
stay: April 2019HelpfulShare</t>
  </si>
  <si>
    <t>sjb1024 wrote a review Apr 2019London, United Kingdom38 contributions6 
helpful votes</t>
  </si>
  <si>
    <t>Comfortable, clean room, helpful staff, good locationGenerally happy with our stay in a SuperRoom at this hotel. The room was 
clean and well laird out. Could have done with a little more storage (e.g. 
drawers) but for a couple of nights was fine. Excellent shower. Bed 
comfortable, staff friendly, breakfast very nice. We also had an evening 
meal there and the pizza was rather bland; otherwise a good stay.Read 
moreDate of stay: April 2019HelpfulShare</t>
  </si>
  <si>
    <t>gsy-spur wrote a review Apr 20194 contributions2 helpful votes</t>
  </si>
  <si>
    <t>London Covent GardenA busy central London Hotel that appears somewhat tired in part as not as 
cheap as you might think but has good travel connections and is close to 
plenty of decent eateries. Well located for seeing the sights of London 
avoid check-in at 3.00pm opening time as things can get a bit hectic. Food 
is good, staff are attentive and there is a free luggage facility that is 
open until 6.00pm.Read moreReview collected in partnership with 
TravelodgeDate of stay: April 2019HelpfulShareResponse from TravelodgeUK, 
Ben from the Social Media Team at Travelodge London Covent GardenResponded 
16 Apr 2019Thank you for taking the time to share your experience of your 
stay at our London Covent Garden Travelodge with us. We're pleased to learn 
you enjoyed the location of the hotel and you found the team to be 
attentive during your stay however we are sorry to hear that you felt the 
hotel was tired. Travelodge have an ongoing refurbishment program and, 
while we cannot refurbish every hotel simultaneously, we are working to 
make sure that hotels are refurbished regularly. Feedback is invaluable and 
our Hotel Managers regularly review their TripAdvisor reviews in order to 
fix any issues raised and pass on feedback to their team. Thank you once 
again and we do hope you will stay with us in the future.Read more</t>
  </si>
  <si>
    <t>LeeHabgood wrote a review Apr 2019Bournemouth, United Kingdom7 
contributions4 helpful votes</t>
  </si>
  <si>
    <t>1 night stayQuick check- in, great central location!!!!! close to Covent Garden and 
Holborn tube stations, easy walk to Soho etc. Family room nice, but single 
bed was hard!! apart from that for the price in London was perfect would 
stay again for great location.Read moreReview collected in partnership with 
TravelodgeDate of stay: April 20191 Helpful voteHelpfulShare</t>
  </si>
  <si>
    <t>Mark F wrote a review Apr 20192 contributions1 helpful vote</t>
  </si>
  <si>
    <t>Mr freemanClean and close to all theatres in west end . Booking was easy and staff 
very friendly. Was on 14th floor but all lifts worked. The palace theatre 
was only a 5 minute walk and we passed probably 3 other theaters on the 
way. We would definitely go back there.Read moreDate of stay: April 
2019HelpfulShare</t>
  </si>
  <si>
    <t>https://www.tripadvisor.co.uk/Hotel_Review-g186338-d193057-Reviews-or1260-Travelodge_London_Covent_Garden-London_England.html#REVIEWS</t>
  </si>
  <si>
    <t>MBA77 wrote a review Apr 2019United Kingdom19 contributions</t>
  </si>
  <si>
    <t>Brilliant place.Brilliant place to stay near Covent Garden. The rooms are clean and tidy. 
The area is surrounded with places to visit. It was my first stay in this 
area, but my stay was made very comfortable because of the helpful team at 
Travelodge.Read moreReview collected in partnership with TravelodgeDate of 
stay: April 2019HelpfulShare</t>
  </si>
  <si>
    <t>Michael Williams wrote a review Apr 20194 contributions2 helpful votes</t>
  </si>
  <si>
    <t>Awful. Just awfulArrived and told the wrong room number. Room was then UNDERGROUND. It was 
literally a bunker. No natural daylight. No air. Smelt. Staff were 
uninterested. Location was the only thing that made me stay there. Awful. 
Depressing.Read moreReview collected in partnership with TravelodgeDate of 
stay: April 20191 Helpful voteHelpfulShareResponse from TravelodgeUK, Ben 
from the Social Media Team at Travelodge London Covent GardenResponded 16 
Apr 2019Thank you for taking the time to write a review about our London 
Covent Garden hotel. We are sorry to learn of your disappointment with the 
room you were provided and that you felt the hotel team were disinterested. 
Feedback is invaluable and our Hotel Managers regularly review their 
TripAdvisor reviews in order to fix any issues raised and pass on feedback 
to their team. Thank you once again and we do hope you will stay with us in 
the future.Read more</t>
  </si>
  <si>
    <t>karinedescar wrote a review Apr 2019Saint-Gilles-Croix-de-Vie, France2 
contributions1 helpful vote</t>
  </si>
  <si>
    <t>good week end in travelodge london covent gardena friend told me about this travelodge...and I appreciated...It is well 
located, clean, the breakfast is full and good, room family was big and 
beds comfortable, also there is a luggage service perfect when you arrive 
earlyRead moreReview collected in partnership with TravelodgeDate of stay: 
April 2019HelpfulShare</t>
  </si>
  <si>
    <t>Jay B wrote a review Apr 2019Grand Haven, Michigan34 contributions23 
helpful votes</t>
  </si>
  <si>
    <t>Amazing value for functional hotel with great locationI don't need much more than the seven words in my title to complete this 
review. That pretty much sums it up. If you are looking for a posh room 
with lots of amenities, this is not the place for you. If you are looking 
to save some money on a hotel and be able to walk to the West End, Soho, 
Piccadilly Circus, and Covent Garden, along with having some great 
restaurants, two convenient tube stops, a great post office, and a 
Sainsbury's Local a short walk from your room, then this is a great option. 
I stayed here for four nights with my wife and two youngish children in 
early April. The staff was very nice and helpful. The rooms felt a bit like 
American college dorm rooms with an upgraded private bathroom--very 
functional and not at all luxurious. At a price of about $150…Read moreDate 
of stay: April 2019HelpfulShare</t>
  </si>
  <si>
    <t>https://www.tripadvisor.co.uk/Hotel_Review-g186338-d193057-Reviews-or1265-Travelodge_London_Covent_Garden-London_England.html#REVIEWS</t>
  </si>
  <si>
    <t>Trott26 wrote a review Apr 2019Milton, Canada12 contributions9 helpful votes</t>
  </si>
  <si>
    <t>Good Bargain StayThe hotel is centrally located and makes it easy to get anywhere you'd like 
to go in England. The rooms are very plain, no phone, no hair dryer, no 
special amenities whatsoever, which is probably why they can offer their 
rooms at a very reasonable price. The food in the lounge is adequate if you 
are looking for cheap and cheerful. We found the staff to be friendly and 
helpful.Read moreDate of stay: April 2019HelpfulShare</t>
  </si>
  <si>
    <t>ladywren_11 wrote a review Apr 2019england22 contributions10 helpful votes</t>
  </si>
  <si>
    <t>iddybiddysleepingspace! aka DO NOT BOOK A SINGLE ROOM! and cancel the 0530 
alarm call!room was a rabbit hutch! i've seen bigger student halls accommodation, the 
bed was a small single, (dont rollover!) the room was clean, except the 
window, which was filthy. curtains didnt meet in the middle properly. the 
0530 alarm call was really not required; when checking out, i asked at 
reception what it was, the girl said "someone had a shower that was too 
hot" and shrugged her shoulders". i think someone was telling porkies! the 
breakfast was awful, scrambled eggs you could bounce, flaccid greasy bacon, 
mushrooms that were like rubber, so i made do with toast and coffee 
thanking my lucky stars that i decided to eat elsewhere for dinner the 
night before. however it is ideally situated for the theatres, china town, 
covent garden, whitehall. the hotel is dated and quite…Read moreDate of 
stay: April 2019HelpfulShareResponse from TravelodgeUK, James from the 
Social media Team at Travelodge London Covent GardenResponded 14 Apr 
2019Thank you for reviewing our Travelodge London Covent Garden Hotel. 
We're very sorry to hear of the issues experienced with the room's 
facilities as well as the wake up call and the breakfast.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</si>
  <si>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MickyLou1979 wrote a review Apr 2019Poole, United Kingdom9 contributions9 
helpful votes</t>
  </si>
  <si>
    <t>Excellent value for moneyFantastic location, literally less than 10 mins walk to London Hippodrone. 
I shared a twin room with my friend and the bed was really comfy and the 
room lovely and clean with plenty of refreshments available. Our room was 
really quiet, stayed on a sunday night and no noise at all Monday 
morning!Read moreReview collected in partnership with TravelodgeDate of 
stay: March 2019HelpfulShare</t>
  </si>
  <si>
    <t>Excursion759921 wrote a review Apr 20191 contribution</t>
  </si>
  <si>
    <t>We’ll Be Back!We were in London to see Only Fools And Horses and any worries about 
accommodation just didn’t happen. Easy to find, easy to park (discount went 
smoothly) comfy and quiet room, polite and pleasant staff, delicious 
breakfast both mornings. What wasn’t to like? Al and Tina ThomasRead 
moreReview collected in partnership with TravelodgeDate of stay: April 
2019HelpfulShare</t>
  </si>
  <si>
    <t>https://www.tripadvisor.co.uk/Hotel_Review-g186338-d193057-Reviews-or1270-Travelodge_London_Covent_Garden-London_England.html#REVIEWS</t>
  </si>
  <si>
    <t>Stella B wrote a review Apr 2019Arezzo, Italy3 contributions1 helpful vote</t>
  </si>
  <si>
    <t>Very strategic position!Our experience at this hotel was good and we loved its position, very 
strategic to reach main sites ! Beds were very good ,we had a great sleep! 
Also the staff was always kind and available. RecommendedRead moreReview 
collected in partnership with TravelodgeDate of stay: March 2019HelpfulShare</t>
  </si>
  <si>
    <t>courtney907 wrote a review Apr 2019Leeds, United Kingdom11 contributions3 
helpful votes</t>
  </si>
  <si>
    <t>Lovely tripStayed here for 2 nights at the beginning of April to see Harry Potter and 
the cursed child. The hotel is a close walk to the theatres and also Covent 
Garden. There is both Holborn and Covent Garden tube station within a close 
distance. Plenty of restaurants nearby. The hotel itself is basic but there 
was no issues whatsoever. Rooms were clean and simple, just what you pay 
for. Definitely would stay again. Only thing we found odd is that you had 
to request a hairdryer from reception, they weren’t provided in the 
rooms.Read moreDate of stay: April 2019HelpfulShare</t>
  </si>
  <si>
    <t>sue B wrote a review Apr 20191 contribution</t>
  </si>
  <si>
    <t>breakfast so goodwithin easy access of two tube stations{Holborn and Covent Garden] 
brilliant you can leave luggage from 9am on day of check in and leave till 
6pm on day of check out without a charge. staff all very friendly and 
nothing was too much trouble.room was great and tho it says on website may 
be some noise from traffic we were not disturbed at all. breakfast was 
lovely and really sets you up for the dayRead moreDate of stay: April 
2019HelpfulShare</t>
  </si>
  <si>
    <t>moggie23 wrote a review Apr 2019Royal Tunbridge Wells, United Kingdom7 
contributions</t>
  </si>
  <si>
    <t>Little important thingsLovely comfortable room , clean bathroom except for used sanitary products 
still in bathroom bin from previous customer. No hand towels were provided 
just 2 bath towels. Bed very comfy. could have done with more than 2 
teabags.Read moreReview collected in partnership with TravelodgeDate of 
stay: April 2019HelpfulShareResponse from TravelodgeUK, Tilly from The 
Social Media Team at Travelodge London Covent GardenResponded 11 Apr 
2019We're pleased to learn you had a peaceful stay recently at our London 
Covent Garden hotel and we thank you for sharing your positive stay with 
us. We aim to provide a comfortable stay for all of our guests and we're 
thankful this has been achieved. We will be sure to pass your kind comments 
to the hotel and we do hope you stay with us again.Read more</t>
  </si>
  <si>
    <t>https://www.tripadvisor.co.uk/Hotel_Review-g186338-d193057-Reviews-or1275-Travelodge_London_Covent_Garden-London_England.html#REVIEWS</t>
  </si>
  <si>
    <t>iaatkinson wrote a review Apr 2019Whitley Bay, United Kingdom430 
contributions128 helpful votes</t>
  </si>
  <si>
    <t>Location is ideal.Coming to London for a few days with the intention of visiting the tower of 
London (we saw a TV program about it) we chose this hotel and were not too 
upset Location was ideal. We walked from kings cross station, walked to the 
tower and walked to other sights like parliament and Buckingham palace ( we 
don't mind walking!). Theatreland is right on the doorstep with a good 
selection of bars and restaurants as well Our room 601 was basic but clean. 
Bed was really comfortable and we got a good few nights sleep. It's a bit 
tired in places and could do with a bit of tlc. The room was next to the 
lift and one of them is particularly noisy but once you get used to it you 
can drown it out Breakfast was good value with a good choice and plenty of 
it. Well worth the money. The WiFi,…Read moreDate of stay: April 
2019HelpfulShareResponse from TravelodgeUK, Tilly from The Social Media 
Team at Travelodge London Covent GardenResponded 11 Apr 2019We would like 
to thank you for taking the time to share your experience of our London 
Covent Garden hotel. We are so pleased to hear that you were happy with the 
location of the Hotel and that your overall experience was a positive one. 
Your feedback is invaluable and we will notify the hotel of your comments. 
Thank you once again and we do hope you will stay with us again soon.Read 
more</t>
  </si>
  <si>
    <t>Mable M wrote a review Apr 20195 contributions</t>
  </si>
  <si>
    <t>Small but comfortableI'm glade we choose the super room, it's new and has two chairs (otherwise 
it will be quite crowed for two person). The bathroom if like Japanese unit 
bath, it's tiny but enough to use. It;s small, but clean and comfortable, 
and economical.Read moreReview collected in partnership with TravelodgeDate 
of stay: January 2019HelpfulShare</t>
  </si>
  <si>
    <t>Randy wrote a review Apr 2019Edmonton, Canada36 contributions9 helpful votes</t>
  </si>
  <si>
    <t>Good optionI stayed here for one week the last month of March. It’s a very good 
location a short walk from the British Museum, shopping, theatres, and two 
tube stations (Covent Garden and Leicester Square). Opt for the breakfast - 
it is great value. If you don’t mind not having black pudding, you will get 
a full English breakfast here every morning. One thing to keep in mind is 
that you get only the bare necessities in your room - a bed, a kettle, a tv 
and some combination hair/body wash and that’s literally all. If you want a 
hairdryer be sure to ask for one at the front desk. I requested a quiet 
floor (i was on the 6th floor - I believe 2 is also quiet). The first night 
was very quiet but I think they were assigning people to the quiet floors 
who didn’t know it was quiet which was a…Read moreDate of stay: March 
2019HelpfulShare</t>
  </si>
  <si>
    <t>Ian R wrote a review Apr 2019Newbury, Berkshire40 contributions28 helpful 
votes</t>
  </si>
  <si>
    <t>https://www.tripadvisor.co.uk/Hotel_Review-g186338-d1812157-Reviews-or205</t>
  </si>
  <si>
    <t>Great London stayoverThis hotel is perfectly situated for all show venues in the Covent Garden 
area. Rooms compact as were the bathrooms but perfect for a city break. The 
hotel was very well maintained rooms appear to have been recently 
refurbished. Breakfast was very good, hot with lots of choice. I cannot 
fault the hotel. There was one minor point, at show kicking out time the 
single Barman was a bit overwhelmed so we didn’t have a nightcap but didn’t 
really need one. A great place to stay!Read moreReview collected in 
partnership with TravelodgeDate of stay: April 2019HelpfulShare</t>
  </si>
  <si>
    <t>https://www.tripadvisor.co.uk/Hotel_Review-g186338-d193057-Reviews-or1280-Travelodge_London_Covent_Garden-London_England.html#REVIEWS</t>
  </si>
  <si>
    <t>inaki1d wrote a review Apr 2019Uk4 contributions</t>
  </si>
  <si>
    <t>good value for moneyroom clean &amp; tidy Very good location Night staff rude.They forgot to clean 
room one day and went to reception and they obviously didn't care not they 
apologized,they handed out the towels without a word,like we were a 
nuisenseRead moreReview collected in partnership with TravelodgeDate of 
stay: April 2019HelpfulShare</t>
  </si>
  <si>
    <t>OnAir62216513181 wrote a review Apr 2019Maldon, United Kingdom1 contribution</t>
  </si>
  <si>
    <t>Great locationWe wanted a base for a 2-night stay to see shows and museums - and good 
restaurants. We chose a super double and our room was on the 9th floor with 
interesting views across London. It was just what we needed, with a good 
shower, TV and a kettle and a coffee machine in the room. The location was 
perfect. We were between Covent Garden and Leicester Square, perfect for 
walking to our Theatres and our favourite Italian restaurants. It is not 
far from Holborn Tube Station on the Central Line, which was also handy for 
Liverpool Street Station.Read moreReview collected in partnership with 
TravelodgeDate of stay: April 2019HelpfulShare</t>
  </si>
  <si>
    <t>Global63635570724 wrote a review Apr 20191 contribution</t>
  </si>
  <si>
    <t>Best location and value for moneyThis hotel is in a great location and is good valye for money. Check in was 
quick, staff were helpful. The breakfast was reasonably priced with plenty 
of choice. Would recommend thid hotel and will definitely come here 
again.Read moreReview collected in partnership with this hotelDate of stay: 
March 2019HelpfulShare</t>
  </si>
  <si>
    <t>Cathy2222 wrote a review Feb 2020Warrington, United Kingdom6 contributions1  helpful vote</t>
  </si>
  <si>
    <t>Cristoph67 wrote a review Apr 20192 contributions1 helpful vote</t>
  </si>
  <si>
    <t>Family weekend in LondonWeekend stay with my parents and my 8 and 10 yr old sons. Best Travelodge  we have stayed in and advance rate very good value for Central London .  Family rooms more spacious but double rooms adequate for London. Everywhere  very clean, lovely fluffy towels provided. Staff very friendly and helpful.  Great to have restaurant and bar incase you don't want to venture too far  but also plenty of places to eat in the area. Great location for visiting  local attractions - less than 15 min tube ride to most of the places we  visited such as the Westend and The Shard but make sure there are no  engineering works on the circle and metropolitan lines as this threw a bit  of a spanner in the works!Read moreDate of stay: February 2020HelpfulShare</t>
  </si>
  <si>
    <t>Travelodge Covent GardenStaff were friendly and room was nice and big. Just needs a bit of repair 
work. We had dinner at the sister hotel, although our order came out wrong 
and separately when it did come out it was hot and tastes good.Read 
moreReview collected in partnership with this hotelDate of stay: April 
2019HelpfulShare</t>
  </si>
  <si>
    <t>https://www.tripadvisor.co.uk/Hotel_Review-g186338-d193057-Reviews-or1285-Travelodge_London_Covent_Garden-London_England.html#REVIEWS</t>
  </si>
  <si>
    <t>Gaynor772 wrote a review Apr 2019Skipton, England, United Kingdom6 
contributions3 helpful votes</t>
  </si>
  <si>
    <t>Ideal for everything in centre of LondonHotel is in a fantastic location for Covent Garden, shopping and the 
theatres. The rooms are a little basic but it was value for money. 
Breakfast was excellent and you could eat as much or as little but it set 
you up for the day. Would definitely stop here againRead moreReview 
collected in partnership with this hotelDate of stay: March 2019HelpfulShare</t>
  </si>
  <si>
    <t>axx202 wrote a review Apr 2019Mildenhall, United Kingdom4 contributions1 
helpful vote</t>
  </si>
  <si>
    <t>Location... location... locationVery nice hotel in the heart of London - Covent Garden. Decently priced and 
worth the cost for the amazing location! We found so much to do there - 
started with an afternoon shopping, near theaters, wonderful dinner. 
Definitely will stay here again.Read moreReview collected in partnership 
with TravelodgeDate of stay: April 2019HelpfulShare</t>
  </si>
  <si>
    <t>tazmk wrote a review Apr 2019Milton Keynes87 contributions22 helpful votes</t>
  </si>
  <si>
    <t>Trip to LondonVery easy walk from Covent Garden and the West End theatres. Our room was 
clean and tidy ...bathroom with shower...tea &amp; coffee .....iron &amp; ironing 
board. As we returned from our theatre visit it was pouring rain and needed 
a hairdryer....ask at reception. Our room faced Drury Lane so a little 
street noise through the night but still a good nights sleep. Breakfast.... 
continental or full English available in the restaurant area downstairs. 
Food hot and well cooked....liked the sausages. Well placed for our visit 
and would book again.Read moreDate of stay: April 2019HelpfulShare</t>
  </si>
  <si>
    <t>https://www.tripadvisor.co.uk/Hotel_Review-g186338-d193057-Reviews-or1290-Travelodge_London_Covent_Garden-London_England.html#REVIEWS</t>
  </si>
  <si>
    <t>tphoenix1 wrote a review Apr 20191 contribution</t>
  </si>
  <si>
    <t>Great Stay!Great location, perfect if you want to see London’s tourist attractions. 5 
minute walk to the underground. Quiet at night so got a good nights sleep. 
Huge choice of restaurants nearby. Very clean, friendly helpful staff. 
Would definitely stay again.Read moreDate of stay: April 2019HelpfulShare</t>
  </si>
  <si>
    <t>bellabee01 wrote a review Apr 2019Glasgow, United Kingdom4 contributions7 
helpful votes</t>
  </si>
  <si>
    <t>MatildaMy daughter,my two granddaughters and myself stayed for two nights,every 
thing was great,apart from our family room,it was on the 12th floor.I 
couldn’t stop thinking how you could manage a young family down all the 
stairs,if the worst where to happen.The staff where friendly and very 
helpful.Read moreDate of stay: April 2019HelpfulShare</t>
  </si>
  <si>
    <t>Q7852QXnat wrote a review Apr 20191 contribution</t>
  </si>
  <si>
    <t>Awful service and basic hotel.I stayed here on business and arrived at 8pm in the dark. Checked in and 
was told I was in the other block and to go down the stairs straight ahead. 
As someone who isn’t from London and a lone female I don’t know the area or 
feel comfortable walking around alone. I followed the directions and found 
myself walking down a dark side street, with the recent news of random 
stabbings I felt uneasy so returned and asked again for directions, I was 
told the same, after looking lost a man asked to help and directed me to 
the other building, which isn’t far but you can’t see it from the building 
I checked in. Arrived in my room, the tv was miles from the bed, window had 
been left open, it was freezing and looked really tired and dated. I would 
not stay here again, I’ve stayed in much…Read moreDate of stay: April 
2019HelpfulShareResponse from TravelodgeUK, Molly from the Social Media 
Team at Travelodge London Covent GardenResponded 4 Apr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</si>
  <si>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MickieBoots wrote a review Apr 2019Isle of Wight, United Kingdom114 
contributions78 helpful votes</t>
  </si>
  <si>
    <t>Clean, comfy and tidy and right where we wanted to be.Arrived after a fairly complicated journey and all of us a bit frazzled. 
the delightful Leila made check-in extremely easy and pleasant for the five 
of us, and in next to no time we were showered, changed and out. We make 
the same trip every year and will be back to stay here. All good, thanks to 
all the staff.Read moreDate of stay: April 2019HelpfulShare</t>
  </si>
  <si>
    <t>Clare wrote a review Apr 2019Wigan, United Kingdom2 contributions</t>
  </si>
  <si>
    <t>Great LocationI stay for work several times per year and never have any issues. The rooms 
are clean and comfortable and the location is perfect for me. The basic 
rooms can sometimes be a little overpriced but this depends on what time of 
year you go.Read moreReview collected in partnership with TravelodgeDate of 
stay: April 2019HelpfulShare</t>
  </si>
  <si>
    <t>https://www.tripadvisor.co.uk/Hotel_Review-g186338-d193057-Reviews-or1295-Travelodge_London_Covent_Garden-London_England.html#REVIEWS</t>
  </si>
  <si>
    <t>Ted_Caylus wrote a review Apr 2019Guernsey, United Kingdom144 
contributions73 helpful votes</t>
  </si>
  <si>
    <t>Great value for the locationIt's a hotel that is very centrally situated, large in terms of room 
numbers and excellently priced. Next time I'd pay an extra £15 and take a 
Superoom, but the basic one had a comfortable bed, bathroom with 
bath/shower and a fair amount of space to go with it. My only gripe was 
that the bathroom fixtures needed some TLC, but as soon as I reported it to 
the front desk, a note was made to notify Maintenance. The front desk 
staff, incidentally are especially cheerful and helpful, as are the serving 
personnel in restaurant and bar.Read moreDate of stay: April 
2019HelpfulShare</t>
  </si>
  <si>
    <t>Wander37936705958 wrote a review Apr 20192 contributions</t>
  </si>
  <si>
    <t>Unclean and not worth the money!The only good thing about this hotel was the location. The cups and towels 
in our room were still dirty, the staff that greeted us on reception were 
rude, we was woken at 6am by loud noise, the room was freezing cold and the 
hotel was definitely not worth the money we paid!!Read moreReview collected 
in partnership with TravelodgeDate of stay: April 2019HelpfulShareResponse 
from TravelodgeUK, Ben from the Social Media Team at Travelodge London 
Covent GardenResponded 8 Apr 2019Thank you for taking the time to share 
your experience of your stay at our London Covent Garden Travelodge with 
us. We are pleased to hear that you liked the hotels location however we 
are sorry to learn that your room was not up to the usual high standard of 
cleanliness we would have wished for you and of your disappointment with 
the service from the team and noise. If you wish to contact us directly to 
give us more feedback, please be aware that you can always contact our 
Customer Services team via our website. Thank you again for reviewing our 
hotel.Read more</t>
  </si>
  <si>
    <t>Wakefield55 wrote a review Apr 2019Leeds, United Kingdom3 contributions</t>
  </si>
  <si>
    <t>Excellent location and value for moneyStayed in a Super room and well worth the extra. Comfortable bed and good 
shower. Plenty of tea and coffee available in the room. Hairdryer worked 
well. Staff friendly and helpful. Breakfast fantastic value. Great 
location.Read moreReview collected in partnership with TravelodgeDate of 
stay: April 2019HelpfulShare</t>
  </si>
  <si>
    <t>Wedding08_12 wrote a review Apr 2019Merthyr Tydfil, United Kingdom106 
contributions62 helpful votes</t>
  </si>
  <si>
    <t>Weekend BreakThis hotel's location is excellent. The tube is close by although, 
Trafalgar Sq, Piccadilly Circus etc are within walking distance. The hotel 
is clean and staff are very friendly and helpful. Breakfast is busy and bit 
hectic. Howevrr, there is plenty of choice and food is continuously 
replenished. It is a shame you have to pay for WiFi. Will definitely stay 
here again.Read moreDate of stay: January 2019HelpfulShare</t>
  </si>
  <si>
    <t>440helenj wrote a review Apr 2019Fordingbridge, United Kingdom43 
contributions16 helpful votes</t>
  </si>
  <si>
    <t>Modern, clean and comfortableGreat value, clean, modern and conveniently situated. Friendly, helpful 
staff with a great breakfast. You can also leave your luggage from 9am to 
6pm on the day of arrival and on the day you leave, this meant we could go 
sightseeing without our luggage.Read moreReview collected in partnership 
with this hotelDate of stay: February 2019HelpfulShare</t>
  </si>
  <si>
    <t>https://www.tripadvisor.co.uk/Hotel_Review-g186338-d193057-Reviews-or1300-Travelodge_London_Covent_Garden-London_England.html#REVIEWS</t>
  </si>
  <si>
    <t>IanPCM wrote a review Apr 2019Middlesbrough17 contributions6 helpful votes</t>
  </si>
  <si>
    <t>https://www.tripadvisor.co.uk/Hotel_Review-g186338-d1812157-Reviews-or210</t>
  </si>
  <si>
    <t>Great location, confusing room nameBooked ‘king superior room’ only had double bed. Apparently no King size 
beds in hotel. All rooms have double beds. Bed was comfortable if not a 
little small! Great location, staff friendly and helpful. Easy walk to 3 
Tube stations and great restaurants in Covent GardenRead moreReview 
collected in partnership with this hotelDate of stay: March 2019HelpfulShare</t>
  </si>
  <si>
    <t>Omoefe A wrote a review Apr 201912 contributions</t>
  </si>
  <si>
    <t>not as describedAlways check that the room you are given is what you paid for. I am not one 
to fuss but it is not fair that you pay the extra and you get a cupboard 
called a room. Everything else was ok, just the allocation went all 
wrongRead moreReview collected in partnership with this hotelDate of stay: 
March 2019HelpfulShareResponse from TravelodgeUK, Molly from the Social 
Media team at Travelodge London Covent GardenResponded 3 Apr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</si>
  <si>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Ren M wrote a review Apr 2019Adelaide, Australia14 contributions4 helpful 
votes</t>
  </si>
  <si>
    <t>Great location. Very ordinary hotelThis hotel is in a fantastic location. The staff very friendly and helpful. 
But the hotel is unclean, out dated and lacking any warmth. I probably 
wouldn't recommend if you are staying for a long period. No safe for 
international travellers. No fridge in room. The room was dirty.Read 
moreDate of stay: April 2019HelpfulShareResponse from TravelodgeUK, Molly 
from the Social Media Team at Travelodge London Covent GardenResponded 1 
Apr 2019Thank you for your review. We're pleased to hear that your stay was 
enhanced by the location of the hotel, and you found the Team to be 
friendly and helpful. However, we apologise if you felt the Hotel was 
unclean. We hope to consistently provide a high standard of cleanliness 
within our rooms and throughout our hotels, and we apologise if this was 
not displayed during your stay. We will certainly address this with the 
Hotel Team to reiterate the importance of attention to detail when 
servicing the rooms. Being a budget Hotel brand, we believe that we provide 
all the necessary facilities to ensure a comfortable stay, for value. 
However thank you for your feedback regarding the safe and fridge. We are 
always looking to improve the services we offer and we will pass your 
comments on to the relevant team. Thank you again for your review.Read more</t>
  </si>
  <si>
    <t>https://www.tripadvisor.co.uk/Hotel_Review-g186338-d193057-Reviews-or1305-Travelodge_London_Covent_Garden-London_England.html#REVIEWS</t>
  </si>
  <si>
    <t>Seaham-jabz wrote a review Apr 2019Seaham, United Kingdom8 contributions</t>
  </si>
  <si>
    <t>Football weekendArrived early morning to store luggage. Stored and then decided to have 
breakfast. Wow it was fabulous one of the best breakfasts I have had!! 
Nothing too much trouble for the staff and it was super busy. After the 
match no problem getting bags over the road to our room. Very comfy bed 
nice and clean and good staff. Nice breakfast again sadly not as good as 
over the road but still lovely. We had a great stay thank you. Why only 4 
stars? No hairdryer! Tragedy came back for a pizza at lunch which also was 
great. Caroline the server was super!!Read moreDate of stay: March 
2019HelpfulShare</t>
  </si>
  <si>
    <t>Hazel M wrote a review Apr 20193 contributions1 helpful vote</t>
  </si>
  <si>
    <t>Ok for London I supposeRoom reasonably clean and comfortable. Had to change room as the clothes of 
a previous occupant were still in the wardrobe Which did make me question 
how well the rooms are actually cleaned. Receptionist came up at around ten 
as she hadn’t noted my room room on the system or something. Very noisy 
overnight (noisy plumbing etc) but I was so tired that it didn’t bother me. 
Good central location, but might be a bit seedy for families with young 
children.Read moreDate of stay: March 2019HelpfulShareResponse from 
TravelodgeUK, Molly from the Social Media Team at Travelodge London Covent 
GardenResponded 1 Apr 2019Thank you for your review. We are pleased to hear 
that you found your room to be clean and comfortable. We hope this resulted 
in a welcoming and relaxing environment, ensuring you an enjoyable stay and 
a good night's sleep. However, we do apologise that the room was not 
thoroughly serviced prior to your arrival. We will certainly address this 
with the Hotel Team to reiterate the importance of attention to detail when 
servicing the rooms. We are sorry if your stay was affected by external 
noise. Our more central locations may be noisier and wherever possible, we 
mention on the hotel’s booking page that due to the location of the hotel, 
external noise may be heard. We have also taken measures such as providing 
double glazing in attempt to reduce the impact that outside disruptions may 
have on a guests stay. Please note that you can contact the Hotel directly 
prior to your arrival to request a quiet room. Thank you again for your 
comments, we hope to welcome you back to stay with us again in the near 
future.Read more</t>
  </si>
  <si>
    <t>IsabelleOnline wrote a review Apr 2019New Westminster, Canada4 
contributions3 helpful votes</t>
  </si>
  <si>
    <t>Incredible StayGreat place to stay in Covent Garden. Excellent service at all time’s, easy 
check in and comfortable room. The hotel itself is great value for money, 
General cleanliness is good and perfect whilst staying in London. 
Definitely would reccomend!Read moreDate of stay: March 2019HelpfulShare</t>
  </si>
  <si>
    <t>Roving111195 wrote a review Apr 20192 contributions</t>
  </si>
  <si>
    <t>Theatre tripAs we were staying overnight we made the most of our short break with 
visits to the Wallace Colection in Manchester Square and the Sorolla 
Exhibition and Boilly's Scenes of Parisian Life at the National Gallery. 
The highlight and main purpose of our trip was to see the Mousetrap at St 
Martin's Theatre with a very enjoyable dinner afterwards at the Punjab 
Restaurant in Neal Street. 'We must do this again.Read moreReview collected 
in partnership with TravelodgeDate of stay: March 2019HelpfulShare</t>
  </si>
  <si>
    <t>https://www.tripadvisor.co.uk/Hotel_Review-g186338-d193057-Reviews-or1310-Travelodge_London_Covent_Garden-London_England.html#REVIEWS</t>
  </si>
  <si>
    <t>Annie wrote a review Mar 201913 contributions6 helpful votes</t>
  </si>
  <si>
    <t>AnnieClean Family Room. Very Basic. No soaps or shower gels so bring your own. 
It is ok if your doing a show or shopping somewhere just to get a night 
sleep. Staff very matter of fact.... disabled friendly lifts... bathroom 
disabled NOT .... asked for disabled access we never got...Read moreDate of 
stay: April 2019HelpfulShareResponse from TravelodgeUK, Tilly from The 
Social Media Team at Travelodge London Covent GardenResponded 1 Apr 
2019Many thanks for submitting your review of our London Covent Garden 
hotel. We understand that your overall experience was not exceptional and 
we do apologise for this. We'll be sure to pass your valuable feedback 
directly to our colleagues in our hotel as this is the best way for us to 
improve the service we offer. Thank you again for your review.Read more</t>
  </si>
  <si>
    <t>MICHAEL L wrote a review Mar 201913 contributions</t>
  </si>
  <si>
    <t>Ideal stay in central LondonHotel is ideal for visiting lots of galleries and places of interest in 
centre of London. Very welcoming team including Bea who was so helpful 
during our stay . Thank you to her and the rest of the reception staff who 
were very supportive during our two day stay. The room was comfortable and 
ideal for our stay . Only downside was the tired and yet functional 
bathroom. It could do with an update . Bar and breakfast were both lovely 
.would certainly stay here again .Read moreDate of stay: March 
2019HelpfulShare</t>
  </si>
  <si>
    <t>Joss H wrote a review Mar 2019Newcastle upon Tyne, United Kingdom34 
contributions8 helpful votes</t>
  </si>
  <si>
    <t>Daughters 18thPerfect location for just about everything especially theatres/ Covent 
Garden/ Soho. Breakfast great, friendly staff and rooms completely noise 
proof the only drawback was we were in one of the underground rooms but we 
didn’t let that spoil our trip.Read moreDate of stay: March 2019HelpfulShare</t>
  </si>
  <si>
    <t>TravelfunBedford wrote a review Mar 2019Bedford353 contributions64 helpful 
votes</t>
  </si>
  <si>
    <t>Great place, great location.I was really pleased with my stay here. The room was basic and had 
everything I needed. It was quiet and I had a room with a view. Bed comfy, 
shower good. Sufficient towels. Helpful staff. Was able to leave luggage to 
collect later int he day after check out. Didn't eat/drink here. Great 
location, easy walking distance to tube and the West End. Would stay here 
again.Read moreDate of stay: March 2019HelpfulShare</t>
  </si>
  <si>
    <t>PatRTeddington wrote a review Mar 2019Teddington, United Kingdom49 
contributions26 helpful votes</t>
  </si>
  <si>
    <t>Not so goodStayed here before and rooms are good but if you advertise check in from 
3pm then Travelodge should make sure that happens. Sitting around in 
reception waiting is not a good advert for hotel. Would be a good idea if 
guests were kept informed of progress rather than having to keep askingRead 
moreDate of stay: March 2019HelpfulShareResponse from TravelodgeUK, Ben 
from the Social Media Team at Travelodge London Covent GardenResponded 31 
Mar 2019Thank you for taking the time to write a review about our London 
Covent Garden hotel. We are pleased to hear that you liked the room you 
were provided with however we are sorry to learn of your disappointment 
with the check in delay.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</si>
  <si>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https://www.tripadvisor.co.uk/Hotel_Review-g186338-d193057-Reviews-or1315-Travelodge_London_Covent_Garden-London_England.html#REVIEWS</t>
  </si>
  <si>
    <t>NZ_UK_tripper wrote a review Mar 201931 contributions11 helpful votes</t>
  </si>
  <si>
    <t>No room available despite having booked and paid for months in advanceUnable to rate anything other than terrible due to arriving late evening 
only to be told there is no room available due to maintenance despite 
having booked and paid in full months in advance and having left contact 
details at the time. Truly awful.Read moreDate of stay: March 20191 Helpful 
voteHelpfulShareResponse from TravelodgeUK, Tilly from The Social Media 
Team at Travelodge London Covent GardenResponded 2 Apr 2019Thank you for 
taking the time to write a review with regards to our London Covent Garden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</si>
  <si>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Debbie G wrote a review Mar 2019Hemel Hempstead, United Kingdom168 
contributions52 helpful votes</t>
  </si>
  <si>
    <t>Great value for money and great locationYou will not find a better value hotel with such a great location for the 
West End in London. We stayed here for 2 nights whilst working in London 
and for the cost we were pleasantly surprised. We had a super room. It has 
all that you need - yes the bathroom is small but for £150 a night in that 
location the room was fine. We were on the top floor and there was no noise 
or any issues. The carpet in the corridor of the hotel is stained but our 
room was clean. We needed extra towels and the hotel accommodated this no 
problem. We had a range of teas, kit kats and coffee machine, ironing board 
and iron and hairdryer. Bed was comfortable but the duvet is a bit thin but 
was fine. If you are looking for great budget accommodation this works 
well. We also got a 50% discount on car…Read moreDate of stay: March 
2019HelpfulShare</t>
  </si>
  <si>
    <t>V1705WWnicolab wrote a review Mar 2019Congleton, United Kingdom2 
contributions</t>
  </si>
  <si>
    <t>Great locationHave stayed here a few times as the location is excellent and we were going 
to Shaftesbury theatre. The rooms are always clean and tidy, great 
facilities and the staff are all pleasant, friendly and helpful.Read 
moreReview collected in partnership with TravelodgeDate of stay: March 
2019HelpfulShare</t>
  </si>
  <si>
    <t>911sah wrote a review Mar 2019Pateley Bridge, United Kingdom36 
contributions20 helpful votes</t>
  </si>
  <si>
    <t>Excellent value in a great locationThe hotel is very convenient, very clean and for London good value. 
Breakfast was good, except for the absence of proper eggs. So, excellent 
value in a great location. Perfect for a couple of nights stayRead 
moreReview collected in partnership with TravelodgeDate of stay: March 
2019HelpfulShare</t>
  </si>
  <si>
    <t>Explore59846001687 wrote a review Mar 20191 contribution</t>
  </si>
  <si>
    <t>spring visitGreat location..,rooms Clean and comfortable,, staff helpful and friendly,, 
nice family friendly restaraunt with a decent menu.. only stayed for one 
night and would definately use again in the future,,Read moreReview 
collected in partnership with this hotelDate of stay: February 
2019HelpfulShare</t>
  </si>
  <si>
    <t>https://www.tripadvisor.co.uk/Hotel_Review-g186338-d193057-Reviews-or1320-Travelodge_London_Covent_Garden-London_England.html#REVIEWS</t>
  </si>
  <si>
    <t>Piotr J wrote a review Mar 20191 contribution</t>
  </si>
  <si>
    <t>Going the extra mileWe,ve arrived at 1 am only to find that we don't have a booking and will 
probably sleep in the streets. Fortunately, we had the pleasure of meeting 
Adriana who's been an absolute star and wonder. She's not only liaised with 
our company directly to fix this but found rooms for us for all nights 
including that nightmarish one. A big thank you to Adriana and the rest of 
the staff! This is what it should look like.Read moreDate of stay: March 
2019HelpfulShare</t>
  </si>
  <si>
    <t>sftravels2015 wrote a review Mar 2019Eastbourne, United Kingdom4 
contributions2 helpful votes</t>
  </si>
  <si>
    <t>Comfortable stayIdeally situated for a one night stay in London. It was convenient being 
able to leave our overnight bag in left luggage and go sightseeing. The 
service was good and breakfast was more than ample and tasty.Read 
moreReview collected in partnership with TravelodgeDate of stay: March 
20191 Helpful voteHelpfulShare</t>
  </si>
  <si>
    <t>Shiny k wrote a review Mar 20192 contributions4 helpful votes</t>
  </si>
  <si>
    <t>Excellent stayWe stayed in Covent garden last week. the reception staff are really 
helpful and provided me with all the information what we needed. The 
location is really great. We had dinner and breakfast at the hotel and it 
was good with lots of choices. We will stay here again and recommend this 
hotel.Read moreDate of stay: March 20191 Helpful voteHelpfulShare</t>
  </si>
  <si>
    <t>https://www.tripadvisor.co.uk/Hotel_Review-g186338-d193057-Reviews-or1325-Travelodge_London_Covent_Garden-London_England.html#REVIEWS</t>
  </si>
  <si>
    <t>tanaikuan2 wrote a review Mar 2019Singapore, Singapore2 contributions1 
helpful vote</t>
  </si>
  <si>
    <t>POOR RECEPTIONBad experience. Wifi paid for does not work. Reception team said there was 
nothing they could do about it. Just left me to call the 3rd party wi fi 
company. I could not get through to them. Gave up after 10 to 15 min 
standing at the reception.Read moreReview collected in partnership with 
TravelodgeDate of stay: March 20191 Helpful voteHelpfulShareResponse from 
TravelodgeUK, Ben from the Social Media Team at Travelodge London Covent 
GardenResponded 27 Mar 2019Thank you for taking the time to write a review 
about our London Covent Garden hotel. We are sorry to learn of the problems 
you experienced with the WiFi during your stay. Our WiFi is provided by 
Virgin who have a dedicated support team, we will inform them of the issues 
you have with connectivity. Feedback is invaluable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</si>
  <si>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FarAway25609328988 wrote a review Mar 2019Kingston-upon-Hull, United 
Kingdom5 contributions3 helpful votes</t>
  </si>
  <si>
    <t>Covent Garden CentralI was expecting to try Travelodge's new upgraded rooms but instead after 
check in I was sent across the road to a Travelodge in Holborn that was in 
need of an urgent upgrade. None of the things which it says on the website 
where in the room (coffee machine etc)Read moreReview collected in 
partnership with TravelodgeDate of stay: March 2019HelpfulShareResponse 
from TravelodgeUK, Ben from the Social Media Team at Travelodge London 
Covent GardenResponded 28 Mar 2019Thank you for taking the time to write a 
review about our London Covent Garden hotel. We are sorry to learn of your 
disappointment with the facilities in the room you were provided with and 
that you felt the hotel needed an upgrade. Facilities such as coffee 
machines are available in our new Super rooms which can be booked through 
the website however are not available in our standard rooms. Travelodge 
have an ongoing refurbishment program and, while we cannot refurbish every 
hotel simultaneously, we are working to make sure that hotels are 
refurbished regularly. Feedback is invaluable and our Hotel Managers 
regularly review their TripAdvisor reviews in order to fix any issues 
raised and pass on feedback to their team. Thank you once again and we do 
hope you will stay with us in the future.Read more</t>
  </si>
  <si>
    <t>Ray B wrote a review Mar 201947 contributions5 helpful votes</t>
  </si>
  <si>
    <t>https://www.tripadvisor.co.uk/Hotel_Review-g186338-d1812157-Reviews-or215</t>
  </si>
  <si>
    <t>Dated but incredible locationA bit old fashioned compared to other gravelodges in the area, our room was 
a very odd shape which meant the bed was far from the television or any 
plug sockets. The location is excellent though; 15 minute walk to oxford 
circus and loads of amenities nearby.Read moreDate of stay: March 
2019HelpfulShareResponse from TravelodgeUK, Ben from the Social Media Team 
at Travelodge London Covent GardenResponded 28 Mar 2019Thank you for taking 
the time to share your experience of your stay at our London Covent Garden 
Travelodge with us. We're pleased to learn you enjoyed the location of the 
hotel however are sorry to hear that you felt the room was dated. 
Travelodge have an ongoing refurbishment program and, while we cannot 
refurbish every hotel simultaneously, we are working to make sure that 
hotels are refurbished regularly. Feedback is invaluable and our Hotel 
Managers regularly review their TripAdvisor reviews in order to fix any 
issues raised and pass on feedback to their team. Thank you once again and 
we do hope you will stay with us in the future.Read more</t>
  </si>
  <si>
    <t>Kerry M wrote a review Mar 2019Mytchett, United Kingdom6 contributions</t>
  </si>
  <si>
    <t>perfect locationwe stayed here in february its in the perfect location for central london , 
hotel staff are very friendly and customer service was great , perfect for 
an overnight stay . breakfast was not very good , cold and bland however 
this wasnt a major issue , will definately be booking this hotel if we stay 
in covent garden againRead moreDate of stay: February 
2019HelpfulShareResponse from TravelodgeUK, James from the Social Media 
Team at Travelodge London Covent GardenResponded 26 Mar 2019Thank you for 
reviewing our Travelodge London Covent Garden Hotel. We are very happy to 
hear that you enjoyed this stay with us although we are sorry to hear that 
you didn't enjoy the breakfast service. Please rest assured that the 
hotel's management team do check up on reviews of their hotels so your 
comments have been passed on. Once again we'd like to thank you for leaving 
this lovely review and we do hope that you stay with us again!Read more</t>
  </si>
  <si>
    <t>david p wrote a review Mar 2019Wootton, United Kingdom13 contributions</t>
  </si>
  <si>
    <t>Good value, well locatedGreat location. Short walk to Covent Garden, Leicester Square and China 
Town. Tottenham Court Road probably nearest tube. Hotel is Next door to 
Shaftesbury Theatre. Can also recommend the Drury cafe opposite for 
breakfast, we ate there both mornings. Free baggage service at Hotel.Read 
moreDate of stay: March 2019HelpfulShare</t>
  </si>
  <si>
    <t>https://www.tripadvisor.co.uk/Hotel_Review-g186338-d193057-Reviews-or1330-Travelodge_London_Covent_Garden-London_England.html#REVIEWS</t>
  </si>
  <si>
    <t>rickjt wrote a review Mar 2019deal5 contributions13 helpful votes</t>
  </si>
  <si>
    <t>Excellent stayWe stayed one night in this hotel, which very well placed for visits to the 
West End theatres and the British Museum. We had one of their ‘Super rooms’ 
which was very well appointed, spotlessly clean and very quiet. The 
breakfast was good and check in and out very efficient. The staff were, 
without exception, cheery and friendly. Antonnea on checkout was especially 
pleasant. We definitely recommend this hotel and will return.Read moreDate 
of stay: March 2019HelpfulShareResponse from TravelodgeUK, Ben from the 
Social Media Team at Travelodge London Covent GardenResponded 26 Mar 
2019Thank you for taking the time to share your experience. We want all our 
guests to feel right at home when staying with us so we are absolutely 
thrilled that Antonnea and the rest of our Team Members were able to make 
your stay even more enjoyable. In our continuous effort to improve the 
service we offer, we have ensured that your comments have been passed to 
the Hotel so that we can continue to offer pleasant and comfortable stays 
to our guests. Thank you again for letting us know about your stay.Read more</t>
  </si>
  <si>
    <t>kenyko23 wrote a review Mar 2019Bangkok, Thailand11 contributions1 helpful 
vote</t>
  </si>
  <si>
    <t>WIFI Connection Problem.Walking distance to Chinatown, Leicester Square and tourist spots, 
Breakfast good, especially the staff serve/clean the breakfast table, 
friendly &amp; Good. the only problem on Wifi connection. Please improve 
it.Read moreReview collected in partnership with TravelodgeDate of stay: 
March 2019HelpfulShareResponse from TravelodgeUK, Ben from the Social Media 
Team at Travelodge London Covent GardenResponded 25 Mar 2019Thank you for 
taking the time to write a review about your stay at our London Covent 
Garden hotel. We are pleased to learn that the hotels location suited your 
needs and you were pleased with the breakfast and service, however we are 
sorry to learn of your disappointment with the WiFi. Our WiFi is provided 
by Virgin who have a dedicated support team, we will inform them of the 
issues you have with connectivity. Feedback is invaluable and our Hotel 
Managers regularly review their TripAdvisor reviews in order to fix any 
issues raised and pass on feedback to their team. Thank you once again and 
we do hope you will stay with us in the future.Read more</t>
  </si>
  <si>
    <t>Stephen B wrote a review Mar 20196 contributions5 helpful votes</t>
  </si>
  <si>
    <t>Never againChose this hotel for convenience and proximity to the theatre. Stayed in 
310 normal double, first impressions were prison room with hardly any 
furniture. Desk, two plastic chairs, and a dirty carpet. No plug in sink, 
no bath mat, no drinking glasses, noisy Aircon, bathroom not cleaned well. 
Complained on checkout and met with an apology from an assistant who gave 
the impression she wasn't really bothered as I've heard it all before. On a 
plus side breakfast was substantially adequate. Mmm that's basically it in 
a nutshell. Not impressed - first and last stay at Travelodge going back to 
Premier Inn.Read moreDate of stay: March 20191 Helpful 
voteHelpfulShareResponse from TravelodgeUK, Ben from the Social Media Team 
at Travelodge London Covent GardenResponded 25 Mar 2019Thank you for taking 
the time to write a review about our London Covent Garden hotel. We are 
pleased to hear that you liked the hotels location and were happy with the 
breakfast however we are sorry to learn of your disappointment with the 
cleanliness of the room, facilities and service from the hotel team. 
Feedback is invaluable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again for your review.Read more</t>
  </si>
  <si>
    <t>Sarah �� wrote a review Mar 2019Dorset, United Kingdom29 contributions17 
helpful votes</t>
  </si>
  <si>
    <t>Great girls stay and brilliant breakfastNormally I wouldn’t book a travelodge breakfast, but knowing London for 
breakfast can be tricky and expensive, we went for it. I am so pleased we 
did. It was so fresh and so much of it! was a really good set up and the 
staff are so friendly and helpful. The food was continually topped up and 
there was a lot of choice. We checked in bang on 3 with a load of other 
people and the queue soon went down. There was a lot of check in staff so 
there was no messing about or waiting. The rooms were clean, quiet and 
comfortable. We were really shocked at the soundproofing as usually in 
hotels you can hear people walking past talking or doors closing and we 
didn’t hear a thing.Read moreDate of stay: March 2019HelpfulShare</t>
  </si>
  <si>
    <t>https://www.tripadvisor.co.uk/Hotel_Review-g186338-d193057-Reviews-or1335-Travelodge_London_Covent_Garden-London_England.html#REVIEWS</t>
  </si>
  <si>
    <t>Nanalulu wrote a review Mar 2019Cardiff, United Kingdom35 contributions1 
helpful vote</t>
  </si>
  <si>
    <t>MrsThe hotel in great location , very nice area very quite , safe , very short 
walk to tube station , Covent Garden , restaurants and shops , not far fro 
oxford too , saving money and time to go around centre London . All staff 
are great , very welcoming , very helpful , from the cleaners to 
reciptionests and all , very happy with my visit , also Saneeta 
recoptionest as me when I checking out if every thing was ok , I said it is 
excellent hotel and great staff , thanks allRead moreDate of stay: March 
2019HelpfulShare</t>
  </si>
  <si>
    <t>Rachel wrote a review Mar 2019Chesterfield, United Kingdom2 contributions4 
helpful votes</t>
  </si>
  <si>
    <t>Disgusting!!!When we arrive at the hotel on Drury lane, told we needed to move to the 
other building of the hotel! Made us late for our dinner reservations, not 
a good start!! The lift in the second building was stuck together with duck 
tape and got stuck on floor 5 each time(management knew and did nothing!). 
The corridor of the floor had a foul smell, damp amongst other things!!! 
The room was of poor standard, dirty bathroom, chewing gum on the wall, 
soiled curtains. Only positive was the sheets were clean (thank god!). We 
did speak to a manager upon checkout and told him of the errors, small 
apology given with no compensation! There was a catalogue of things with 
rude staff, overpriced for such disgusting accommodation WILL NOT BE 
RETURNING. Book with caution!Read moreDate of stay: March 20191 Helpful 
voteHelpfulShareResponse from TravelodgeUK, James from the Social Media 
Team at Travelodge London Covent GardenResponded 25 Mar 2019Thanks for 
reviewing our Travelodge London Covent Garden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Please rest assured 
the hotel managers check Tripadvisor reviews of their hotels so your 
comments will be reviewed by the hotel's team. Thank you again for your 
feedback, and we hope to hear from you soon.Read more</t>
  </si>
  <si>
    <t>Kjenky wrote a review Mar 2019Whitehaven, United Kingdom2 contributions</t>
  </si>
  <si>
    <t>TwickenhamCame down to watch the 6 nations final game Had a great weekend this is 
perfectly placed The hotel bar was open till 4am and the man Kevin who was 
working the bar was an absolute gentleman who entertained us until closing 
time great manorisms overall fantastic service from him Thank you KevinRead 
moreDate of stay: March 2019HelpfulShare</t>
  </si>
  <si>
    <t>https://www.tripadvisor.co.uk/Hotel_Review-g186338-d193057-Reviews-or1340-Travelodge_London_Covent_Garden-London_England.html#REVIEWS</t>
  </si>
  <si>
    <t>Leanne Jane wrote a review Mar 2019Derbyshire, United Kingdom79 
contributions45 helpful votes</t>
  </si>
  <si>
    <t>Super rooms are nice but small hereStayed here on a business trip and booked into the new super room for the 
first time. The room was nice and had extra facilities, but the room Was 
tight and small. Also i wiped off quite a few fragments of dust, so it 
could have been cleaner. I get nervous because of the dust and found it 
hard to get comfortable. I would book here again with the hope that my 
experience was a one off.Read moreDate of stay: November 2018HelpfulShare</t>
  </si>
  <si>
    <t>corinnephill1967 wrote a review Mar 2019Scunthorpe, United Kingdom2 
contributions</t>
  </si>
  <si>
    <t>Lovely stayWe stayed with you because I had a very early hospital appointment the next 
day. The staff were all very friendly and made us feel most welcome. 
Although there was a lot of external noise, I understand this is not in 
your control. Thank you for a lovely stay.Read moreReview collected in 
partnership with TravelodgeDate of stay: March 2019HelpfulShare</t>
  </si>
  <si>
    <t>Boris wrote a review Mar 20191 contribution</t>
  </si>
  <si>
    <t>Very FriendlyNice hotel in great location and very clean room Could not wish for a more 
friendly and efficient person than Leila on reception in dealing with any 
queries. Would visit again for for the service alone.Read moreDate of stay: 
March 2019HelpfulShare</t>
  </si>
  <si>
    <t>_saraarmstrong25 wrote a review Mar 2019Chepstow, United Kingdom12 
contributions8 helpful votes</t>
  </si>
  <si>
    <t>Perfect locationThis hotel is so close to the theatres, lots of fab restaurants and close 
to Leicester Square, the hotel staff are friendly and helpful. The rooms 
are small but perfect for a short stay. I will be arranging another stay in 
London soon and will definitely use this hotel again.Read moreDate of stay: 
January 2019HelpfulShare</t>
  </si>
  <si>
    <t>https://www.tripadvisor.co.uk/Hotel_Review-g186338-d193057-Reviews-or1345-Travelodge_London_Covent_Garden-London_England.html#REVIEWS</t>
  </si>
  <si>
    <t>fullybestever wrote a review Mar 2019Lancashire136 contributions126 helpful 
votes</t>
  </si>
  <si>
    <t>Avoid room 44After staying in the travelodge near kings cross last week (royal scot) and 
thinking travelodges couldn't get worse (neighbour having a party until 
3am), this one outdoes it. Room 44 - the second you walk through the door 
the smell of damp / mould hits you. I'm lying in the room wondering how I'm 
going to get the damp/mould smell off me in the morning considering the 
shower is littered with dead flies (see photo). The heating / cooling 
system doesn't work - room was cold, so increased the temperature, had some 
hit air for around 5 mins before it went into cooling mode again. The 
control unit is locked down so you can only turn it on and off and change 
temperature - not whether it's in heating or cooling mode (which seemed to 
have gone haywire). This was the cheapest hotel in…Read moreDate of stay: 
March 20191 Helpful voteHelpfulShareResponse from TravelodgeUK, Molly from 
the Social Media Team at Travelodge London Covent GardenResponded 20 Mar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</si>
  <si>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Trail14547535842 wrote a review Mar 20191 contribution</t>
  </si>
  <si>
    <t>Amazing locationAmazing location in the very centre of London, walking distance to Covent 
Garden, oxford street and Buckingham palace! Clean and tidy hotel with easy 
check in. Very good value for money, as good as many expensive hotels!Read 
moreReview collected in partnership with TravelodgeDate of stay: March 
2019HelpfulShare</t>
  </si>
  <si>
    <t>Anthony G wrote a review Mar 2019Fordham, United Kingdom83 contributions20 
helpful votes</t>
  </si>
  <si>
    <t>Great hotelThe best Travelodge I have stayed in I’m not normally a fan of this chain 
but was pleasantly surprised comfy bed , coffee machine in room , and a 
small bar off the lobby. Easy walk into centre of Covent Garden would 
definitely stay here againRead moreDate of stay: March 2019HelpfulShare</t>
  </si>
  <si>
    <t>https://www.tripadvisor.co.uk/Hotel_Review-g186338-d193057-Reviews-or1350-Travelodge_London_Covent_Garden-London_England.html#REVIEWS</t>
  </si>
  <si>
    <t>Roam54908450488 wrote a review Mar 2019Gloucestershire, United Kingdom1 
contribution</t>
  </si>
  <si>
    <t>Great hotel to experience Covent GardenThis hotel is good value for money,staff were friendly in all areas of the 
hotel and very efficient in their roles. The rooms were clean and tidy,just 
a little cold on arrival but once the heater was on it soon warmed up! 
Breakfast was a good selection and great value for money!Read moreReview 
collected in partnership with TravelodgeDate of stay: March 2019HelpfulShare</t>
  </si>
  <si>
    <t>Seamus D wrote a review Mar 20196 contributions</t>
  </si>
  <si>
    <t>Great service in a great locationHad a short (2 night) stay here. The room was clean and comfortable enough 
if a little sparse. However the warm welcome and friendly service from the 
staff (especially on Reception) made our stay that little bit more special. 
Very convenient location in Central London.Read moreDate of stay: March 
2019HelpfulShare</t>
  </si>
  <si>
    <t>Ian B wrote a review Mar 2019Corby, United Kingdom9 contributions7 helpful 
votes</t>
  </si>
  <si>
    <t>Value for moneyExcellent location, comfortable rooms, exceptional service and value for 
money. would definitely stay again.Easy walking distance from most location 
particularly West End.Easy access to tubes and buses if you prefer.Read 
moreReview collected in partnership with TravelodgeDate of stay: March 
2019HelpfulShare</t>
  </si>
  <si>
    <t>https://www.tripadvisor.co.uk/Hotel_Review-g186338-d193057-Reviews-or1355-Travelodge_London_Covent_Garden-London_England.html#REVIEWS</t>
  </si>
  <si>
    <t>Sharon F wrote a review Mar 2019London, United Kingdom9 contributions2 
helpful votes</t>
  </si>
  <si>
    <t>convenient hotel for the theatrenice convenient hotel for the Shaftesbury theatre and Covent garden staff 
are lovely breakfast is good ....great Value for money room a bit smaller 
then I thought it would be but we had a lovely stay this hotel is very 
centralRead moreReview collected in partnership with TravelodgeDate of 
stay: March 2019HelpfulShare</t>
  </si>
  <si>
    <t>Mansell1 wrote a review Mar 2019Cheshire34 contributions35 helpful votes</t>
  </si>
  <si>
    <t>Saturday stopoverFriendly staff, swift check in, great location, good breakfast. Only 
downside was that we were in a corner room on Holborn Street/Drury Lane. It 
was very noisy until maybe 4am - shouting, car horns, 
police/ambulances..... I appreciate that this is London and its not the 
Hotels fault, but I would ask for a room to the rear next time.Read 
moreDate of stay: March 2019HelpfulShare</t>
  </si>
  <si>
    <t>Steve W wrote a review Mar 2019Plymouth, United Kingdom26 contributions3 
helpful votes</t>
  </si>
  <si>
    <t>Good hotel in great central locationOur second stay at this hotel. Great location to walk to Covent Garden, 
Trafalgar Square, Buckingham Palace etc. Holborn tube station in close 
proximity. Our room was warm, clean, good shower. Service and assyfrom 
reception was great. Will use this hotel againRead moreDate of stay: March 
2019HelpfulShare</t>
  </si>
  <si>
    <t>TheYoungOnes100 wrote a review Mar 2019Oxford, United Kingdom86 
contributions33 helpful votes</t>
  </si>
  <si>
    <t>bargain stayI have given this hotel 4 as we paid an incredibly low price for our one 
night stay in Covent garden. had everything we needed..comfy bed..large 
towels..tea/coffee. good breakfast and easy walk to London Palladium. would 
stay againRead moreDate of stay: March 2019HelpfulShare</t>
  </si>
  <si>
    <t>https://www.tripadvisor.co.uk/Hotel_Review-g186338-d193057-Reviews-or1360-Travelodge_London_Covent_Garden-London_England.html#REVIEWS</t>
  </si>
  <si>
    <t>HHB22 wrote a review Mar 2019Newcastle upon Tyne, United Kingdom29 
contributions5 helpful votes</t>
  </si>
  <si>
    <t>Theatre weekendGreat location for theatres , once you have your bearings it is very easy 
to find your way around. Taxis are plentiful if needed. A couple of bars 
really close by. Takeaway pizza next door to hotel . Traffic noise is loud 
if your room is at front of hotel.Read moreReview collected in partnership 
with TravelodgeDate of stay: March 2019HelpfulShareResponse from 
TravelodgeUK, Tilly from The Social Media Team at Travelodge London Covent 
GardenResponded 22 Mar 2019Thank you for your review of our London Covent 
Garden hotel. We would like to thank you for taking the time to share your 
experience. We are so pleased to hear that you were happy with the location 
of the Hotel and that your overall experience was a positive one. Your 
feedback is invaluable and we will notify the hotel of your comments. Thank 
you once again and we do hope you will stay with us again soon.Read more</t>
  </si>
  <si>
    <t>https://www.tripadvisor.co.uk/Hotel_Review-g186338-d1812157-Reviews-or220</t>
  </si>
  <si>
    <t>eric_brian61 wrote a review Mar 2019Marske-by-the-Sea, United Kingdom8 
contributions3 helpful votes</t>
  </si>
  <si>
    <t>Poor room housekeepingThe hotel is a budget hotel and basic, the breakfast was good and overall 
worth the price you pay. It is centrally located and accessible to all the 
tourist sites. The staff where very friendly and polite. The only negative 
side of the stay was the poor housekeeping or lack of it, we stayed here 
for two nights and at no point was the room made up or cleaned, this is 
basics and needs addressing.Read moreDate of stay: March 
2019HelpfulShareResponse from TravelodgeUK, James from the Social Media 
Team at Travelodge London Covent GardenResponded 19 Mar 2019Thank you for 
reviewing our Travelodge London Covent Garden Hotel. We're happy to hear 
that you were pleased with the hotel's location as well as the breakfast 
offered and the service from the hotel's team although we do apologise for 
the poor house keeping during your visit. Please rest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</si>
  <si>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https://www.tripadvisor.co.uk/Hotel_Review-g186338-d193057-Reviews-or1365-Travelodge_London_Covent_Garden-London_England.html#REVIEWS</t>
  </si>
  <si>
    <t>quiggers55 wrote a review Mar 2019Sittingbourne, United Kingdom1 
contribution</t>
  </si>
  <si>
    <t>Theatre visitA short visit with my wife to theatres followed by meal. Needed comfortable 
bed for the night to avoid late train home. This hotel met our needs very 
wil indeed. Room was huge bed comfortable just a bit disappointed no fried 
eggs for breakfast. A bit picky eh?Read moreReview collected in partnership 
with TravelodgeDate of stay: March 2019HelpfulShare</t>
  </si>
  <si>
    <t>Amanda A wrote a review Mar 201916 contributions8 helpful votes</t>
  </si>
  <si>
    <t>So much better than we expectedArrived yesterday to a queue of adults waiting to check in. It was 
resemblant of a bus queue rather than a hotel check in with a less than 
friendly receptionist checking us in. Ever the optimists we went to our 
room 606 and things got better and better. The room was as expected, the 
view was above the roof tops, the bed was comfy but best of all was the 
silence!!! We slept really well and did not wake until 9.30am. We did not 
hear a sound. The location of this hotel is perfect for Covent Garden 
everything is within walking distance. No cabs or tubes required.Read 
moreDate of stay: March 2019HelpfulShare</t>
  </si>
  <si>
    <t>https://www.tripadvisor.co.uk/Hotel_Review-g186338-d193057-Reviews-or1370-Travelodge_London_Covent_Garden-London_England.html#REVIEWS</t>
  </si>
  <si>
    <t>ninahkhan wrote a review Mar 2019Liverpool, United Kingdom3 contributions</t>
  </si>
  <si>
    <t>Highly recommend this hotelI stayed here with my mum for one night. It was a Friday night and was very 
busy but we did not notice any noise other than the usual, doors banging at 
breakfast time!! We had booked a small family room so were in the High 
Holborn building. This was clearly stated on the booking confirmation and 
was no problem for us. We walked round to the main hotel (5 minute walk) to 
have dinner which was great and amazing value! The staff were really 
friendly. Breakfast is served in both building which is great too. The only 
thing I would say is if you book a small family room with an extra bed, the 
bed is quite small! I'm quite small and found the bed rather narrow. Mum 
loved her bed!! It was fine for me for one night. Wouldn't put me off 
staying here again though.Read moreReview collected in partnership with 
this hotelDate of stay: March 2019HelpfulShare</t>
  </si>
  <si>
    <t>Connector44184282519 wrote a review Mar 2019Belfast, United Kingdom1 
contribution</t>
  </si>
  <si>
    <t>Nothing great about it bar the staff.Attentive staff, but for £200+ quid for two nights with no hair dryer. Not 
acceptable and having to pay for Wi-fi. Bizzarre. Credit to the staff 
though. Worked with what they had in a courteous and empathetic manner.Read 
moreReview collected in partnership with TravelodgeDate of stay: March 
2019HelpfulShare</t>
  </si>
  <si>
    <t>Voyage36993089726 wrote a review Mar 20191 contribution</t>
  </si>
  <si>
    <t>best hotel i good staybeat hotel for what i need to stay very friendly welcome from MOHAMED and 
very helpful oi felt save and relaxed in this place very nice and clean new 
room thank you and so close to covent garden and my favorite indian 
restaurant PUNJABRead moreReview collected in partnership with 
TravelodgeDate of stay: March 20191 Helpful voteHelpfulShare</t>
  </si>
  <si>
    <t>JassieHertfordshire wrote a review Mar 2019Hertfordshire15 contributions16 
helpful votes</t>
  </si>
  <si>
    <t>Good value for central LondonBasic room but had all we needed for a short stay. Clean and quiet. So 
handy for theatre trip stays. Most theatres are within 10 minute walk. Very 
convenient for Holborn and Leicester Square underground stations.Read 
moreReview collected in partnership with TravelodgeDate of stay: March 
2019HelpfulShare</t>
  </si>
  <si>
    <t>https://www.tripadvisor.co.uk/Hotel_Review-g186338-d193057-Reviews-or1375-Travelodge_London_Covent_Garden-London_England.html#REVIEWS</t>
  </si>
  <si>
    <t>sandy wrote a review Mar 2019Veroia, Greece6 contributions1 helpful vote</t>
  </si>
  <si>
    <t>Value for moneyGreat location, clean room, familly room big enought, no fridge in the 
room, a little noise from outside the room, ask for room on a higher lever. 
I would recommend the travelodge covent garden hotel.Read moreReview 
collected in partnership with TravelodgeDate of stay: March 2019HelpfulShare</t>
  </si>
  <si>
    <t>Mark C wrote a review Mar 20192 contributions2 helpful votes</t>
  </si>
  <si>
    <t>Great customer serviceGreat customer service - Bea was super friendly and helped me with sorting 
out some extra paper work that needed printed and it was overall a great 
experience at the Travelodge London Covent Garden. Would recommend!Read 
moreDate of stay: March 20191 Helpful voteHelpfulShare</t>
  </si>
  <si>
    <t>dwfco wrote a review Mar 2019Uckfield, United Kingdom44 contributions23 
helpful votes</t>
  </si>
  <si>
    <t>Good Hotel and LocationWe stayed overnight in a family room, good value room, neat and tidy with a 
good breakfast in the morning. Ideal for visiting central London and within 
easy walking distance of Oxford Street. Would recommend for a short 
stay.Read moreDate of stay: January 2019HelpfulShare</t>
  </si>
  <si>
    <t>sonyapettigrew wrote a review Mar 20193 contributions</t>
  </si>
  <si>
    <t>Great location, clean hotel, absolutely awful cafe - do not eat here!This hotel is clean, tidy, and in a great location but the cafe and bare 
are terrible. we had to wait 1.45 for our food to turn up, the food was not 
great quality, and the selection was very limited. i have a disabled son 
who really became unwell waiting this amount of time for his food. i raised 
this with the staff who either ignored me or smiled and said it was on its 
way then disappeared to not be seen again. all he could eat was the apple 
pie and custard - does it really take 1.45 to take out an apple pie and 
heat it with some custard? My advice DO NOT EAT HERE. The drinks also 
doubled in price as the wait went on? my second G&amp;T was double the price of 
the first? and it was still a single. the whole experience ruined my mini 
break to the city with my son. the room…Read moreReview collected in 
partnership with TravelodgeDate of stay: March 2019HelpfulShareResponse 
from TravelodgeUK, Tilly from The Social Media Team at Travelodge London 
Covent GardenResponded 19 Mar 2019Thank you for your comments about our 
London Covent Garden hotel. We're sorry to hear of your disappointment with 
the bar cafe service and that your room was cold. We are pleased that you 
found the hotel to be clean, tidy and in a good location. We will pass your 
review to the hotel team and hope to welcome you back to one of our hotels 
in the near futureRead more</t>
  </si>
  <si>
    <t>https://www.tripadvisor.co.uk/Hotel_Review-g186338-d193057-Reviews-or1380-Travelodge_London_Covent_Garden-London_England.html#REVIEWS</t>
  </si>
  <si>
    <t>Huw P wrote a review Mar 2019Narberth, United Kingdom52 contributions16 
helpful votes</t>
  </si>
  <si>
    <t>Value for moneyI stay in hotels a lot, Travelodge a regular choice but served the purpose, 
it was clean and comfortable and adequate for my 1 night stay. I would use 
again and it was a pleasant experience, I would recommend as a budget 
accommodation.Read moreReview collected in partnership with TravelodgeDate 
of stay: February 2019HelpfulShare</t>
  </si>
  <si>
    <t>Escape37685032900 wrote a review Mar 2019Norfolk, United Kingdom1 
contribution</t>
  </si>
  <si>
    <t>Would recommend this hotelChose this hotel to be near to theatre. Good central location. Good price 
for accommodation. Hotel/room very clean and staff helpful and friendly. 
Breakfast the next day was amazing - great start to the day! Would 
definitely come back.Read moreReview collected in partnership with 
TravelodgeDate of stay: March 2019HelpfulShare</t>
  </si>
  <si>
    <t>https://www.tripadvisor.co.uk/Hotel_Review-g186338-d193057-Reviews-or1385-Travelodge_London_Covent_Garden-London_England.html#REVIEWS</t>
  </si>
  <si>
    <t>Konstantinos M wrote a review Mar 20191 contribution</t>
  </si>
  <si>
    <t>A good experienceGreat location with lots of useful places around (Oxford street, Soho, 
London Underground station, restaurants and pubs). Good service in general 
and very polite personnel even though one guy did not know where our room 
is. The hotel is quite new and the room was very comfortable and quiet. A 
good experience overall, I would definitely stay there again.Read 
moreReview collected in partnership with TravelodgeDate of stay: March 
2019HelpfulShare</t>
  </si>
  <si>
    <t>Alison H wrote a review Mar 20192 contributions2 helpful votes</t>
  </si>
  <si>
    <t>Sight seeing trip to London with my daughter.Well worth the money , hotel was very central and handy to a lot of the 
sights . The breakfast was good but very busy , would help if a separate 
boiler for just hot water for tea , as the machine took a while. Other that 
that greatRead moreReview collected in partnership with this hotelDate of 
stay: February 2019HelpfulShare</t>
  </si>
  <si>
    <t>Wanderer17416184360 wrote a review Mar 2019London, United Kingdom1 
contribution</t>
  </si>
  <si>
    <t>BEST VALUE FOR MONEY...Best hotel in terms of VALUE FOR MONEY. Also GREAT LOCATION, very 
comfortable beds and the employees were very hospitable and did their best 
to make our stay the most enjoyable and one to remember with 
positiveness...Read moreReview collected in partnership with this hotelDate 
of stay: February 2019HelpfulShare</t>
  </si>
  <si>
    <t>https://www.tripadvisor.co.uk/Hotel_Review-g186338-d193057-Reviews-or1390-Travelodge_London_Covent_Garden-London_England.html#REVIEWS</t>
  </si>
  <si>
    <t>Getaway57150339580 wrote a review Mar 20192 contributions2 helpful votes</t>
  </si>
  <si>
    <t>Comvenient.In exactly the right place for West End shows and the Tube. Restaurant and 
breakfast were fine. Late Bar available after The Show. The room was quiet 
and warm enough. The bathroom was adequate and hot water always 
available.Read moreReview collected in partnership with this hotelDate of 
stay: March 2019HelpfulShare</t>
  </si>
  <si>
    <t>Fearless09512660206 wrote a review Mar 2019Cardiff, United Kingdom1 
contribution</t>
  </si>
  <si>
    <t>HoneymoonIt was perfect in every way thank you i will be stayin g here again and 
again it was clean friendly located right close to where we wantwd to go in 
walking distance to the main covent garden thank you ..Read moreReview 
collected in partnership with this hotelDate of stay: March 2019HelpfulShare</t>
  </si>
  <si>
    <t>https://www.tripadvisor.co.uk/Hotel_Review-g186338-d1812157-Reviews-or225</t>
  </si>
  <si>
    <t>BYogesh wrote a review Mar 2019Bengaluru, India32 contributions8 helpful 
votes</t>
  </si>
  <si>
    <t>Value for moneyLocation is right in center of city of london. Walkable distance from 
Oxford street 3 tube stations near by rooms were spacious and cozy No 
balcony or any other luxury stuff, for 3 star facility much more than what 
you can look for there is clock room facility free of cost, specially need 
for checkout day Wifi at cost is available. I'd recommend those who are 
looking for budgeted accommodation, go for it. I have used this more than 3 
times in last 2 years.Read moreDate of stay: October 2018HelpfulShare</t>
  </si>
  <si>
    <t>JamieDanielLee78 wrote a review Mar 20193 contributions</t>
  </si>
  <si>
    <t>Covent GardenThis was a nice comfortable clean stay and a great central location close 
to lots of amenities. However, a downside: there was a huge queue for check 
in at 3.00pm and the heating system in the room didn’t work.Read moreReview 
collected in partnership with TravelodgeDate of stay: March 2019HelpfulShare</t>
  </si>
  <si>
    <t>https://www.tripadvisor.co.uk/Hotel_Review-g186338-d193057-Reviews-or1395-Travelodge_London_Covent_Garden-London_England.html#REVIEWS</t>
  </si>
  <si>
    <t>victoriaj681 wrote a review Mar 2019Newport, Rhode Island3 contributions2 
helpful votes</t>
  </si>
  <si>
    <t>Excellent stay!This is a very centrally located hotel with easy access for Covent Garden, 
many theatres and restaurants. The left luggage facility is helpful and all 
staff very pleasant. The small family room was spacious and clean. The beds 
were comfortable and the bathroom was clean.Read moreReview collected in 
partnership with TravelodgeDate of stay: March 2019HelpfulShare</t>
  </si>
  <si>
    <t>andrewdfrench wrote a review Mar 2019Plymouth, United Kingdom1 contribution</t>
  </si>
  <si>
    <t>Perfect location but weak and cold shower.This is a perfectly located hotel and offers an extremely excellent value 
for a central London hotel. If only the shower was decent. It was extremely 
weak and cold. The room was a good size however it was cold and did not 
seem to warm upRead moreReview collected in partnership with TravelodgeDate 
of stay: March 2019HelpfulShare</t>
  </si>
  <si>
    <t>mikemckeown13 wrote a review Mar 2019Widnes, United Kingdom1 contribution</t>
  </si>
  <si>
    <t>Rugby weekendGreat hotel great staff and great location .wecome down to London every 
year for the annual rugby at Twickenham and like to stay in the Covent 
Garden area because it is so central and there are so many facilities in 
the vicinityRead moreReview collected in partnership with TravelodgeDate of 
stay: March 2019HelpfulShare</t>
  </si>
  <si>
    <t>Valerie P wrote a review Mar 2019Dublin, Ireland35 contributions14 helpful 
votes</t>
  </si>
  <si>
    <t>Great value in central LondonI had a super stay at the Travelodge Covent Garden. I chose a Super Room 
which had all the facilities of a 4 Star hotel for a fraction of the price. 
The location is superb with all the shops and restaurants of Covent Garden 
at the doorstep. Excellent comfort and service.Read moreReview collected in 
partnership with TravelodgeDate of stay: February 20191 Helpful 
voteHelpfulShare</t>
  </si>
  <si>
    <t>Roxie wrote a review Mar 2019Worthing, United Kingdom5 contributions5 
helpful votes</t>
  </si>
  <si>
    <t>Overnight stayStayed overnight with my mum in a twin room. Decent sized room with 
everything we needed for a night's stay. Bathroom included a bath, which my 
mum was happy with as she doesn't like showers. However, when trying to 
switch from bath to shower, the knob would not stay in place and kept 
cutting back to the bath taps rather than the shower head.Read moreReview 
collected in partnership with TravelodgeDate of stay: March 2019HelpfulShare</t>
  </si>
  <si>
    <t>https://www.tripadvisor.co.uk/Hotel_Review-g186338-d193057-Reviews-or1400-Travelodge_London_Covent_Garden-London_England.html#REVIEWS</t>
  </si>
  <si>
    <t>lauren2205 wrote a review Mar 2019Perth, United Kingdom65 contributions18 
helpful votes</t>
  </si>
  <si>
    <t>Great on a budgetStayed here for a girls weekend. It’s exactly what it says on the tin - 
great central hotel on a budget. Your belongings are safe and the beds are 
comfy. Rooms could do with an update and the corridors smell stale, but 
great weekend was had.Read moreDate of stay: March 2019HelpfulShare</t>
  </si>
  <si>
    <t>David H wrote a review Mar 20191 contribution</t>
  </si>
  <si>
    <t>Covent Garden Cleanliness Family RoomI am not sure if I was expecting too much but I felt the room was lacking 
cleanliness. For example toilet roll dispenser had toilet roll stuffed into 
holes in the metal, shower and bath has black mould on ceiling, floors felt 
poorly hoovered - hair on floor and dusty nooks and crannies. Location is 
excellent however. In fairness we did not report this to staff due to only 
having 24 hours in London to explore and not wanting to waste any time 
however for a large chain the standards were not good.Read moreReview 
collected in partnership with TravelodgeDate of stay: March 
2019HelpfulShareResponse from TravelodgeUK, Tilly from The Social Media 
Team at Travelodge London Covent GardenResponded 19 Mar 2019Thank you for 
your review of our London Covent Garden hotel. We're very sorry to learn 
that your room was not cleaned to our high standards, however we are 
pleased that you were happy with the location of the hotel. We will be sure 
to pass your comments to the hotel team to help improve the service that we 
offer and we hope to welcome you back soonRead more</t>
  </si>
  <si>
    <t>Cruiser304592 wrote a review Mar 20191 contribution</t>
  </si>
  <si>
    <t>Travelodge Covent GardenGood price and location. My room was quiet, despite being close to a road. 
There were three tube stations were within easy walking distance. Plenty of 
eateries nearby if the hotel food didn't grab you.Read moreReview collected 
in partnership with TravelodgeDate of stay: March 20191 Helpful 
voteHelpfulShare</t>
  </si>
  <si>
    <t>misty60 wrote a review Mar 2019Aberystwyth, United Kingdom20 contributions9 
helpful votes</t>
  </si>
  <si>
    <t>LocationI found this to be a very convenient location to access all the tourist 
places in London. Th hotel is very clean. The rooms are spacious. The beds 
and pillows are very comfortable. There was a bit of noise outside in the 
early hours of the morning but I wear ear plugs so this is not a problem to 
me. The luggage storage area is an excellent facility.Read moreReview 
collected in partnership with TravelodgeDate of stay: March 20191 Helpful 
voteHelpfulShare</t>
  </si>
  <si>
    <t>https://www.tripadvisor.co.uk/Hotel_Review-g186338-d193057-Reviews-or1405-Travelodge_London_Covent_Garden-London_England.html#REVIEWS</t>
  </si>
  <si>
    <t>Malcolm S wrote a review Mar 2019Stourbridge102 contributions45 helpful 
votes</t>
  </si>
  <si>
    <t>Great Place to stayJust spent a short weekend break (2 nights) here (1/3/19) . Staff very 
attentive to your needs. Hotel very clean and well maintained. Rooms very 
comfortable and offer everything you need for a short stay. ideally located 
for Covent Gardens and surrounding attractions. Breakfast was tasty, well 
cooked and free flowing - as much or as little as you like.Read moreDate of 
stay: March 2019HelpfulShare</t>
  </si>
  <si>
    <t>Paul wrote a review Mar 20192 contributions</t>
  </si>
  <si>
    <t>Comfy staySamantha on reception was amazing when I checked in and also amazing on the 
day I checked out helpful in every way also Caroline behind the bar was 
equally amazing so friendly and chatty also Tuesday evening Clara behind 
the bar was so friendlyRead moreDate of stay: March 2019HelpfulShare</t>
  </si>
  <si>
    <t>https://www.tripadvisor.co.uk/Hotel_Review-g186338-d193057-Reviews-or1410-Travelodge_London_Covent_Garden-London_England.html#REVIEWS</t>
  </si>
  <si>
    <t>AMC1704 wrote a review Mar 2019Falkirk, United Kingdom5 contributions6 
helpful votes</t>
  </si>
  <si>
    <t>Don`t let them move you to High HolbornBooked into Covent Garden. They advised we would be staying in High 
Holborn, approx. 100 yards away. They stated facilities identical-NO!!! 
Reception staff disinterested. Very limited bar shut most of our stay. One 
lift out of order. No atmosphere. Simply, poor. Not identical. As for free 
Wi-Fi only for 30 mins? Very poor given tariffs charged, and in todays 
modern world.Read moreDate of stay: February 20192 Helpful 
votesHelpfulShareResponse from TravelodgeUK, Shaf from the Social Media 
Team. at Travelodge London Covent GardenResponded 6 Mar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</si>
  <si>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kogak54 wrote a review Mar 2019Ballina, Ireland4 contributions1 helpful vote</t>
  </si>
  <si>
    <t>excellent locationstayed here for 2 nights and it was excellent, staff were very friendly 
place was very clean and comfortable loved the double windows which ment 
although in centeral london room was very quiet a great location fo west 
end 5 min walk to covenant garden and in center of theatre land breakfast 
was excellent it was beautiful stayRead moreDate of stay: March 
2019HelpfulShare</t>
  </si>
  <si>
    <t>dgosul wrote a review Mar 2019Limerick, Ireland1,730 contributions286 
helpful votes</t>
  </si>
  <si>
    <t>Great stayBooked a super room for two nights at the weekend Check in was fast The 
room was warm &amp; clean Bed very comfortable Had a great sleep Didn’t have 
the breakfast but had a glass of wine at the bar and it was fine, 
reasonable prices. Great location though.Read moreDate of stay: March 
2019HelpfulShare</t>
  </si>
  <si>
    <t>https://www.tripadvisor.co.uk/Hotel_Review-g186338-d193057-Reviews-or1415-Travelodge_London_Covent_Garden-London_England.html#REVIEWS</t>
  </si>
  <si>
    <t>Freedom52919760242 wrote a review Mar 2019Norwich, United Kingdom1 
contribution</t>
  </si>
  <si>
    <t>Very uncomfortable stayWe booked this hotel for its convenient location and seemingly excellent 
value for money. Unfortunately the bed dipped in the middle and was 
extremely hard (I think it was just very old) which led me and my husband 
having an extremely poor night's sleep. There was also blood on the duvet, 
at least 15 specs. Unfortunately all of this was noticed around 11pm before 
we were getting into bed so we had to try and make do with it all. There is 
a warning on the hotel website about the street noise so we were not 
expecting a completely quiet night. However, the noise from the street was 
unbelievably loud, we heard people having a normal level of conversation. I 
imagine the windows are only single glazed it was that bad?! The staff on 
reception were very welcoming and friendly, it…Read moreReview collected in 
partnership with TravelodgeDate of stay: March 2019HelpfulShareResponse 
from TravelodgeUK, Ben from the Social Media Team at Travelodge London 
Covent GardenResponded 19 Mar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</si>
  <si>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Connector44467259821 wrote a review Mar 20191 contribution1 helpful vote</t>
  </si>
  <si>
    <t>Noisy HotelA very noisy hotel ( internally ) rooms did not appear to be sound proofed 
to stop outside noise from other rooms , TV,s people talking in the 
corridors , doors open and shutting and banging , bathrooms etc etcRead 
moreReview collected in partnership with TravelodgeDate of stay: March 
20191 Helpful voteHelpfulShareResponse from TravelodgeUK, Molly from the 
Social Media Team at Travelodge London Covent GardenResponded 6 Mar 
2019Thank you for your review. We are sorry to hear that you were disturbed 
by noise levels during your stay. We hope to ensure a peaceful night's stay 
for all of our guest's, without disruption, and we apologise if we were 
unsuccessful in achieving this on this occasion. We hope you will chose to 
stay with us in the future, where we will endeavour to restore your faith 
in Travelodge. Thank you again for your feedback.Read more</t>
  </si>
  <si>
    <t>Tourist57383111674 wrote a review Mar 2019Liverpool, United Kingdom1 
contribution</t>
  </si>
  <si>
    <t>Recent Londay visitHotel is in an excellent location. Accessible from both Covent Garden and 
Holborn tube stations. Lots to visit within walking distance including many 
great restaurants and bars. Local theatres easily accessible although we 
went to Hamilton at The Vic which was probably farthest away. Lots of 
choice at breakfast, better than many other travel lodges and staff were 
very helpful and friendly. Would visit again.Read moreReview collected in 
partnership with this hotelDate of stay: February 2019HelpfulShare</t>
  </si>
  <si>
    <t>Ian P wrote a review Mar 2019Whitby2 contributions</t>
  </si>
  <si>
    <t>What more do you want?Usual comfy bed, good air conditioner, spotless room, friendly and helpful 
staff and right in the middle of theatreland. Good breakfast for a tenner, 
excellent left luggage facility. What more do you really want or need?Read 
moreReview collected in partnership with TravelodgeDate of stay: February 
2019HelpfulShare</t>
  </si>
  <si>
    <t>Deb C wrote a review Mar 2019Coventry, United Kingdom6 contributions2 
helpful votes</t>
  </si>
  <si>
    <t>Theatre breakTheatre break in Drury Lane &amp; pub crawl right by the hotel, as many quirky 
old bars, micro brewery &amp; real ale pubs on doorstep. Full of character. 
Lovely little side streets to explore, off of Drury Lane areaRead 
moreReview collected in partnership with this hotelDate of stay: March 
2019HelpfulShare</t>
  </si>
  <si>
    <t>https://www.tripadvisor.co.uk/Hotel_Review-g186338-d193057-Reviews-or1420-Travelodge_London_Covent_Garden-London_England.html#REVIEWS</t>
  </si>
  <si>
    <t>Nomad489768 wrote a review Mar 20191 contribution</t>
  </si>
  <si>
    <t>Very goodWe visited with our family and it's was great. Rooms were clean and tidy. 
Breakfast was good. Receptionst are very helpful and cooperating. Kids 
friendly. Family friendly. Location is best..near to all main tourist 
attraction.Read moreReview collected in partnership with this hotelDate of 
stay: February 2019HelpfulShare</t>
  </si>
  <si>
    <t>Pioneer533140 wrote a review Mar 20191 contribution</t>
  </si>
  <si>
    <t>Travelodge London Covent GardensThis is at the heart of London and a short distance to a quite a few places 
around. It's clean, friendly and easy to get to, lots of places to eat, we 
went to a theatre. I'm planning on coming here again in the summer.Read 
moreReview collected in partnership with this hotelDate of stay: February 
2019HelpfulShare</t>
  </si>
  <si>
    <t>Coastal66608051547 wrote a review Mar 2019Cornwall, United Kingdom1 
contribution</t>
  </si>
  <si>
    <t>TreatGreat location, good clean and nice room . Good breakfast although the 
restaurant got very busy on Sunday morning and the staff could be a bit 
faster at clearing the tables. It’s a shame it was just a bit on the 
expensive side but as a treat as staying in the heart of London was easier 
than travelling to the outskirts.Read moreReview collected in partnership 
with this hotelDate of stay: February 2019HelpfulShare</t>
  </si>
  <si>
    <t>Travel40654542420 wrote a review Mar 2019Cleethorpes, United Kingdom1 
contribution</t>
  </si>
  <si>
    <t>https://www.tripadvisor.co.uk/Hotel_Review-g186338-d1812157-Reviews-or230</t>
  </si>
  <si>
    <t>Mint StopBrilliant position located near too underground Covent Garden m Leicester 
Square Piccadilly all nearby as well as all the Shows so will be returning 
to this hotel. Food was good plenty of choice kids loved itRead moreReview 
collected in partnership with this hotelDate of stay: February 
2019HelpfulShare</t>
  </si>
  <si>
    <t>Sue Hine wrote a review Mar 2019Arundel, United Kingdom2 contributions</t>
  </si>
  <si>
    <t>Weekend breakWonderful central quiet location in heart of theatre land . Very clean , 
great pubs walking distance Would recommend handy for tube , and staff very 
friendly and helpful . Great buffet style breakfastRead moreReview 
collected in partnership with this hotelDate of stay: February 
2019HelpfulShare</t>
  </si>
  <si>
    <t>https://www.tripadvisor.co.uk/Hotel_Review-g186338-d193057-Reviews-or1425-Travelodge_London_Covent_Garden-London_England.html#REVIEWS</t>
  </si>
  <si>
    <t>S Baird wrote a review Mar 20195 contributions</t>
  </si>
  <si>
    <t>Great locationGreat location. As the weather was lovely we walked to quite a few of the 
attractions. All staff were friendly. Had a nice bar area. Room was fine, 
breakfast was AMAZING! I would recommend it. O Loved the coffeemachine!Read 
moreDate of stay: February 2019HelpfulShare</t>
  </si>
  <si>
    <t>ladytwinpeaks wrote a review Mar 2019kent30 contributions16 helpful votes</t>
  </si>
  <si>
    <t>Noisy StayWe stayed for the one night on Friday and our room was at the end of the 
hotel by the traffic lights and opposite the White Hart pub....Very noisy 
room which led to hardly any sleep...The window catch was broken so I had 
to pack it out with a folded leaflet to make the window fit tighter to 
lessen the draft and the noise....The room its self was clean and the bed 
very comfy...Clean hotel and drinks from the bar were ok on price.Breakfast 
was really nice and well worth the money.Read moreDate of stay: March 
2019HelpfulShareResponse from TravelodgeUK, Tilly from The Social Media 
Team at Travelodge London Covent GardenResponded 17 Mar 2019Thank you for 
your feedback about our London Covent Garden hotel. We are sorry to learn 
that external noise has affected the comfort of your stay. We do apologise 
that on this occasion you did not receive the best experience possible. We 
are pleased that your room was clean and your bed was comfortable Thank you 
again for writing your review, we value your feedback and hope you stay 
with us in the future.Read more</t>
  </si>
  <si>
    <t>julieclift wrote a review Mar 2019Blackburn, United Kingdom13 
contributions19 helpful votes</t>
  </si>
  <si>
    <t>Great central London locationGreat value for money stay. Clean, friendly and.has everything you need for 
a mini break. No noise even though in central London. Has a bar which is 
great value for money. Didn’t eat there but the breakfast looked lovelyRead 
moreReview collected in partnership with TravelodgeDate of stay: March 
2019HelpfulShare</t>
  </si>
  <si>
    <t>Norman F wrote a review Mar 20192 contributions</t>
  </si>
  <si>
    <t>Property Needs Management AttentionOvercharged (subsequently refunded). Undesirables crowding the access ramp 
requiring security personnel as greeter. Beer barrels stored among the 
vending machines. Only 2 towels (1 bath and 1 hand) total for 2 people. 
Toilet which ran constantly.Read moreReview collected in partnership with 
TravelodgeDate of stay: March 2019HelpfulShare</t>
  </si>
  <si>
    <t>Wanderer43401051368 wrote a review Mar 20191 contribution1 helpful vote</t>
  </si>
  <si>
    <t>Great stayGreat location we was literally a 10 min walk from Leicester Square and the 
hippodrome where we was going to see Magic Mike Live. We had a standard 
room it was just what we needed and was spacious. The room was clean and 
had all amenities. Staff are very friendly and there is a place to put your 
bags if you get there early or are leaving later when go home ����Read 
moreReview collected in partnership with TravelodgeDate of stay: February 
20191 Helpful voteHelpfulShare</t>
  </si>
  <si>
    <t>https://www.tripadvisor.co.uk/Hotel_Review-g186338-d193057-Reviews-or1430-Travelodge_London_Covent_Garden-London_England.html#REVIEWS</t>
  </si>
  <si>
    <t>Anon wrote a review Mar 20193 contributions</t>
  </si>
  <si>
    <t>Great locationThe hotel is convenient for visiting London, 5 minutes walk from Covent 
garden tube station. Staff friendly and helpful, hotel room clean and 
comfortable. Great breakfast. Overall a great one night stay.Read 
moreReview collected in partnership with TravelodgeDate of stay: March 
2019HelpfulShare</t>
  </si>
  <si>
    <t>underw00d wrote a review Mar 2019London, United Kingdom57 contributions36 
helpful votes</t>
  </si>
  <si>
    <t>Basic but dependableOften use this branch of Travelodge when visiting London on business. It's 
basic, as all in the chain are, but when all you're doing there is sleeping 
and showering that's all you need really. This time around I was given a 
room on a "quiet floor", which really lived up to its name - only once 
heard anyone else walking along the corridor. Comfortable bed, plenty of 
space and a reliably hot shower. Didn't take breakfast there as prefer the 
healthier options available nearby. Watch out if disabled or arriving with 
heavy luggage - stairs only to reach reception. There is a ramp for getting 
out again, so presumably possible to get in that way too but not sure how 
you'd arrange that in advanceRead moreDate of stay: February 
2019HelpfulShare</t>
  </si>
  <si>
    <t>Motherland wrote a review Mar 2019Houghton-le-Spring, United Kingdom271 
contributions101 helpful votes</t>
  </si>
  <si>
    <t>Great locationThis really is on a great location. I’ve stayed here a few times with work 
and it’s generally ok, however I think it’s becoming slightly less 
impressive on each occasion and I had a couple of problems with my room. 
You get what you pay for at the end of the dayRead moreDate of stay: 
February 2019HelpfulShareResponse from TravelodgeUK, Tilly from The Social 
Media Team at Travelodge London Covent GardenResponded 17 Mar 2019Thank you 
for your comments about our London Covent Garden hotel. We're sorry to hear 
that you had a few issues during your stay, however we are pleased that you 
were happy with the location. We will be sure to pass your review to our 
hotel team and hope to welcome you back in the near futureRead more</t>
  </si>
  <si>
    <t>Mike Beranek wrote a review Mar 2019Hayes, United Kingdom454 
contributions35 helpful votes</t>
  </si>
  <si>
    <t>Ideal location for West End just a 10min walkUnfortunately it's the location that stands out as even our Superior was 
mildly disappointing with a shower that shed water on the floor and a 
rather miserly couple of capsules of coffee for the Nespresso machine. 
Still a huge bed and as I say great spot for the theatre district. Being in 
the financial district there's not much around in terms of cheap fast food 
or groceries but a nice Chicken Cottage can be found on Google Maps, and 
there an M &amp; S foodhall down the road a little.Read moreDate of stay: 
February 2019HelpfulShareResponse from TravelodgeUK, James from the Social 
Media Team at Travelodge London Covent GardenResponded 3 Mar 2019Thank you 
for reviewing our London Covent Garden Travelodge Hotel. We're happy to 
hear that you were pleased with the hotel's location as well as the rooms 
facilities although we are sorry to hear that you weren't happy with the 
rooms shower facilities. Please rest assured the hotel managers check 
Tripadvisor reviews of their hotels so your comments will be reviewed by 
the hotel's team. Thank you again for leaving this review and we do hope 
that you choose to stay with us again in the future.Read more</t>
  </si>
  <si>
    <t>Trail32035130250 wrote a review Mar 2019Milton Keynes, United Kingdom1 
contribution</t>
  </si>
  <si>
    <t>Great location. Fantastic staffEvery time I stay here the staff are fantastic- just really friendly and 
helpful. Location is brilliant just a couple of minutes walk to Covent 
Garden and Shaftesbury Avenue. Hotel is clean and comfortableRead 
moreReview collected in partnership with TravelodgeDate of stay: February 
2019HelpfulShare</t>
  </si>
  <si>
    <t>https://www.tripadvisor.co.uk/Hotel_Review-g186338-d193057-Reviews-or1435-Travelodge_London_Covent_Garden-London_England.html#REVIEWS</t>
  </si>
  <si>
    <t>JDDJ wrote a review Mar 20191 contribution</t>
  </si>
  <si>
    <t>JDVery pleasant staff, the breakfast was lovely, it was clean and tidy, 
although the cleaning staff didn't replenish the toilet roll which meant we 
ran out of paper and had to use a sock instead. Apart from that 10/10 very 
nice.Read moreDate of stay: March 2019HelpfulShare</t>
  </si>
  <si>
    <t>Pauline C wrote a review Feb 2019Swindon, United Kingdom1 contribution</t>
  </si>
  <si>
    <t>One night stay to meet familyEverything was great about the stay, the room, the staff and the location. 
The room was really clean and the bathroom fitted out beautifully so no 
nasty grimy corners. The staff were very helpful and great to leave our 
bags for the day knowing they were safe.Read moreReview collected in 
partnership with this hotelDate of stay: February 2019HelpfulShare</t>
  </si>
  <si>
    <t>Explore47206011095 wrote a review Feb 20191 contribution</t>
  </si>
  <si>
    <t>Great ExperienceHaving stayed in a number of hotels on business and pleasure we found this 
experience to be excellent, from really friendly attentive staff and a very 
clean and tidy hotel - highly recommended. Thanks especially to Bea in the 
reception desk for being so attentive.Read moreReview collected in 
partnership with TravelodgeDate of stay: February 2019HelpfulShare</t>
  </si>
  <si>
    <t>https://www.tripadvisor.co.uk/Hotel_Review-g186338-d193057-Reviews-or1440-Travelodge_London_Covent_Garden-London_England.html#REVIEWS</t>
  </si>
  <si>
    <t>NannyAnnieto2 wrote a review Feb 2019Whitstable35 contributions39 helpful 
votes</t>
  </si>
  <si>
    <t>Just the job!Stayed here last night in Room 207 which was very quiet - everything good, 
comfortable bed, with basic amenities, all of which worked. Staff pleasant 
and breakfast well worth the money with branded foods. I understand the 
other building is more 'dated' and we've booked again to stay in May so 
hope we can be allocated a room in the newer building again.Read moreDate 
of stay: February 2019HelpfulShare</t>
  </si>
  <si>
    <t>Jacksonclare wrote a review Feb 20191 contribution</t>
  </si>
  <si>
    <t>Good position but very noisy trafficGood location, friendly staff, good breakfast, clean room, comfy beds, good 
shower. No problems at all really just what you would expect from any 
travel lodge. Basic but good beds. Only snag was the traffic noise.Read 
moreReview collected in partnership with this hotelDate of stay: February 
2019HelpfulShare</t>
  </si>
  <si>
    <t>Voyager148113 wrote a review Feb 20191 contribution</t>
  </si>
  <si>
    <t>Great location, good serviceI spent 1 night at the Travelodge London Covent Garden with family (2 
adults, 1 child). We had a family room which was on a surprisingly quiet 
floor. The room had a very decent size and fit a huge double bed and a 
single bed. We found the matresses very comfortable, the sheets were clean 
and all 3 of us slept very well. The bathroom was a bit spartan, although 
with a working shower and toilet. Towels and soap were provided. Hairdryer 
is only available at the reception. The receptionists were very kind and 
helpful. The hotel has also a bar and restaurant. We opted for the 
breakfast buffet in the morning which offered all sorts of things from 
various juices, tea, coffee, fruit salad, cereals, bread, croissants, 
bacon, baked beans, toast, scrambled egg etc. Enough to start the day…Read 
moreReview collected in partnership with TravelodgeDate of stay: February 
2019HelpfulShare</t>
  </si>
  <si>
    <t>https://www.tripadvisor.co.uk/Hotel_Review-g186338-d193057-Reviews-or1445-Travelodge_London_Covent_Garden-London_England.html#REVIEWS</t>
  </si>
  <si>
    <t>Holidaze45 wrote a review Feb 2019Worcester, United Kingdom13 
contributions12 helpful votes</t>
  </si>
  <si>
    <t>Covent Garden theatre landTheirs was ideally placed for visiting the theatres and Covent Garden 
itself. Only 5 mins from the Covent Garden tube stn. All the staff at this 
Travelodge were friendly and helpful and appeared to enjoy their jobs Our 
room was quiet from outside noise but we did hear running water from the 
bathrooms on the floor above Note there is no hairdryer in the standard 
room- well ours didn't anyway.. We went for the full English breakfast and 
it was good value for London, and the items were replaced promptly and were 
freshRead moreReview collected in partnership with TravelodgeDate of stay: 
February 2019HelpfulShare</t>
  </si>
  <si>
    <t>Vij005 wrote a review Feb 20194 contributions11 helpful votes</t>
  </si>
  <si>
    <t>Great stayWe stayed in Jan 2019. Staff really helpful and professional and 
knowledgeable. Breakfast was really good with lots of choice. Rooms are 
clean, beds are comfy. Overall will stay again with Travelodge at Covent 
GardenRead moreDate of stay: December 2018HelpfulShare</t>
  </si>
  <si>
    <t>Nomad747619 wrote a review Feb 20191 contribution1 helpful vote</t>
  </si>
  <si>
    <t>Ok but giving it a 3 star because of cleaning staff and barArrived at Travelodge. Room was very comfortable and clean. However comes 
to the night time and we head to the bar for the ‘happy hour’ ‘ANY DRINK’ 
for £6.. So I’ve asked for 2 Proseccos. Bar Staff was so rude and was 
unable to even explain why I couldn’t have them as she couldn’t speak 
English. She just said ‘No’ ‘Not In offer only Wine and Beer’. SO MUCH FOR 
‘ANY DRINK’. Also, Next Morning. I had asked the cleaners for some Toilet 
Roll. One of them had to go and get another cleaner to explain what ‘Toilet 
Roll’ is in their language however she didn’t say this. They again wasn’t 
speaking English. So she just shook her head and we asked again and they 
just looked at us up and down and laughed. We walked off, they had no 
manners to even say Thank you or Bye. Overall, I am…Read moreReview 
collected in partnership with TravelodgeDate of stay: February 20191 
Helpful voteHelpfulShareResponse from TravelodgeUK, James from the Social 
Media Team at Travelodge London Covent GardenResponded 28 Feb 2019Thank you 
for reviewing our London Covent Garden Travelodge Hotel. We're happy to 
hear that you were pleased with the quality and comfort of your room during 
this stay with us although we are very sorry to hear of the issues 
experienced within our bar/cafe with the promotions and service received 
here and from the operational team.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</si>
  <si>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Nomad43840220332 wrote a review Feb 20191 contribution</t>
  </si>
  <si>
    <t>.the quite floor for BusinessI rented the super room in the business floor and it was an excellent 
choice. The floor is quiter, the room very confortable . Excellent desk 
facility. Very confortable bed to rest . Nice touch espresso machine.Read 
moreReview collected in partnership with TravelodgeDate of stay: February 
2019HelpfulShare</t>
  </si>
  <si>
    <t>https://www.tripadvisor.co.uk/Hotel_Review-g186338-d193057-Reviews-or1450-Travelodge_London_Covent_Garden-London_England.html#REVIEWS</t>
  </si>
  <si>
    <t>Dream34383101488 wrote a review Feb 20191 contribution</t>
  </si>
  <si>
    <t>Very clean bathroom datedHotel is you get what you pay for, room very clean, bathroom outdated, the 
room was exceptionally hot, as the radiator had been put on without us 
knowing, parking facilities let us down having our rear window smashed and 
vehicle broken into ���� location is excellentRead moreReview collected in 
partnership with TravelodgeDate of stay: February 2019HelpfulShare</t>
  </si>
  <si>
    <t>NorthStar40693368180 wrote a review Feb 20192 contributions</t>
  </si>
  <si>
    <t>Basic quality, great value.For a good value, no frills stay in a brilliant location in the city, then 
this Travelodge is ideal. Clean hotel and room, easy to book online and 
friendly, helpful staff. Spacious room. Would have preferred not to have a 
shower curtain!Read moreReview collected in partnership with TravelodgeDate 
of stay: February 2019HelpfulShare</t>
  </si>
  <si>
    <t>Jord B wrote a review Feb 2019161 contributions53 helpful votes</t>
  </si>
  <si>
    <t>Location and location only.The location of this hotel is incredible and I honestly couldn't of asked 
for a better Location, shortish walk to Soho and tubes. In the heart of 
Covent Garden. However, the walls are super thin and you can hear 
everything at night which forced us to have the fan on for some ambient 
noise to drown it out. There was mould in our room which was unfortunate. 
The bed was average but I slept well. The staff are brilliant here and 
great device was given. We ended up waiting 15 minutes for the elevator one 
morning as it is faulty. I will be going to premier inn Hub next time and I 
suggest you do too.Read moreDate of stay: February 2019HelpfulShareResponse 
from TravelodgeUK, Molly from the Social Media Team at Travelodge London 
Covent GardenResponded 27 Feb 2019Thank you for your review. We're pleased 
to hear that your stay was enhanced by the location of the Hotel. We are 
delighted to hear that the Team were able to make your stay more enjoyable. 
We hope to consistently demonstrate a high level of sincere customer care, 
and we are pleased to hear that this was achieved throughout your stay. 
However, we are sorry to hear that you were disturbed by noise levels 
during your stay. We hope to ensure a peaceful night's stay for all of our 
guest's, without disruption, and we apologise if we were unsuccessful in 
achieving this on this occasion. We are also sorry to hear that you found 
mould in your room and the lift was broken during your stay. We will raise 
this with our maintenance teams. We hope you will chose to stay with us in 
the future, where we will endeavour to restore your faith in 
Travelodge.Read more</t>
  </si>
  <si>
    <t>RichardH1608 wrote a review Feb 2019Cheshire, United Kingdom80 
contributions33 helpful votes</t>
  </si>
  <si>
    <t>https://www.tripadvisor.co.uk/Hotel_Review-g186338-d1812157-Reviews-or235</t>
  </si>
  <si>
    <t>Great LocatiionStayed here for Four Nights, absolutely fabulous location in Drury Lane 
with only a Five Minute stroll into Central Covent Garden and the West End 
We booked one of the Super Rooms with Full English Breakfast included at a 
£100 a night. A Fantastic price for a London Hotel in such a Central 
Location. The Staff were very helpful and courteous and I would definitely 
recommend. Large comfortable clean Room ideal for a Packed four day stay in 
London.Read moreDate of stay: February 2019HelpfulShare</t>
  </si>
  <si>
    <t>https://www.tripadvisor.co.uk/Hotel_Review-g186338-d193057-Reviews-or1455-Travelodge_London_Covent_Garden-London_England.html#REVIEWS</t>
  </si>
  <si>
    <t>Escape01440986334 wrote a review Feb 20191 contribution</t>
  </si>
  <si>
    <t>Great priced hotelWe stayed here for one night for a family do in London. The hotel was a 5 
minute walk from Holbourn station and very centrally located. It was a good 
price for a conveniently located hotel in London. The breakfast was good 
value for money also and the bar area was niceRead moreReview collected in 
partnership with TravelodgeDate of stay: February 2019HelpfulShare</t>
  </si>
  <si>
    <t>SteveandBarry wrote a review Feb 2019Rochester, United Kingdom43 
contributions7 helpful votes</t>
  </si>
  <si>
    <t>Last minute stay in London after a showWe decided to have an impromptu overnight stay in London after seeing a 
musical theatre show This hotel was excellent value for money in London No 
frills but generally clean and comfortable Very well located for 
theatreland Reception staff exceptionally friendly and helpfulRead 
moreReview collected in partnership with TravelodgeDate of stay: February 
2019HelpfulShare</t>
  </si>
  <si>
    <t>Savvieq wrote a review Feb 201960 contributions28 helpful votes</t>
  </si>
  <si>
    <t>Great locationThe location is brilliant and the price can't really be faulted. The staff 
were also an asset to the hotel. However it needs a good revamp. The room 
itself wasn't great. The mattress and pillows were really hard, there was 
quite bad mould near our window and the curtains didn't block out much 
light. In addition to the poor room, the lift was extremely slow and we 
waited over ten minutes one day. It's also quite surprising that the staff 
use these lifts, you would think that they have a separate lift. All in 
all, I probably would go to a local premier inn next time and substitute a 
bigger room for a comfier stay.Read moreDate of stay: February 
2019HelpfulShare</t>
  </si>
  <si>
    <t>DayTrip12696328837 wrote a review Feb 20191 contribution</t>
  </si>
  <si>
    <t>Value for money, fantastic location.My partner and i have stayed here before and we find it to be in the best 
location for the price we paid. The hotel is right in the middle of theatre 
land and no to far from the tube station. I would highly recommend this 
hotel and i will be staying here again when mh lady and i next go in to 
london.Read moreReview collected in partnership with TravelodgeDate of 
stay: February 2019HelpfulShare</t>
  </si>
  <si>
    <t>https://www.tripadvisor.co.uk/Hotel_Review-g186338-d193057-Reviews-or1460-Travelodge_London_Covent_Garden-London_England.html#REVIEWS</t>
  </si>
  <si>
    <t>lisalO3658WP wrote a review Feb 2019Nottingham, United Kingdom1 contribution</t>
  </si>
  <si>
    <t>Great locationThis hotel is in a great location and in walking distance to a lot of the 
main attractions. The food is good and staff are very friendly. We did have 
problems with noise as the window was broken but the assistant manager 
Dharma compensated us for this. The manager Olu was also friendly and 
apologised for the sleep. This was our second stay at this hotel and would 
certainly stay again. The only recommendation is USB ports are needed in 
the rooms.Read moreReview collected in partnership with TravelodgeDate of 
stay: February 2019HelpfulShare</t>
  </si>
  <si>
    <t>ClareMac9 wrote a review Feb 2019Gomersal, United Kingdom13 contributions2 
helpful votes</t>
  </si>
  <si>
    <t>Good Base for a Trip to LondonWe chose this hotel due to its location and price. We weren’t expecting 
luxury as it’s not that type of hotel. The family room we had was a good 
size and clean. Both our boys had a single bed (they are put up beds but 
better than camp beds) which was a plus as some family rooms in hotels 
consist of a sofa bed and now they are 16 and 12 they don’t want to share a 
bed. Breakfast was good value but peak times were very busy and there is 
not really enough room for the number of people. The location is great, a 
short walk into the centre of Covent Garden and there are lots of 
restaurants and cafes in walking distance. The lifts are a bit of a pain in 
a morning, especially as one was out of order for the time we were there 
(we very nearly got stuck in it when we arrived and it…Read moreDate of 
stay: February 2019HelpfulShare</t>
  </si>
  <si>
    <t>TravelMunchkinFP wrote a review Feb 2019Wales, United Kingdom277 
contributions119 helpful votes</t>
  </si>
  <si>
    <t>Great locationFriendly staff, great location, reasonable prices. Fabulous food, amazingly 
priced for Central London and quick service too. Downside is we found our 
room small, stuffy and a bit pokey but it was very clean. Next time we will 
upgrade to get a bigger room but this is our only gripe.Read moreDate of 
stay: February 2019HelpfulShare</t>
  </si>
  <si>
    <t>Maureen S wrote a review Feb 2019Hayling isla8 contributions14 helpful votes</t>
  </si>
  <si>
    <t>Great place to stayA good location for all of London’s main attractions and theatres. My only 
complaint would be the room was very hot. we were unable to open a window 
or reduce the temperature of the room to under 18c using the room 
temperature thermostatRead moreReview collected in partnership with 
TravelodgeDate of stay: February 2019HelpfulShare</t>
  </si>
  <si>
    <t>https://www.tripadvisor.co.uk/Hotel_Review-g186338-d193057-Reviews-or1465-Travelodge_London_Covent_Garden-London_England.html#REVIEWS</t>
  </si>
  <si>
    <t>lindalouPembroke wrote a review Feb 2019Pembrokeshire, United Kingdom32 
contributions23 helpful votes</t>
  </si>
  <si>
    <t>DissapointingLocation for our needs very good - but that was reason I chose it in first 
place. Disgusting burgers for the price. Pillows hard and lumpy. No shower 
gel in dispenser- red something ?!! On bathroom door - yuk ! No way to 
contact reception as no phone or number to call ! As I was already in bath 
when realised no shower gel !!Read moreReview collected in partnership with 
TravelodgeDate of stay: February 2019HelpfulShareResponse from 
TravelodgeUK, Ben from the Social Media Team at Travelodge London Covent 
GardenResponded 20 Mar 2019Thank you for taking the time to write a review 
about our London Covent Garden hotel. We are pleased to learn that you 
liked the hotels location however we are sorry to learn of your 
disappointment with the food, pillows and that the dispenser was not 
filled. Feedback is invaluable and our Hotel Managers regularly review 
their TripAdvisor reviews in order to fix any issues raised and pass on 
feedback to their team. Thank you once again and we do hope you will stay 
with us in the future.Read more</t>
  </si>
  <si>
    <t>Julie555 wrote a review Feb 2019Walsall109 contributions27 helpful votes</t>
  </si>
  <si>
    <t>Great Value for money, excellent locationStayed here in a twin room to go to a show in Covent Garden. We walked from 
Euston train station, lovely walk through the park and shops. Checked in to 
our room. Lovely and clean, no noise with good working air con. Clean 
sheets. Walked to the theatre, ten mins away. On the evening popped in for 
a beer after the show, chilled out in the bar area. The bar is open until 
04:00 hours which was a nice surprise. Had a lovely quiet nights sleep, not 
too hot not too cold. Beds very comfy. Had read from a previous customer 
that there was one pillow. Looked in wardrobe there were another two 
pillows. Perfect. Had the buffet breakfast which was great value for money 
and the staff were so helpful. Checked out and had a lovely walk back to 
Euston.Read moreReview collected in partnership with TravelodgeDate of 
stay: February 2019HelpfulShare</t>
  </si>
  <si>
    <t>annptf wrote a review Feb 2019Taunton, United Kingdom3 contributions1 
helpful vote</t>
  </si>
  <si>
    <t>Can and friendly hotel in excellent locationSecond time I've stayed here. Staff are welcoming, hotel is clean, and 
location next to Seven Dials (a regenerated area with an interesting 
history since 1690's) and Covent Garden can't be beaten. Good bus services, 
tube not far. Great area for strolling!Read moreReview collected in 
partnership with TravelodgeDate of stay: February 2019HelpfulShare</t>
  </si>
  <si>
    <t>Charlotte C wrote a review Feb 2019Buffalo, New York5 contributions2 
helpful votes</t>
  </si>
  <si>
    <t>You Get What You Pay ForThis hotel didn't do anything to make my stay horrible, it was actually not 
bad -- but the place needs a makeover...and a good clean. The ironing board 
was covered in stains, and the carpet looks as if it hadn't been vacuumed 
in awhile. We were also given an 'underground' room, which is slightly 
below street level (and barely has a window/view). The woman at the front 
desk told us that if we were unhappy with the room's location, that we can 
request to be moved to a different room in the morning. However in the 
morning, a different woman told us this was not possible. So, is it the 
worst hotel in the world? No; the location is unbeatable as it's down the 
street from the heart of London. But it's nothing amazing. Like I said, you 
get what you pay for!Read moreDate of stay: February 20191 Helpful 
voteHelpfulShareResponse from TravelodgeUK, Shaf from the Social Media 
Team. at Travelodge London Covent GardenResponded 24 Feb 2019Thank you for 
reviewing our London Covent Garden Travelodge. We're pleased to hear you 
liked the location of the hotel and really do apologise the general 
cleanliness was up not up standards. We do apologise you was told two 
different things from the hotel team and we really are sorry you did not 
like the allocation of your room. Feedback is invaluable and our Hotel 
Managers regularly review their TripAdvisor reviews in order to fix any 
issues raised and pass on feedback to their team. Thank you once again and 
we do hope you will stay with us in the future.Read more</t>
  </si>
  <si>
    <t>sally01384 wrote a review Feb 2019Madeira, Portugal4 contributions1 helpful 
vote</t>
  </si>
  <si>
    <t>Great location but very basic accommodationBooked hotel for a couple nights with husband and daughter to experience 
London and its sights. The location can not be faulted. It is right in the 
centre of everything including theatre district. Hotel itself is very basic 
and the first room we were allocated was dark, dingy, smelly with mould in 
the bath. After raising concerns with reception we were allocated a larger 
much better room. The hotel is in two different sites and we finally had a 
room on the High Holborn site which was much better. Its not luxury, 
however it was a base and served its purpose. The breakfast was great, 
however the dinning area much was too small for the size of the hotel. 
Although there wasn't much a queue, the tables were tightly packed in and 
felt cramped. Plenty of food and very tasty…Read moreReview collected in 
partnership with TravelodgeDate of stay: February 2019HelpfulShareResponse 
from TravelodgeUK, Ben from the Social Media Team at Travelodge London 
Covent GardenResponded 18 Mar 2019Thank you for taking the time to write a 
review on our London Covent Garden hotel. We are pleased to hear that you 
liked the hotels location and that you liked the breakfast and price of the 
room, although we would like to apologise for the disappointment caused by 
the standards in the first room you were provided.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</si>
  <si>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https://www.tripadvisor.co.uk/Hotel_Review-g186338-d193057-Reviews-or1470-Travelodge_London_Covent_Garden-London_England.html#REVIEWS</t>
  </si>
  <si>
    <t>KarenAL wrote a review Feb 20191 contribution</t>
  </si>
  <si>
    <t>Birthday CelebrationExcellent location, very helpful staff ,clean and a great breakfast. If 
your looking for fancy this is not for you but as a base to enjoy London it 
was perfect for us. Plenty bars, restaurants, sites within easy walking 
distance. They had happy hour every evening we were there but only took 
advantage once. Would definitely go back.Read moreDate of stay: February 
2019HelpfulShare</t>
  </si>
  <si>
    <t>rik h wrote a review Feb 2019Portsmouth, United Kingdom5 contributions2 
helpful votes</t>
  </si>
  <si>
    <t>Great stayStayed for a couple of nights with my wife and 10 year old son . Couldn’t 
fault the hotel at all , good location , nice clean room and great service 
from the staff , especially Ashley who works behind the bar , great service 
from him ��Read moreDate of stay: February 2019HelpfulShare</t>
  </si>
  <si>
    <t>loveguns69 wrote a review Feb 2019Chester, United Kingdom3 contributions2 
helpful votes</t>
  </si>
  <si>
    <t>The big smoke adventure!Super rooms are a must, hotel right in the heart of Covent Garden, you can 
basically walk everywhere! Plenty of places to eat &amp; drink, entertainment 
galore &amp; that’s just people watching! Definitely recommend this hotel if 
you want everything on the doorstep.Read moreReview collected in 
partnership with TravelodgeDate of stay: February 2019HelpfulShare</t>
  </si>
  <si>
    <t>ujjw03 wrote a review Feb 2019Newcastle upon Tyne, United Kingdom65 
contributions22 helpful votes</t>
  </si>
  <si>
    <t>One night stayOn arrival it is busy. Guess it’s location means it’s always busy. I was 
told my room was not here but only a short walk to the other hotel. The 
rooms are clean but very basic and I found it cold. This hotel is a good 
location on a budget but expect a budget experienceRead moreDate of stay: 
February 2019HelpfulShare</t>
  </si>
  <si>
    <t>https://www.tripadvisor.co.uk/Hotel_Review-g186338-d193057-Reviews-or1475-Travelodge_London_Covent_Garden-London_England.html#REVIEWS</t>
  </si>
  <si>
    <t>geraldinefrith wrote a review Feb 2019Walsall, United Kingdom23 
contributions10 helpful votes</t>
  </si>
  <si>
    <t>Expensive for what it isHotel is massive being on both sides of High Holborn , Reception were very 
pleasant but room was dissapointing . Big room with not much in it The 
heating was totally inadequate if the weather had been really cold it would 
have been terrible. No heating at all in the bathroom.Read moreReview 
collected in partnership with TravelodgeDate of stay: February 
2019HelpfulShareResponse from TravelodgeUK, Molly from the Social Media 
Team at Travelodge London Covent GardenResponded 21 Feb 2019Thank you for 
your review. We're pleased to hear that you found the Team to be friendly 
however apologise that you were disappointed with your room. We are sorry 
that you found the heating to be poor and apologise for any discomfort 
caused. We will certainly pass your feedback on to the relevant team. 
Thanks again for your comments.Read more</t>
  </si>
  <si>
    <t>Gill P wrote a review Feb 20199 contributions2 helpful votes</t>
  </si>
  <si>
    <t>Great locationFabulous location. Our room was clean and peaceful. Breakfast was 
efficiently run and great value. The bed was clean and comfortable and I 
had a good night's sleep. We always stay here when we visit LondonRead 
moreReview collected in partnership with TravelodgeDate of stay: February 
2019HelpfulShare</t>
  </si>
  <si>
    <t>DayTrip35067891391 wrote a review Feb 2019Leeds, United Kingdom1 
contribution</t>
  </si>
  <si>
    <t>LONDONExcellent service, clean hotel throughout, good location for theatres, 5 
mins walk from covent gardens. Only 20 minutes from leaving hotel and 
arriving at kings cross station. Would recommend this hotel.Read moreReview 
collected in partnership with TravelodgeDate of stay: February 
2019HelpfulShare</t>
  </si>
  <si>
    <t>Maria T wrote a review Feb 2019Christchurch, United Kingdom10 
contributions1 helpful vote</t>
  </si>
  <si>
    <t>Great Value within easy reach of the Theatre districtWe always stay at Covent garden when we visit London, (approx 6 times per 
year) which is testamant in itself to the great service we receive. Staff 
are always welcoming, rooms clean, a little basic but perfect for the price 
and noise levels good. Breakfast is plentiful and fresh with vegetarian 
options available. Avoid 9am breakfast as that seems to be busiest and you 
may have to wait for a table. Close to Leicester square/Oxford Street and 
Shaftesbury Ave, great location.Read moreReview collected in partnership 
with TravelodgeDate of stay: February 2019HelpfulShare</t>
  </si>
  <si>
    <t>https://www.tripadvisor.co.uk/Hotel_Review-g186338-d193057-Reviews-or1480-Travelodge_London_Covent_Garden-London_England.html#REVIEWS</t>
  </si>
  <si>
    <t>Benjijackson wrote a review Feb 2019Norwich, United Kingdom123 
contributions26 helpful votes</t>
  </si>
  <si>
    <t>Don’t do the breakfast!To be honest, the location was very good. We parked our car in the nearby 
NCP so if you have to drive this is a recommended solution to the parking. 
Room was stuffy and the air con didn’t seem to work (usual stuff) The only 
thing I have issue with is the breakfast. I would normally have an ‘All 
English’ but didn’t fancy it on this occasion - my daughter took one bite 
of a sausage and said ‘not very nice’! Do yourself a massive favour - go 
for your breakfast at the nearby Cafe de Provence - this place is 
amazing!!!Read moreDate of stay: February 2019HelpfulShareResponse from 
TravelodgeUK, Shaf from the Social Media Team. at Travelodge London Covent 
GardenResponded 20 Feb 2019Thank you for reviewing our London Covent Garden 
Travelodge. We're pleased to hear you liked the location of the hotel and 
happy you did not have any issues with parking. We're really sorry to learn 
of your disappointment regarding the breakfast and do apologise the room 
was stuffy. Feedback is invaluable and our Hotel Managers regularly review 
their TripAdvisor reviews in order to fix any issues raised and pass on 
feedback to their team. Thank you once again and we do hope you will stay 
with us in the future.Read more</t>
  </si>
  <si>
    <t>sucamhar wrote a review Feb 2019Milford on Sea, United Kingdom11 
contributions2 helpful votes</t>
  </si>
  <si>
    <t>Winter breakExcellent stay. Clean, comfortable, safe. Friendly helpful staff superb 
position for sightseeing, theatres! Museums etc. Easy bus and tube access. 
Great breakfast. I didn’t use the cafe bar in the evening but it was good 
value . I often stay here solo, and feel quite safe walking to and from 
theatres and other evening activities. This visit was twith my sister and 
we had a good twin room, all in good order, clean and comfortable.Read 
moreReview collected in partnership with TravelodgeDate of stay: February 
2019HelpfulShare</t>
  </si>
  <si>
    <t>Happiness27546249668 wrote a review Feb 20191 contribution</t>
  </si>
  <si>
    <t>Unclean if you look properlyI had paid for a “SuperRoom” little did I know the extra £150 I had paid 
where basically for a hair dryer and coffee machine (I don’t like coffee) 
the superroom looked like your standard Travelodge room. Although the 
standard Travelodge room I would hope normally isn’t covered in stains up 
the wall and on the wood furnishing. There were also stains all over the 
carpets. The bedding and bathroom were clean the rest was rather dirty.Read 
moreReview collected in partnership with TravelodgeDate of stay: February 
2019HelpfulShare</t>
  </si>
  <si>
    <t>https://www.tripadvisor.co.uk/Hotel_Review-g186338-d1812157-Reviews-or240</t>
  </si>
  <si>
    <t>https://www.tripadvisor.co.uk/Hotel_Review-g186338-d193057-Reviews-or1485-Travelodge_London_Covent_Garden-London_England.html#REVIEWS</t>
  </si>
  <si>
    <t>Default5_03132020 wrote a review Feb 2019Newcastle, United Kingdom30 
contributions23 helpful votes</t>
  </si>
  <si>
    <t>FantasticDespiite some other negative reviews, i love travelodges, they have the 
best locations &amp; great prices. When in London I always stay at the covent 
garden/Holborn one, its excellent. Nice rooms, big comfy beds, all rooms 
en-suite, lovely friendly staff.. what more do you want??. I wouldn’t stay 
anywhere else.Read moreDate of stay: February 2019HelpfulShare</t>
  </si>
  <si>
    <t>Louise H wrote a review Feb 20196 contributions5 helpful votes</t>
  </si>
  <si>
    <t>Family breakFamily room very nice, clean and spacious nice comfy beds. Staff very 
pleasant and breakfast very nice. Evening meals however were disgraceful!! 
We pre paid for the 3 nights we were staying and wish we hadn't. The first 
night we put it down to wrong choices. The second night my husband received 
his meal half an hour before myself and childrens arrived...the waitress 
was however very sympathetic. My katsu curry was vile and the chips are 
awful like cardboard (see attached pics) any 1 can cook frozen chips these 
look like they have been left in an oven for the whole service time. The 
service is appalling and the food quality however cheap is terrible, I 
wouldn't feed an animal it. So needless to say our third night will be 
spent looking elsewhere for a meal as definatley won't be…Read moreDate of 
stay: February 2019HelpfulShareResponse from TravelodgeUK, Tilly from The 
Social Media Team at Travelodge London Covent GardenResponded 10 Mar 
2019May we thank you for sharing your review of our London Covent Garden 
hotel and taking the time to share your helpful experience with us. We're 
so sorry to hear you did not enjoy your food in our Bar Cafe. We will 
ensure your comments are passed to the hotel to improve the service we 
offer. We are pleased to learn that your room was nice, clean and spacious, 
your bed was comfortable and the hotel team were pleasant May we thank you 
for your invaluable feedback and hope you stay with us in the future.Read 
more</t>
  </si>
  <si>
    <t>Safari59541715707 wrote a review Feb 2019Barlestone, United Kingdom1 
contribution</t>
  </si>
  <si>
    <t>Very goodWarm welcome on arrival With good service and clear information The room 
was clean and we did not have any issues even though our room was at their 
other hotel it is just seconds away. The hotel even provide a service to 
look after your luggage for when you have checked out. Very central so 
everything is close by.Read moreReview collected in partnership with 
TravelodgeDate of stay: February 2019HelpfulShare</t>
  </si>
  <si>
    <t>Anne430 wrote a review Feb 2019Dundee, United Kingdom3 contributions</t>
  </si>
  <si>
    <t>A family tripThe room was spacious and clean. A perfect location for sightseeing. Also 
staff were very helpful and informative. There were ten in our party so it 
was good to have a bar when we got back at night with kids. One girl who 
was a great help to us was AishaRead moreDate of stay: February 
2019HelpfulShare</t>
  </si>
  <si>
    <t>Shirley B wrote a review Feb 2019Plymouth, United Kingdom7 contributions2 
helpful votes</t>
  </si>
  <si>
    <t>ComfortableStaff friendly and helpful rooms comfortable clean and tidy food good but 
breakfast could have hotter food always easy to get back to Travelodge tube 
in walking distance from Travelodge very central to lots of theatres and 
places to see would recommend.Read moreReview collected in partnership with 
TravelodgeDate of stay: February 2019HelpfulShare</t>
  </si>
  <si>
    <t>https://www.tripadvisor.co.uk/Hotel_Review-g186338-d193057-Reviews-or1490-Travelodge_London_Covent_Garden-London_England.html#REVIEWS</t>
  </si>
  <si>
    <t>EmmaPaulQ wrote a review Feb 2019Enfield, United Kingdom13 contributions11 
helpful votes</t>
  </si>
  <si>
    <t>UncleanThe hotel room was dated and unclean. No sheet over the duvet, the kettle 
and the TV did not work properly. The shower was a flooding risk and 
sprayed water everywhere. The toilet was dirty and the towels were hard. 
Too noisy outside. Also I have eaten breakfast here previously and it was 
very poor.Read moreReview collected in partnership with TravelodgeDate of 
stay: February 2019HelpfulShareResponse from TravelodgeUK, Ben from the 
Social Media Team at Travelodge London Covent GardenResponded 20 Feb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</si>
  <si>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Kevin K wrote a review Feb 20191 contribution</t>
  </si>
  <si>
    <t>DubGood quality and friendly services. Great breakfast. TV was reset promptly 
when I asked - it had lost stations. Very central location and rooms were 
quiet and warm. I would go again. Very good value for central LondonRead 
moreReview collected in partnership with TravelodgeDate of stay: February 
2019HelpfulShare</t>
  </si>
  <si>
    <t>Giblet510 wrote a review Feb 2019Swindon, United Kingdom3 contributions6 
helpful votes</t>
  </si>
  <si>
    <t>Great stayLocation, location, location... Covent Garden just around the corner. 
Excellent 'no-frills' hotel. Great place to drop your bags, take a shower, 
and get out to enjoy Convent Garden, Seven Dials, Holborn and Bloomsbury 
etc.Read moreReview collected in partnership with this hotelDate of stay: 
February 2019HelpfulShare</t>
  </si>
  <si>
    <t>https://www.tripadvisor.co.uk/Hotel_Review-g186338-d193057-Reviews-or1495-Travelodge_London_Covent_Garden-London_England.html#REVIEWS</t>
  </si>
  <si>
    <t>StAndrewsLouise wrote a review Feb 2019St Andrews2 contributions6 helpful 
votes</t>
  </si>
  <si>
    <t>Split up from kidsBe careful having asked to be near my children’s room they tried to put us 
in one hotel and my kids in the hotel down to road! Eventually they agreed 
to put us all in same building but we were miles away from our kids. 
Horrible feeling in case of fire etc. Not a pleasant stay because of it. No 
family wants separated.Read moreReview collected in partnership with 
TravelodgeDate of stay: February 2019HelpfulShareResponse from 
TravelodgeUK, Tilly from The Social Media Team at Travelodge London Covent 
GardenResponded 10 Mar 2019Thank you for submitting your review of our 
London Covent Garden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</si>
  <si>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lmatr wrote a review Feb 2019Hetton-le-Hole, United Kingdom11 
contributions8 helpful votes</t>
  </si>
  <si>
    <t>Good locationStayed at this hotel a few times. Great location, ideal for families. 
Family rooms are a good size and kids eat free at breakfast. Will 
definitely stay here again. You do have to pay for WiFi and it’s not great 
but for the amount of time you spend in the hotel it’s not a huge 
issue.Read moreDate of stay: January 2019HelpfulShare</t>
  </si>
  <si>
    <t>Fatima A wrote a review Feb 201931 contributions26 helpful votes</t>
  </si>
  <si>
    <t>My Trip to Travel Lodge in Covent Garden year 2010.Went with my disabled scooter it was a lovely HOT day the travel lodge was 
very very nice and adapted to my needs and also had a lift and ramps. Inthe 
morning after my breakfast I went to Covent Garden whicb was five minutes 
away from my Travel Lodge the Staff by the way are excellent and the 
Service anyway was in Covent Garden and I went to Neals Yard for some 
beautiful Bread and Cheese from their Bakery Shop for my sister and friends 
and my son and me so so fresh and delicious love FRESH Bread I wish to go 
back again soon in the Summer and they had jn Covent Gardens, stalls. And 
Restaurants tasting sessions and jugglers and musicians and Actors doing 
Shakespeare Sonnets it was Fab love Covent Garden plus went to the Opera 
never done before quite interesting the experience…Read moreDate of stay: 
June 2018HelpfulShareResponse from GuntisU, Front Office Manager at 
Travelodge London Covent GardenResponded 16 Feb 2019Hi Fatima We are glad 
you had an amazing time in Covent Garden and in the hotel. We are looking 
forward to welcoming you again. Thanks ManagementRead more</t>
  </si>
  <si>
    <t>badmintontim wrote a review Feb 2019Hastings, United Kingdom4,344 
contributions1,147 helpful votes</t>
  </si>
  <si>
    <t>Great TravelodgeFor the centre of London this was a very good Travelodge and one which we 
would definitely use again if we could get it at a good price. It is within 
walking distance of Covent Garden and other areas such as the Seven Dials 
The staff were very friendly and helpful and professional Recommended 
EnjoyRead moreDate of stay: February 2019HelpfulShare</t>
  </si>
  <si>
    <t>https://www.tripadvisor.co.uk/Hotel_Review-g186338-d193057-Reviews-or1500-Travelodge_London_Covent_Garden-London_England.html#REVIEWS</t>
  </si>
  <si>
    <t>Vicky C wrote a review Feb 2019Leeds, United Kingdom398 contributions124 
helpful votes</t>
  </si>
  <si>
    <t>Best Travelodge in LondonWe stayed on one of the new super rooms and it's sooo worth the few extra 
quid of you can manage it. Bed massive and super comfy. Towel massive and 
super soft. Shower 3 settings and super hot. Tea tray packed with tea 
coffee hot chocolate and kit kats ��. Staff here are always ace I've been 
several times and the breakfast is outstanding and sets you up for the 
day.Read moreDate of stay: February 20191 Helpful voteHelpfulShare</t>
  </si>
  <si>
    <t>itgirllighter wrote a review Feb 2019plymouth25 contributions7 helpful votes</t>
  </si>
  <si>
    <t>Short Weekend StayI stayed here with a friend whilst visting London to see a show. The room 
was spacious, clean and comfy. I can't fault the room in all fairness for 
the price we paid and the location. The hotel is situated a 5 minute walk 
from Holborn Tube and only a brief walk to local attractions like Leicster 
Square. We took a walk on one of the days from the hotel to Oxford Circus 
as the weather was dry and it wasn't too far at all although we did use the 
tube on the eay back. All in all a pleasurable stay and I would return to 
the hotel again if I visted London again due to the ideal location and 
value for money.Read moreDate of stay: February 2019HelpfulShare</t>
  </si>
  <si>
    <t>slynch20 wrote a review Feb 2019Billericay, United Kingdom1 contribution</t>
  </si>
  <si>
    <t>Clean, friendly and well located hotelGreat location, close to Covent Garden and theatre district, very clean and 
spacious room and lovely comfortable bed. Slept very well. It was a little 
noisy outside but this is central London! I would recommend this hotel if 
you wanta “No “frills stay and be close to the above.Read moreReview 
collected in partnership with TravelodgeDate of stay: February 
2019HelpfulShare</t>
  </si>
  <si>
    <t>Pioneer33235202111 wrote a review Feb 20191 contribution</t>
  </si>
  <si>
    <t>Great value for a fantastic locationBooked for a theatre trip with my 10 yo son. Had a small family room on the 
quiet floor. Very comfortable and clean, staff were friendly and helpful. 
Really great value for a central location, would definitely stay again.Read 
moreReview collected in partnership with TravelodgeDate of stay: February 
2019HelpfulShare</t>
  </si>
  <si>
    <t>99Jo-Ann wrote a review Feb 2019Amersfoort, The Netherlands57 
contributions9 helpful votes</t>
  </si>
  <si>
    <t>Fantastic central location and average roomsThe hotel is well located for shopping and all attractions as well as 
underground, buses and restaurants and theatres. Rooms are average. Clean 
with coffee and tea making facilities. Staff are polite and friendly. 
However the shower flooded due to clogging of the drain, same as last year 
not enough towels for two persons staying in the room so each day had to 
ask for an extra towel, milk was not Always supplemented after using it and 
dirty mugs were taken away but not replaced and no glasses in the bathroom. 
Staff however were very pleasant when we asked for towels, mugs etc. In 
general a good place to stayRead moreReview collected in partnership with 
TravelodgeDate of stay: February 2019HelpfulShareResponse from 
TravelodgeUK, Molly from the Social Media Team at Travelodge London Covent 
GardenResponded 18 Feb 2019Thank you for your review. We're pleased to hear 
that your stay was enhanced by the location of the hotel, and you were 
impressed with the local facilities and attractions. We're also pleased to 
hear that you found the Team to be friendly. However, we are really sorry 
to learn that the shower flooded during your stay and the mugs were not 
replaced when your room was serviced. We will address this with our 
maintenance and housekeeping teams to prevent such instances reoccurring. 
Thank you again for your review, we hope to welcome you back to stay with 
us again in the near future.Read more</t>
  </si>
  <si>
    <t>https://www.tripadvisor.co.uk/Hotel_Review-g186338-d193057-Reviews-or1505-Travelodge_London_Covent_Garden-London_England.html#REVIEWS</t>
  </si>
  <si>
    <t>Kevin H wrote a review Feb 20191 contribution</t>
  </si>
  <si>
    <t>good stayme and my wife stay from 14feb to 17 feb holtel was very good and clean 
staff was very friendly we stay here a few times b4 we back again in june 
food waS GREAT east to get to shops and show are not fair ro get toRead 
moreDate of stay: February 2019HelpfulShare</t>
  </si>
  <si>
    <t>DayTrip16300936564 wrote a review Feb 2019Eastbourne, United Kingdom1 
contribution</t>
  </si>
  <si>
    <t>Value for MoneyDefinitely value for money. Reception was efficient and we were dealt with 
swiftly but not made to feel rushed. Room clean with everything we needed 
for an overnight stay. Powerful shower with lots of hot water. Bed very 
comfy; linen good. Breakfast was very nice with plenty of choice, although 
the coffee machines didn't cope very well with the amount of use they were 
getting.Read moreReview collected in partnership with TravelodgeDate of 
stay: February 2019HelpfulShare</t>
  </si>
  <si>
    <t>emjoweb wrote a review Feb 2019Bury St Edmunds, United Kingdom6 
contributions1 helpful vote</t>
  </si>
  <si>
    <t>TTravelodge Covent GardenThe hotel was very well positioned in the centre of the West End. This was 
ideal for us as we were going to the theatre. The staff were very friendly, 
professional and efficient. The rooms were very clean and comfortable for a 
short stayRead moreReview collected in partnership with TravelodgeDate of 
stay: February 2019HelpfulShare</t>
  </si>
  <si>
    <t>Danny C wrote a review Feb 201913 contributions2 helpful votes</t>
  </si>
  <si>
    <t>FabulousWe stayed here from 10 Feb to 17 Feb. The hotel is very clean and breakfast 
was good as well as good location. The staff are very experience and 
helpful, especially Mila and Leila. Will definitely be back.Read moreDate 
of stay: February 2019HelpfulShare</t>
  </si>
  <si>
    <t>https://www.tripadvisor.co.uk/Hotel_Review-g186338-d193057-Reviews-or1510-Travelodge_London_Covent_Garden-London_England.html#REVIEWS</t>
  </si>
  <si>
    <t>Lynette N wrote a review Feb 2019Wendover, United Kingdom33 contributions7 
helpful votes</t>
  </si>
  <si>
    <t>Great stayWe had a great stay in January when we visited London with friends for a 
friends birthday night out. The hotel was clean, friendly and warm. The 
staff were amazing friendly and really went out of there way to help you. 
The breakfast was really nice and so much choice. I would defiantly stay 
again in the future.Read moreDate of stay: February 2019HelpfulShare</t>
  </si>
  <si>
    <t>david1301 wrote a review Feb 2019Dunoon, United Kingdom4 contributions3 
helpful votes</t>
  </si>
  <si>
    <t>Great locationVery central location handy for all theatres good links to buses and 
underground. Allowing easy access to Covent Garden Trafalgar square and 
Leicester sqaure. Also good links to Gatwick and Heathrow airportsRead 
moreReview collected in partnership with this hotelDate of stay: February 
20191 Helpful voteHelpfulShare</t>
  </si>
  <si>
    <t>C2721WGkatem wrote a review Feb 2019Southern Wales, United Kingdom4 
contributions1 helpful vote</t>
  </si>
  <si>
    <t>Excellent value for moneyExcellent location, value for money, friendly staff and great breakfast. 
This place seems central to everywhere so you can actually walk instead of 
having to get a taxi or use the underground. The breakfast was excellent 
value, will definitely use againRead moreReview collected in partnership 
with TravelodgeDate of stay: February 2019HelpfulShare</t>
  </si>
  <si>
    <t>kjc733 wrote a review Feb 2019Corby, United Kingdom10 contributions1 
helpful vote</t>
  </si>
  <si>
    <t>Untrained StaffFirst of all the location is good, the rooms clean and comfortable then it 
all goes downhill. We checked in as 2 couples and were given rooms 150 and 
151 and the receptionist just pointed in a general direction where we 
should go, after going up and down the lift twice we eventually found room 
150 tucked in a corner with no signage, but where was 151 ? Well after 10 
minutes or so we were told it was in the Other building. Surely the 
reception staff should know where the rooms are, or they are just not 
interested in patrons. Worse was to come on our return from our show when 
we went to the bar, which incidentally is open until 4am. The barmaid said 
they only sold Lager and no beer and I should go round the bar and choose, 
I noticed Goose IPA on sale on draught and told her that…Read moreDate of 
stay: February 2019HelpfulShareResponse from TravelodgeUK, Molly from the 
Social Media Team at Travelodge London Covent GardenResponded 15 Feb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</si>
  <si>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Kayagee66 wrote a review Feb 2019Ramsgate, United Kingdom2 contributions</t>
  </si>
  <si>
    <t>Very nice stayBooked the hotel on a deal. Got a standard double room for a bargain price 
on a Sunday. Room was large, clean, and the bed was very comfortable. I 
stayed in one of two buildings, 100m up the road. In the heart of theatre 
land, lots of amenities nearby. I went to a couple of good pubs, a korean 
restaurant and a comedy club. All 5 mins from the hotel.Read moreReview 
collected in partnership with TravelodgeDate of stay: February 
2019HelpfulShare</t>
  </si>
  <si>
    <t>https://www.tripadvisor.co.uk/Hotel_Review-g186338-d193057-Reviews-or1515-Travelodge_London_Covent_Garden-London_England.html#REVIEWS</t>
  </si>
  <si>
    <t>LucyP wrote a review Feb 20191 contribution</t>
  </si>
  <si>
    <t>Never againI'm in London a lot for work and use this hotel often. It's handy for the 
office and always clean. Last week, for the first time I left something in 
my room, straighteners. I realised quickly and called their 0871 number 
only to get the message their telephony had a problem and try later. Which 
I did many times, being charged each time and the telephony still isn't 
working. I was in London today so popped in to check lost property and 
avoid having to buy new straighteners. The receptionist checked their lost 
property logs, nothing, then checked in person, nothing. I asked for copies 
of the procedures staff had to follow. This resulted in a visit to her 
supervisor. I was promptly told the "booking terms and conditions say we 
take no responsibility for items left in the hotel".…Read moreDate of stay: 
February 2019HelpfulShareResponse from TravelodgeUK, Molly from the Social 
Media Team at Travelodge London Covent GardenResponded 15 Feb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</si>
  <si>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marvic140908 wrote a review Feb 2019Alonnisos, Greece262 contributions109 
helpful votes</t>
  </si>
  <si>
    <t>https://www.tripadvisor.co.uk/Hotel_Review-g186338-d1812157-Reviews-or245</t>
  </si>
  <si>
    <t>Does the jobCentral location, rooms are typical travel lodge, very basic. Bed was 
comfortable. It’s worth paying for early check in which apparently is 
available when you book because the queues are quite long. We were lucky 
and managed not to have to queue out of pure luck.Read moreDate of stay: 
December 2018HelpfulShare</t>
  </si>
  <si>
    <t>BoardingPass625882 wrote a review Feb 20191 contribution</t>
  </si>
  <si>
    <t>very goog in toplocationFine hotel, great location and good services. We had a great time in 
London. The location is perfect for theatre visits. Breakfast was very good 
and fresh. Only one little problem was that the fire alarm in our room was 
going spontaniusly!. Further great stay!!!Read moreReview collected in 
partnership with TravelodgeDate of stay: February 2019HelpfulShare</t>
  </si>
  <si>
    <t>https://www.tripadvisor.co.uk/Hotel_Review-g186338-d193057-Reviews-or1520-Travelodge_London_Covent_Garden-London_England.html#REVIEWS</t>
  </si>
  <si>
    <t>BridyLea wrote a review Feb 2019Bristol, United Kingdom10 contributions4 
helpful votes</t>
  </si>
  <si>
    <t>An uncomfortable stay in a fabulous location!There are 3 main reasons for the low rating : 1. We paid extra for a ‘super 
‘ room which boasts a coffee machine, power shower etc. Unfortunately the 
miserly supply of coffee pods &amp; milk prevented more than 2 cups each during 
our 3 day stay. We managed to get a couple more after two requests at 
reception &amp; one at the bar. 2. The WiFi (also costing extra) would only 
work on one device rather than the two promised - reception were unable to 
assist. 3. The room was uncomfortably hot resulting in 2 very poor nights 
sleep - the setting was on its lowest &amp; therefore we chose not to complain 
to reception given our previous experience. When you have a limited amount 
of time away, the last thing you want to be doing is spending time trying 
to get such basic issues resolved. The extra…Read moreDate of stay: 
February 2019HelpfulShareResponse from TravelodgeUK, Ben from the Social 
Media Team at Travelodge London Covent GardenResponded 17 Feb 2019Thank you 
for taking the time to write a review about our London Covent Garden hotel. 
We are pleased to hear that you liked the hotels location and found your 
room to be clean and well maintained however we are sorry to learn of your 
disappointment with the number of coffee pods, the room temperature and the 
problems with the WiFi. Our WiFi is provided by Virgin who have a dedicated 
support team, we will inform them of the issues you have with connectivity. 
Feedback is invaluable and our Hotel Managers regularly review their 
TripAdvisor reviews in order to fix any issues raised and pass on feedback 
to their team. Thank you once again and we do hope you will stay with us in 
the future.Read more</t>
  </si>
  <si>
    <t>Knockout wrote a review Feb 2019Frome, United Kingdom220 contributions61 
helpful votes</t>
  </si>
  <si>
    <t>FunctionalI was disappointed on checking in to the Covent Garden Travelodge to be 
told my room was in the High Holborn building. The rooms are pretty basic 
with no frills but are clean with a decent shower and the breakfast buffet 
was ok. My agency preference for a quiet room was not taken into account, 
my room was on the 4th floor facing a number of AC units. Staff were 
courteous and friendly.Read moreDate of stay: February 
2019HelpfulShareResponse from TravelodgeUK, Shaf from the Social Media 
Team. at Travelodge London Covent GardenResponded 13 Feb 2019Thank you for 
reviewing our London Covent Garden Travelodge. We're really sorry to learn 
of your disappointment regarding the building your room was in and do 
apologise the room given was not quiet. Feedback is invaluable and our 
Hotel Managers regularly review their TripAdvisor reviews in order to fix 
any issues raised and pass on feedback to their team. Thank you once again 
and we do hope you will stay with us in the future.Read more</t>
  </si>
  <si>
    <t>BuzzinAbout wrote a review Feb 2019Banbury, United Kingdom42 contributions7 
helpful votes</t>
  </si>
  <si>
    <t>Good value for London and excellent locationThis hotel is in the perfect location in central London.Rooms are clean and 
comfortable. I have stayed a number of times and will stay again in the 
future. Excellent rates on a Sunday night. I wish the wifi was free 
though.Read moreReview collected in partnership with TravelodgeDate of 
stay: February 2019HelpfulShare</t>
  </si>
  <si>
    <t>Sue C wrote a review Feb 2019Wrightington, United Kingdom186 
contributions13 helpful votes</t>
  </si>
  <si>
    <t>Great service with friendly staffThe rooms are spacious and clean. The staff are friendly and accommodating. 
Kris, one of the assistant managers always goes above and beyond to ensure 
his guests have a pleasant stay. I would highly recommend this hotel. My 
favourite London Travelodge.Read moreDate of stay: February 2019HelpfulShare</t>
  </si>
  <si>
    <t>https://www.tripadvisor.co.uk/Hotel_Review-g186338-d193057-Reviews-or1525-Travelodge_London_Covent_Garden-London_England.html#REVIEWS</t>
  </si>
  <si>
    <t>HelpfulHez wrote a review Feb 2019North Ayrshire, United Kingdom14 
contributions16 helpful votes</t>
  </si>
  <si>
    <t>Fantastic PlaceCustomer service - fabulous. From front of house staff, to housekeeping, to 
bar tenders - all polite, welcoming and informative. Superb location - as 
it’s a short (yes really) walk to Covent Garden and Leicester Square. 
Cleanliness/facilities - as you would expect from a travelodge. Not luxury 
but that not what your paying for. Can’t thank the staff involved enough. 
Ps this review is not sponsored by travelodge and neither do I have 
relatives that work there. I say when things are rough and when praise is 
due!Read moreDate of stay: February 2019HelpfulShare</t>
  </si>
  <si>
    <t>Yvonne S wrote a review Feb 2019Sheffield, United Kingdom10 contributions5 
helpful votes</t>
  </si>
  <si>
    <t>Well worth a visitThe travel lodge was Well placed for local attractions. The hotel was clean 
and the staff were well presents. The rooms were spacious, adequately 
equipped, clean and pleasant. Beds and pillows were comfortable. Food was 
well cooked and presented. The staff were friendly and extremely helpfully. 
I would definately recommend this travel lodge. Although the hotel is on a 
main road there was no significant noise.Read moreDate of stay: February 
2019HelpfulShare</t>
  </si>
  <si>
    <t>Vanessa1990 wrote a review Feb 2019Attard, Malta3 contributions1 helpful 
vote</t>
  </si>
  <si>
    <t>Excellent stay!My stay at Travelodge London Covent Garden was great. The rooms are big and 
spacious, they are very clean and have a great view. I would greatly 
recommend it. Also, Roshaan from Reception was a star. She always had a 
great smile on her face, was always very friendly, kind, and ready to help. 
Roshaan also anticipated my needs which was great. All in all, it was a 
great stay and I will definitely return again.Read moreReview collected in 
partnership with TravelodgeDate of stay: February 2019HelpfulShare</t>
  </si>
  <si>
    <t>Shelley W wrote a review Feb 2019Winchester, United Kingdom7 contributions3 
helpful votes</t>
  </si>
  <si>
    <t>Night awayGreat hotel... perfect location. Staff very friendly. New super rooms are 
very good. Didn't have breakfast so can't comment on that but everything 
else was very good. Only a short walk to the tube station if your looking 
to explore London.Read moreDate of stay: February 2019HelpfulShare</t>
  </si>
  <si>
    <t>good value for money hotelFriendly staff, nice and new rooms (I did not like the shower curtain  though), smaal bathroom, very quit room, very noisy breakfast with stressed  staff, breakfast a little bit too basic english breakfast for me (thank god  at least for the sugar free yoghurt and fruit). The hotel is located near  Tower Bridge, but a long distance to Bond street, Harrods and the shops...  London is overall VERY busy even on sundays... did not like that at all,  but the hotel was really ok for that price in center London.Read moreReview  collected in partnership with TravelodgeDate of stay: September  2019HelpfulShare</t>
  </si>
  <si>
    <t>https://www.tripadvisor.co.uk/Hotel_Review-g186338-d193057-Reviews-or1530-Travelodge_London_Covent_Garden-London_England.html#REVIEWS</t>
  </si>
  <si>
    <t>Sightsee23805083255 wrote a review Feb 20191 contribution</t>
  </si>
  <si>
    <t>undreground roomI was in underground room without expect it. good location but the room has 
a window to a garage without natural ligth. the room was not clean from my 
first day and nobody tell my nothing about a room undre groundRead 
moreReview collected in partnership with TravelodgeDate of stay: February 
2019HelpfulShare</t>
  </si>
  <si>
    <t>Philip R wrote a review Feb 2019Derby, United Kingdom6 contributions3 
helpful votes</t>
  </si>
  <si>
    <t>Great service and breakfastA really comfortable stay, clear and concise reception staff. Showering 
facilities were great and breakfast was fresh, plentiful and we all went 
back for more... additional pillows were in the room should they be needed 
as was an iron.Read moreReview collected in partnership with TravelodgeDate 
of stay: February 2019HelpfulShare</t>
  </si>
  <si>
    <t>PhilBelf75 wrote a review Feb 2019Belfast, United Kingdom14 contributions1 
helpful vote</t>
  </si>
  <si>
    <t>Weekend BreakGood hotel, conveniently located to London’s Theatreland and Convent 
Garden, and a short walk to Lester Square, Soho and shopping area of Oxford 
and Regent Street. The hotel itself is large, the rooms are modern and the 
standard you would expect from a chain hotel. There is a restaurant/bar in 
the lobby which provides a good selection. Check in is at 3pm, however 
there is a facility to leave your luggage before hand (although needs 
collected before 6pm). Perfect for the price and location.Read moreDate of 
stay: February 2019HelpfulShare</t>
  </si>
  <si>
    <t>https://www.tripadvisor.co.uk/Hotel_Review-g186338-d193057-Reviews-or1535-Travelodge_London_Covent_Garden-London_England.html#REVIEWS</t>
  </si>
  <si>
    <t>Sallyflowerpot wrote a review Feb 2019Plymouth, United Kingdom5 
contributions3 helpful votes</t>
  </si>
  <si>
    <t>Smilie happy staffLovely staff, welcoming and fun. Nothing was a problem. A busy hotel with 
plenty of staff to cope. Felt like the staff were happy in their working 
environment and that reflected their manner. Would absolutely stay 
again.Read moreReview collected in partnership with TravelodgeDate of stay: 
February 2019HelpfulShare</t>
  </si>
  <si>
    <t>Tom P wrote a review Feb 2019Newcastle upon Tyne, United Kingdom51 
contributions8 helpful votes</t>
  </si>
  <si>
    <t>Great central locationWe stayed here in February and it is exactly what you might expect from a 
travel lodge in central London: Busy? check. Hot? check. Comfortable? 
check. Clean? check. Were we blown away by anything there including 
breakfast? No.Read moreDate of stay: February 2019HelpfulShareResponse from 
TravelodgeUK, Tilly from The Social Media Team at Travelodge London Covent 
GardenResponded 19 Feb 2019Thank you for your comments about our London 
Covent Garden hotel. We're pleased that your overall stay was good and we 
will pass this onto the hotel team. We hope to welcome you back soonRead 
more</t>
  </si>
  <si>
    <t>Excellent stayFrom arrival to leaving staff were friendly and helpful, from to the  reception to bar to reception. I stayed with my fiancee in the deluxe  room,. It was clean and very well maintained ( I've stayed in some  Travelodge's that have rooms that have been tired and lacked maintenance),  the bed was comfortable, with just the right pillows. From the moment I put  my head on the pillow I was undisturbed by outside noise, despite the place  being full. Had a filling breakfast worth the extra when booking. On check  out were asked if we had been happy and we're given a cherry goodbye.  Overall a very satisfactory stay. Also to add it Is only a short walk from  Aldgate underground station, excellent for getting into central London and  the theatre we were attending. And the next day a short walk…Read  moreReview collected in partnership with this hotelDate of stay: October  2019HelpfulShare</t>
  </si>
  <si>
    <t>MartandJackie wrote a review Feb 2019Nantwich, United Kingdom58 
contributions44 helpful votes</t>
  </si>
  <si>
    <t>Always a pleasureWhenever we are visiting London, we choose to stay at the Travelodge, 
Central Covent Garden. It's really convenient for all of the sites and 
Covent Garden itself is always buzzing. The hotel is really reasonable too 
and you can get a really good value breakfast cheaper than anywhere around. 
However, we were really surprised that they seem to have stopped supplying 
drinking glasses/beakers in the rooms, which (unless you use your mug) 
means no rinsing the mouth after brushing, nothing to take medicines 
with... the first hotel I've ever stayed in without a glass or plastic cup 
in the room. We had a Superior room, which was excellent, however, our 
friends who were on the 4th floor only had a small room (again meant to be 
Superior), which was a real let down. These were just some…Read moreReview 
collected in partnership with TravelodgeDate of stay: February 
2019HelpfulShare</t>
  </si>
  <si>
    <t>Happytraveller wrote a review Feb 2019Pantymwyn, United Kingdom5 
contributions1 helpful vote</t>
  </si>
  <si>
    <t>Accessible room?We need an accessible room as my husband is in a wheelchair. The room we 
were given for the first night had a leak coming from the toilet so the 
bathroom floor was wet and stank of wee. When we reported this in the 
morning we were offered a new room. Great we thought. The other room was in 
the other building which had a very steep access ramp which was almost 
impossible to push a wheelchair up and drag a suitcase at the same time. 
That room had black mould on the bathroom tiles. I asked for another but 
had to wait until after check out time at 12 for a room to become 
available. Our third room was in the new extension and was up to Travelodge 
standard.Read moreDate of stay: February 2019HelpfulShareResponse from 
TravelodgeUK, Molly from the Social Media Team at Travelodge London Covent 
GardenResponded 12 Feb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</si>
  <si>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https://www.tripadvisor.co.uk/Hotel_Review-g186338-d193057-Reviews-or1540-Travelodge_London_Covent_Garden-London_England.html#REVIEWS</t>
  </si>
  <si>
    <t>Fiona_Ieong wrote a review Feb 2019Penrith, United Kingdom3 contributions1 
helpful vote</t>
  </si>
  <si>
    <t>Excellent Customer ServiceI have a wonderful time staying at the Travelodge Covent Garden. All the 
staff have been really helpful and lovely, especially Eleonora has been an 
absolute star to us. This is my 2nd visit and the luggage service is 
definitely plus. We are able to leave our luggage at the hotel and come 
back later on the day to collect. Good location and easy transport. I will 
definitely come back!!!Read moreDate of stay: February 2019HelpfulShare</t>
  </si>
  <si>
    <t>Max C wrote a review Feb 20191 contribution</t>
  </si>
  <si>
    <t>Theatre weekendAble to check in early lovely quiet clean room and very friendly staff . 
Breakfast was very good value for money and well stocked. Catered well for 
vegetarians with lots of choice of fresh fruit. Would recommend to friends 
and family and would would defiantly stay here again if in the areaRead 
moreReview collected in partnership with TravelodgeDate of stay: February 
2019HelpfulShare</t>
  </si>
  <si>
    <t>Kerrieanne Cartwright Forbes wrote a review Feb 201938 contributions14 
helpful votes</t>
  </si>
  <si>
    <t>Full cups of coffee and no towels combined with a flooding bathroomWe were given a disabled room, which incidentally was on the 4th floor as 
far away from the lifts as possible! Thank goodness we did not have a 
disability that required assistance. We booked 2 twin rooms, both were two 
single bed pushed together! No attempt had been made for them to be 
separated! Our shower room was a wet room because of the disabled access 
and this flooded the room and when we arrived in our room, there were no 
towels and 2 full cups of coffee suggesting it had not been cleaned.Read 
moreReview collected in partnership with TravelodgeDate of stay: February 
2019HelpfulShareResponse from TravelodgeUK, Molly from the Social Media 
Team at Travelodge London Covent GardenResponded 12 Feb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</si>
  <si>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Jackie H wrote a review Feb 2019West Yorkshire, United Kingdom21 
contributions5 helpful votes</t>
  </si>
  <si>
    <t>Great central locationVery central location. Very Clean with basic rooms and very warm 
thankfully. The night we got there, it was freezing outside. Pleasant 
friendly helpful staff. Great value in the heart of Covent Garden. We will 
return.Read moreReview collected in partnership with this hotelDate of 
stay: February 2019HelpfulShare</t>
  </si>
  <si>
    <t>https://www.tripadvisor.co.uk/Hotel_Review-g186338-d193057-Reviews-or1545-Travelodge_London_Covent_Garden-London_England.html#REVIEWS</t>
  </si>
  <si>
    <t>Tiggernewcastle wrote a review Feb 2019Newcastle upon Tyne, United Kingdom8 
contributions5 helpful votes</t>
  </si>
  <si>
    <t>Good central locationExcellent stay in a Travelodge. The location was very convenient for Coven 
Garden etc and easy to locate from a nearby tube station (Holborn). 
Although the room was entitled a ‘super room’ it was fairly small. But, to 
be fair, a central London room is purely for sleeping in - not spending a 
lot of time sitting in it. I have stayed in other London Travelodges and 
they were incredibly noisy. This wasn’t at all - in fact there was no noise 
at all - an excellent night’s sleep. The shower was fairly good; however I 
feel they should supply proper shampoo etc, not just the generic shower 
gel/shampoo dispenser in the shower. All in all, a good, cheap centrally 
located London hotel.Read moreReview collected in partnership with 
TravelodgeDate of stay: February 2019HelpfulShare</t>
  </si>
  <si>
    <t>harry c wrote a review Feb 2019Stockport, United Kingdom5 contributions6 
helpful votes</t>
  </si>
  <si>
    <t>Weekend breakHotel budget and expected exactly what we paid for Double room compact but 
clean Ok for one night Service at reception was excellent and the baggage 
drop off facility a life saver and free which was even more of a bonus 
Hotel really well located and a short walk from Covent Garden and Leicester 
Square Fantastic location for the theatre and loads of good foo places slow 
byRead moreDate of stay: February 20192 Helpful votesHelpfulShare</t>
  </si>
  <si>
    <t>JWTBee wrote a review Feb 2019Whitstable, United Kingdom41 contributions16 
helpful votes</t>
  </si>
  <si>
    <t>Theatre VisitGood location for the theatre.Their was nowhere to leave a bag if you are 
returning to the hotel after 6 pm.Comfortable bed but the bathroom wasn't 
great.Bring your own shampoo &amp; soap! No ramp for disabled access!Read 
moreReview collected in partnership with TravelodgeDate of stay: February 
2019HelpfulShareResponse from TravelodgeUK, Ben from the Social Media Team 
at Travelodge London Covent GardenResponded 12 Feb 2019Thank you for taking 
the time to write a review about our London Covent Garden hotel. We are 
pleased to hear that you liked the location of the hotel and you found the 
bed to be comfortable however we are sorry to learn of your disappointment 
with the bathroom and disabled access. There is disabled access to the 
hotel around the back however we are sorry you were not made aware of this 
during your stay. Feedback is invaluable and our Hotel Managers regularly 
review their TripAdvisor reviews in order to fix any issues raised and pass 
on feedback to their team. Thank you once again and we do hope you will 
stay with us in the future.Read more</t>
  </si>
  <si>
    <t>Tim G wrote a review Feb 20193 contributions1 helpful vote</t>
  </si>
  <si>
    <t>Good location, good rooms, great staffEverything about our stay was good. We were able to leave our cases before 
we booked in. We were offered a complementary glass of mulled wine which 
was most welcome on a cold day. The rooms were as you would expect from a 
travel lodge: clean and with all necessary amenities. The 2 family rooms 
each had a double bed and 2 singles and perfect for a group of friends. We 
had breakfasts on both days which were excellent. All the staff were 
wonderful: friendly, efficient and helpful.Read moreDate of stay: February 
2019HelpfulShare</t>
  </si>
  <si>
    <t>https://www.tripadvisor.co.uk/Hotel_Review-g186338-d193057-Reviews-or1550-Travelodge_London_Covent_Garden-London_England.html#REVIEWS</t>
  </si>
  <si>
    <t>https://www.tripadvisor.co.uk/Hotel_Review-g186338-d1812157-Reviews-or250</t>
  </si>
  <si>
    <t>Sam G wrote a review Feb 20195 contributions3 helpful votes</t>
  </si>
  <si>
    <t>Day trip to londonExcellent location and great value for money the hotel was very clean room 
small but ample for a 1 night stay in London bed very comfy and hotel bar 
area modern and clean. Staff very good. Perfect location for shows !!!Read 
moreDate of stay: January 2019HelpfulShare</t>
  </si>
  <si>
    <t>Angeliquethebaker wrote a review Feb 2019Darlington, United Kingdom33 
contributions4 helpful votes</t>
  </si>
  <si>
    <t>Good Value for MoneyTwo night stay for a theatre trip and a bit of tourist R&amp;R Very good value 
for money. Comfortable bed. Very clean. Great location. Excellent 
breakfast. Reception,bar and restaurant staff very friendly and 
helpful.Read moreDate of stay: February 2019HelpfulShare</t>
  </si>
  <si>
    <t>Carolyne M wrote a review Feb 2019Poole, United Kingdom49 contributions30 
helpful votes</t>
  </si>
  <si>
    <t>Great Location...I really wanted to like this hotel more than I did. i stayed at the Drury 
Lane site. The location is perfect - a short walk from Holborn tube and 
Covent Garden and only a 10 minute walk to Picadilly. There are loads of 
really nice eateries all around the hotel (especially Drury 188-189 
opposite) and the cost of the hotel is about average for central London. 
Check in was very quick with pleasant, efficient staff. So far soo good. I 
was allocated room 252, a decent size, clean room overlooking the back of 
the hotel...well actually “overlooking” concrete walls. Even with all the 
lights on, the room was so dark and depressing it would have been difficult 
to spend any length of time there (it made for an interesting photo 
though...see below ��) I like to take a positive view though…Read moreDate 
of stay: February 2019HelpfulShare</t>
  </si>
  <si>
    <t>Kelly A wrote a review Feb 2019London, United Kingdom20 contributions1 
helpful vote</t>
  </si>
  <si>
    <t>Let down by rude staffMe and a friend visited for an overnight stay for my birthday. Great hotel 
with great location sadly spoilt by your ‘manager’ Adriana. Ordered a pizza 
late at night which came out burnt, requested it was replaced and Kevin at 
the bar was more than happy to sort that out however Adriana was very rude 
told us we would have to pay for another and things got a little heated. 
She eventually replaced the pizza and slammed it down on the table stating 
‘here’s your under cooked pizza’ it was actually cooked perfectly. I work 
as a customer service manager and would be mortified if my staff behaved in 
this way. She could take some lessons from Kevin behind the bar as he was 
polite, helpful and attentive. On a positive note breakfast was great!Read 
moreDate of stay: February 2019HelpfulShareResponse from TravelodgeUK, Shaf 
from the Social Media Team. at Travelodge London Covent GardenResponded 10 
Feb 2019Thank you for reviewing our London Covent Garden Travelodge. We're 
pleased to hear you liked the location and breakfast was great. We do 
apologise not all of our hotels teams service was up to standards on this 
occasion.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</si>
  <si>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https://www.tripadvisor.co.uk/Hotel_Review-g186338-d193057-Reviews-or1555-Travelodge_London_Covent_Garden-London_England.html#REVIEWS</t>
  </si>
  <si>
    <t>Jerry Hughes wrote a review Feb 2019Southampton, United Kingdom188 
contributions39 helpful votes</t>
  </si>
  <si>
    <t>Stayed here after Superbowl party at Roadhouse, was barely there to be fair.I stayed here with a few friends after going to a Superbowl party in Covent 
Garden, so really I was barely at the hotel. The things I do know, I think 
the double room was about £50 for the Sunday night, the front door is 
locked after 11pm for safety reasons which is good, the hotel seems pretty 
clean and well lit and it seems like lots of people were nicely tucking 
into their breakfast in the morning. I had to leave early to get a coach so 
didn't have time to nip in there so I can't comment on that. On the things 
I do know, I'd definitely stay here again if the price was the same and I 
needed a place to stay similar to what I had this time. The bathroom was 
pretty small to be fair, I could spin round with my arms out and be close 
to hitting stuff. But also, why would anyone…Read moreDate of stay: 
February 2019HelpfulShare</t>
  </si>
  <si>
    <t>Amberley8998 wrote a review Feb 2019Littlehampton, United Kingdom3 
contributions2 helpful votes</t>
  </si>
  <si>
    <t>Will returnVery helpful staff to all customers nothing was to much trouble breakfast 
was very good well layed out fresh fruit salad was very nice much to choose 
from, it had a friendly feel to this hotel well done to all the staff great 
team.Read moreReview collected in partnership with TravelodgeDate of stay: 
February 2019HelpfulShare</t>
  </si>
  <si>
    <t>camtoturkey wrote a review Feb 2019Cambridgeshire, United Kingdom4 
contributions7 helpful votes</t>
  </si>
  <si>
    <t>London theatre trip.Good quality accomodation with eating and drinking facilities onsite. Quiet 
room well maintained with iron and good quality hair dryer within room. 
Very nice lavazza coffee machine with good selection of coffee. Kettle for 
making tea or hot chocolate and two kitkats provided.Read moreReview 
collected in partnership with this hotelDate of stay: January 
2019HelpfulShare</t>
  </si>
  <si>
    <t>cockneyshaz wrote a review Feb 2019Preston, United Kingdom703 
contributions104 helpful votes</t>
  </si>
  <si>
    <t>Will stay againWas a bit concerned about some of the bad reviews, but the good ones 
outweighed the bad, so booked this hotel. Ideally situated between 2 tube 
stations.... Covent Garden and Holborn. Both within minutes walk from the 
hotel. Checking in can be busy, but plenty of staff on hand, to ease the 
lengthy wait. Breakfast wonderful, plenty of choices, hot and cold. Evening 
meals also plenty of choices and good value at £12 for 2 courses. Staff 
very pleasant and in particular, Mohammed, Bruna and Ashlie. Very helpful 
in many ways. Thank you. Rooms very clean, comfy beds and warm. Only 
criticism is that it lacked plug sockets near a mirror to do hair. We was 
in room 167. The sockets were at the other side of the room, and my 
hairdryer/straighteners cord is not 6ft long!!!! …Read moreDate of stay: 
February 2019HelpfulShare</t>
  </si>
  <si>
    <t>https://www.tripadvisor.co.uk/Hotel_Review-g186338-d193057-Reviews-or1560-Travelodge_London_Covent_Garden-London_England.html#REVIEWS</t>
  </si>
  <si>
    <t>lisasmith_1966 wrote a review Feb 2019teesside36 contributions11 helpful 
votes</t>
  </si>
  <si>
    <t>Value for moneyStayed here for two nights. checked in at 3 and was really busy. Staff very 
quick and efficient so not waiting to long. Our room was over the road in a 
separate block but not an issue. Room was clean and a good size and all you 
needed including iron and ironing board. Only down side was the room could 
benefit from new double glazing. You could hear the wind whistling through 
on a very windy night. All in all a very pleasant stay. Ideally situated 
for most of the city's sights and attractions. Will be returningRead 
moreDate of stay: February 2019HelpfulShare</t>
  </si>
  <si>
    <t>kmajethia wrote a review Feb 2019Milton Keynes, United Kingdom6 
contributions8 helpful votes</t>
  </si>
  <si>
    <t>TravelLodge Covent Gardenroom was clean with air con. Shower water was nice and hot. Bed was very 
comfortable Generally hotel room was basic but thats what we paid for. Very 
close to many theaters and restaurants. I felt safe coming back from 
theater show late at night.Read moreReview collected in partnership with 
this hotelDate of stay: January 2019HelpfulShare</t>
  </si>
  <si>
    <t>woodyajs wrote a review Feb 2019Stoke-on-Trent, United Kingdom4 
contributions</t>
  </si>
  <si>
    <t>Another good stay!We've stayed at this hotel several times and choose it because of the 
location and the value for money. OK, it isn't the Ritz but you're not 
paying Ritz prices!!! The rooms are clean and comfortable with everything 
you need staying for a couple of nights. The breakfast is good value and 
the staff are friendly and helpful.Read moreReview collected in partnership 
with this hotelDate of stay: January 2019HelpfulShare</t>
  </si>
  <si>
    <t>https://www.tripadvisor.co.uk/Hotel_Review-g186338-d193057-Reviews-or1565-Travelodge_London_Covent_Garden-London_England.html#REVIEWS</t>
  </si>
  <si>
    <t>Andrew W wrote a review Feb 20191 contribution</t>
  </si>
  <si>
    <t>Clean and comfortableGood location clean and quiet. Meets all the criteria for a London stay. 
The staff were friendly. Did not eat main meal but the breakfast was ok. 
Will stay again in the future if I needed to come down to this area.Read 
moreDate of stay: February 2019HelpfulShare</t>
  </si>
  <si>
    <t>clairemarie40 wrote a review Feb 2019118 contributions47 helpful votes</t>
  </si>
  <si>
    <t>Cleaner not knocking !My daughter and I stayed at covent gardens for one night ....we paid extra 
to check in at 12 pm reception staff were friendly ,we got to our room 
which was incredibly strange having to go back outside over a forecourt to 
the other block of the hotel ...out room looked ok didn't look to closely 
as we were due to go to a show that afternoon...on returning quite later in 
the evening we went to bed on pulling the duvet cover back we found a 
number of body hairs still in the bed which was quite alarming ....I went 
down to reception to air my concern on our find staff were pleasant and 
moved our room which at almost midnight we didn't think we would need to as 
you hope when booking into a hotel that all the checks are done prior to 
the room being let ...clearly not in this case ....we…Read moreDate of 
stay: February 2019HelpfulShareResponse from TravelodgeUK, Molly from the 
Social Media Team at Travelodge London Covent GardenResponded 6 Feb 
2019Thank you for taking the time to review our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</si>
  <si>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SharonBDorset wrote a review Feb 2019Wimborne, United Kingdom17 
contributions2 helpful votes</t>
  </si>
  <si>
    <t>Excellent value for money. Fab Location.Excellent value for money and fab location.Covent Garden Travelodge has a 
nocer bar area than some other Travelodge hotels.Always stay here for a 
cheap, clean, comfortable stay.Have stayed in other London Travelodges but 
this one always favourite.Fab breakfast and friendly staff.Read moreReview 
collected in partnership with this hotelDate of stay: January 
2019HelpfulShare</t>
  </si>
  <si>
    <t>ROD M wrote a review Feb 2019Halifax, United Kingdom26 contributions8 
helpful votes</t>
  </si>
  <si>
    <t>Good HotelWe spent a couple of nights at this hotel. It was superb, right in the 
centre near lots of amenities and famous sights. The breakfast was one of 
the best meals we have had for a long time. Good choice of foods and all 
cooked very well. Room was clean and had everything we needed. As for the 
staff (all of them) that we dealt with they were great ,pleasant, smiling 
and very helpful asking if we had everything we needed. Would recommend 
highly.Read moreDate of stay: February 20191 Helpful voteHelpfulShare</t>
  </si>
  <si>
    <t>bermuda1064 wrote a review Feb 2019Hamilton, Bermuda102 contributions42 
helpful votes</t>
  </si>
  <si>
    <t>Budget - but not a budget priceThe hotel is in a great location. Rooms are clean, but the beds are really 
hard and uncomfortable. Bizarrely, there is an iron in the room, but no 
hairdryer. Went down to reception to ask for one - there wasn't any - they 
had already been taken by other guests! The receptionist wasn't really 
bothered and said it was a budget hotel. There doesn't appear to be many 
hairdryers available. Had dripping wet hair on one of the coldest days of 
the year. Breakfast was OK - but very crowded at the weekend.Read moreDate 
of stay: February 2019HelpfulShareResponse from TravelodgeUK, Molly from 
the Social Media Team at Travelodge London Covent GardenResponded 5 Feb 
2019Thank you for your review. We're pleased to hear that your stay was 
enhanced by the location of the Hotel and your room was clean. However, 
we're sorry to hear that you found the beds to be uncomfortable. We hope to 
provide all of our guest's with a pleasant and relaxing stay, however we do 
understand that it is not always possible to cater to each guest's 
individual preferences. We will take your feedback on board. We are also 
sorry to learn that there was no an iron available for your stay. Being a 
budget Hotel brand, we believe that we provide all the necessary facilities 
to ensure a comfortable stay, for value, and hairdryers can be requested 
from Reception. We hope that our Teams would consistently demonstrate a 
high level of attentive and genuine customer care, and chase the hairdryers 
should other guests required these. We will address this with the Hotel 
Team. Thank you again for your comments, we hope to welcome you back to 
stay with us again in the near future.Read more</t>
  </si>
  <si>
    <t>https://www.tripadvisor.co.uk/Hotel_Review-g186338-d193057-Reviews-or1570-Travelodge_London_Covent_Garden-London_England.html#REVIEWS</t>
  </si>
  <si>
    <t>Ree wrote a review Feb 2019Bath, United Kingdom30 contributions14 helpful 
votes</t>
  </si>
  <si>
    <t>Freezing cold and dirty roomStayed here with friends and was not impressed at all. The bed frame had 
disgusting stains all over it (dread to think what) and the edges of the 
carpet were thick with dust. Bathroom smelt of bad drainage and wasn’t 
particularly clean. The room was absolutely freezing cold and despite 
putting the electric heater on several times, it kept switching off. 
Reported to staff but no one bothered coming to look at it so we all had an 
uncomfortable night.Read moreDate of stay: February 
2019HelpfulShareResponse from TravelodgeUK, Ben from the Social Media Team 
at Travelodge London Covent GardenResponded 5 Feb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</si>
  <si>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evansa9 wrote a review Feb 2019Cardiff, United Kingdom1 contribution</t>
  </si>
  <si>
    <t>Good value for moneyThe location of this hotel is fab as it's situated on Drury Lane, so close 
to the theaters, but you can't hear the noise, but then we were in a super 
room on floor 9.Stayed during the snow at the beginning of Feb, and the 
room was a bit too hot, tried to turn it down, but only went as far as 18c, 
but it was still very hot, so think there may have been a slight issues 
with the controller (as some-one who is usually cold, for me to say it was 
too hot in the room is rare).Breakfast is the usual, but it's a bit manic 
as they let you in even when there is no space for you to sit. Also as 
someone who suffers from a gluten intolerance, it would be nice if they 
could label up the hot breakfast items, as I have to be careful with 
sausage and hash browns - tried to ask the staff, but was…Read moreReview 
collected in partnership with TravelodgeDate of stay: February 
2019HelpfulShare</t>
  </si>
  <si>
    <t>Helen C wrote a review Feb 2019Maldon, United Kingdom33 contributions8 
helpful votes</t>
  </si>
  <si>
    <t>Does what it says ....Stayed 2 nights (Friday and Saturday) arrived bit early but were able to 
leave bags and have a wander until check in. Room on 6th floor, no frills 
but clean, although our duvet was on wrong way round, I always take my own 
pillow protectors as not all hotels use them, glad I did. Take your own 
toiletries if you like body lotion etc., as only hand wash and body wash in 
pump on wall. Breakfast was ok, plenty of choice. Didn’t eat in hotel apart 
from breakfast but drinks were reasonable (happy hour 2 for 1 only good if 
your having same drink) everyone was very helpful and good service. Only 
grip was 2nd morning left pink card outside door for room service at 10 
a.m. but when we got back at 8 room hadn’t been cleaned, although someone 
had been in room because pink card was inside on…Read moreDate of stay: 
February 2019HelpfulShare</t>
  </si>
  <si>
    <t>Nick wrote a review Feb 2019Stanley, United Kingdom1 contribution</t>
  </si>
  <si>
    <t>What was requiredGood stay good staff reasonable standard does the job if you are away for a 
day or two. Good location with rooms just above the standard sort of 
accommodation for the price just the place if you need a quiet place with a 
good location.Read moreDate of stay: January 2019HelpfulShareResponse from 
TravelodgeUK, Charley from the Social Media Team at Travelodge London 
Covent GardenResponded 14 Feb 2019We are committed to providing our guests 
with the best experience possible whilst staying with us and we are pleased 
to hear of your positive feedback with regards to your stay at London 
Covent Garden Travelodge. We're thrilled to learn your room was clean and 
comfortable and you found our hotel to be an ideal location for your needs. 
We can assure you we will be passing on your comments to the team at the 
hotel and we do hope you stay with us in the future.Read more</t>
  </si>
  <si>
    <t>https://www.tripadvisor.co.uk/Hotel_Review-g186338-d193057-Reviews-or1575-Travelodge_London_Covent_Garden-London_England.html#REVIEWS</t>
  </si>
  <si>
    <t>Oiloi wrote a review Feb 2019Northampton, United Kingdom364 
contributions224 helpful votes</t>
  </si>
  <si>
    <t>Still giving out keys to other people’s roomsCame here on Friday with my friend for her hen. We were given a key at 
check in for a room on the fourth floor 445 I believe. We walked in and the 
room was already occupied by someone else. Their clothes all hung up and 
things out in the room. We were so shocked! The same thing occurred when I 
stayed at a Travelodge in 2010 in Edinburgh when they did the same thing. 
It would appear this is a trend of the business. I wouldn’t have personally 
chosen to stay at travelodge because of my previous experience, but it was 
booked by my friend. The receptionist wasn’t really that bothered when my 
friend when to get a new room. The new room was much bigger incidentally, 
you couldn’t and wouldn’t want to stay here for more than a night. But it 
did have windows which opened which was a…Read moreDate of stay: February 
20191 Helpful voteHelpfulShareResponse from TravelodgeUK, Ben from the 
Social Media Team at Travelodge London Covent GardenResponded 11 Feb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</si>
  <si>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dgd2502 wrote a review Feb 2019Walsall, United Kingdom9 contributions2 
helpful votes</t>
  </si>
  <si>
    <t>Very good stay in LondonFinding a good hotel in London that doesn’t cost the earth is challenging. 
Welcome to Travelodge Covent Garden. Excellent prices and great service 
from staff. Add in a very good breakfast and bar service and here is the 
hotel you need in central London. Very well located near to 2 underground 
stations. Nice enough rooms that were clean. Recommended.Read moreDate of 
stay: February 2019HelpfulShare</t>
  </si>
  <si>
    <t>https://www.tripadvisor.co.uk/Hotel_Review-g186338-d193057-Reviews-or1580-Travelodge_London_Covent_Garden-London_England.html#REVIEWS</t>
  </si>
  <si>
    <t>alisonclarke818 wrote a review Feb 2019Blackpool, United Kingdom7 
contributions2 helpful votes</t>
  </si>
  <si>
    <t>Great central locationIdeally situated for visiting many major sights, also Theatre Land and 
China Town. Plenty of restaurants and small eating places to choose from in 
this area. Staff are efficient, friendly and helpful; accommodation is 
comfortable with more than adequate facilities provided.Read moreReview 
collected in partnership with this hotelDate of stay: January 
2019HelpfulShare</t>
  </si>
  <si>
    <t>sheila_58_12 wrote a review Feb 2019Scarborough, United Kingdom14 
contributions7 helpful votes</t>
  </si>
  <si>
    <t>Girlie trip to LondonGreat location for eateries, shops, Covent Garden market etc. Within 
walking distance of several theatres and close to tube station. Would 
definitely stay here again!Nice lounge area for coffee and breakfast 
perfectly satisfactory.Read moreReview collected in partnership with this 
hotelDate of stay: January 2019HelpfulShare</t>
  </si>
  <si>
    <t>Passenger22714644248 wrote a review Feb 20191 contribution</t>
  </si>
  <si>
    <t>Trip to LondonI was over seeing the Harry Potter play and where the hotel was, it was 
exceptional location and easy access to the tube station. I had such a 
great experience there and I would go back to that one again.Read 
moreReview collected in partnership with TravelodgeDate of stay: January 
2019HelpfulShare</t>
  </si>
  <si>
    <t>Phil S wrote a review Feb 20193 contributions1 helpful vote</t>
  </si>
  <si>
    <t>Dinner at Travelodge Convent GardenThanks for a good and inexpensive dinner at the Travelodge Covent Garden on 
Thursday evening. It certainly cheered us up with all the bad weather 
outside. Thanks to Ashley and Clara for looking after us so well.Read 
moreDate of stay: January 2019HelpfulShare</t>
  </si>
  <si>
    <t>George wrote a review Feb 2019Findon, United Kingdom2 contributions</t>
  </si>
  <si>
    <t>Central London Hotels.Great location just outside Covent Garden WC2. Perfect for our one night 
stay we arrived back there late and slept in until 11. Check out at noon 
which suited us. Good facilities in relation to food if you need it and 
very professional stall.Read moreReview collected in partnership with 
TravelodgeDate of stay: February 2019HelpfulShare</t>
  </si>
  <si>
    <t>https://www.tripadvisor.co.uk/Hotel_Review-g186338-d1812157-Reviews-or255</t>
  </si>
  <si>
    <t>https://www.tripadvisor.co.uk/Hotel_Review-g186338-d193057-Reviews-or1585-Travelodge_London_Covent_Garden-London_England.html#REVIEWS</t>
  </si>
  <si>
    <t>samgil204 wrote a review Feb 2019Durham, United Kingdom5 contributions1 
helpful vote</t>
  </si>
  <si>
    <t>Great price, great location!Couldn’t fault the hotel, location was exactly where we wanted to be with 
Holborn tub station just around the corner. Easy check in, spacious room 
and unlimited breakfast! Will no doubt be back again in the near 
future!Read moreDate of stay: February 2019HelpfulShare</t>
  </si>
  <si>
    <t>Neil MacGowan wrote a review Feb 201915 contributions23 helpful votes</t>
  </si>
  <si>
    <t>Poor qualityFirst room was noisy with external construction works but staff helpfully 
moved us to another part of the hotel. This room was awful; faulty heater 
that was reported but no one ever came to fix it. Cleaning poor, materials 
left in bathroom, toilet roll on bedside table and bed not made. Work on 
Sunday morning to rewire woke us up, no communication about this. Room key 
didn’t work and had to be replaced 4 times.. draft from window too. On 
positive side staff are helpful.Read moreReview collected in partnership 
with TravelodgeDate of stay: January 2019HelpfulShareResponse from 
TravelodgeUK, Tilly from The Social Media Team at Travelodge London Covent 
GardenResponded 3 Feb 2019Thank you for taking the time to review our 
London Covent Garden hotel.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</si>
  <si>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Lauram36 wrote a review Feb 2019Leicestershire53 contributions23 helpful 
votes</t>
  </si>
  <si>
    <t>Dirty room, Freezing cold and expensive for what it isWe arrived at the agreed check in time to find our very dated room had the 
window wide open. It was therefore freezing cold. The bathroom was unclean 
and the pot containing the tea and coffee was absolutely disgusting as it 
has gone off congealed milk in the bottom of it. Considering the room cost 
£189 (without breakfast) it certainly is not value for money. The only 
positive about this hotel is the convenient location.Read moreDate of stay: 
January 2019HelpfulShareResponse from TravelodgeUK, Tilly from The Social 
Media Team at Travelodge London Covent GardenResponded 3 Feb 2019Thank you 
for submitting your review of our London Covent Garden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</si>
  <si>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https://www.tripadvisor.co.uk/Hotel_Review-g186338-d193057-Reviews-or1590-Travelodge_London_Covent_Garden-London_England.html#REVIEWS</t>
  </si>
  <si>
    <t>694Jane wrote a review Jan 2019Leeds, United Kingdom2 contributions2 
helpful votes</t>
  </si>
  <si>
    <t>Not greatArrived at 11pm and waited 30mins to check in - none of the quick check-in 
screens were working and the one person behind reception was busy with 
another customer Room basic, bathroom v old fashioned No hairdryers left to 
borrowRead moreDate of stay: January 2019HelpfulShareResponse from 
TravelodgeUK, Charley from the Social Media Team at Travelodge London 
Covent GardenResponded 31 Jan 2019Thank you for taking the time to review 
our London Covent Garden Hotel. We would like to apologise for the issues 
that you experienced during your stay such as the delay with check in and 
the fact that there were no hair dryers left for you to borrow. We take all 
feedback on board and thank you for making us aware. Thank you again for 
submitting your review and we hope to welcome you back soon.Read more</t>
  </si>
  <si>
    <t>Stay08397557953 wrote a review Jan 2019Newry, United Kingdom1 contribution</t>
  </si>
  <si>
    <t>Excellent hotel.The hotel was in an excellent location within walking distance to the 
theatres. The staff were so friendly and kind and were willing to help the 
customer. The hotel was clean and tidy and I would definitely stay there 
againRead moreReview collected in partnership with TravelodgeDate of stay: 
January 2019HelpfulShare</t>
  </si>
  <si>
    <t>shandyshane wrote a review Jan 2019Cumbria91 contributions45 helpful votes</t>
  </si>
  <si>
    <t>Worst nights sleep everTo start with this hotel is in an ideal location for the sights, 
however....my stay didn't start well when I entered my first allocated room 
as it was still occupied! Luckily the lady wasn't present but all her 
belongings were. Not ideal. The second room felt as though it was in the 
basement. No problem, I only need a bed for the night to get some sleep. 
WRONG! first I was woken by the bin wagon at around half 4 then this was 
quickly followed by a constant stream of noisey trollies of dirty laundry 
being dragged up and down for the rest of the morning. It's still going on 
as I type. Travelodge you really need to double or even tripple glaze these 
windows in this area of the hotel. To be fair the breakfast was good and 
the bar area ok too but if I was with my family for any…Read moreDate of 
stay: January 2019HelpfulShareResponse from TravelodgeUK, Charley from the 
Social Media Team at Travelodge London Covent GardenResponded 31 Jan 
2019Thank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</si>
  <si>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JDebattista wrote a review Jan 2019Rabat, Malta29 contributions3 helpful 
votes</t>
  </si>
  <si>
    <t>Centrally located HotelWe enjoyed our stay at this hotel very much. It is very centrally located 
and within few walking minutes to a lot of places. Hotel was clean and 
staff was really helpful. Even though we were there for New Year and roads 
were closed to traffic on NYE, the location was still reachable by 
Underground and the area was rather peacefulRead moreReview collected in 
partnership with this hotelDate of stay: January 2019HelpfulShare</t>
  </si>
  <si>
    <t>Mark D wrote a review Jan 2019Lowestoft, United Kingdom3 contributions1 
helpful vote</t>
  </si>
  <si>
    <t>Good valueNice hotel for the price and location, staff helpful and polite. I had a 
disabled room which was clean and tidy with comfortable beds showers were 
hot. Breakfast was good and all you could eat., hot and good value for 
money.Read moreReview collected in partnership with this hotelDate of stay: 
January 2019HelpfulShare</t>
  </si>
  <si>
    <t>https://www.tripadvisor.co.uk/Hotel_Review-g186338-d193057-Reviews-or1595-Travelodge_London_Covent_Garden-London_England.html#REVIEWS</t>
  </si>
  <si>
    <t>tellygirl wrote a review Jan 2019southampton5 contributions3 helpful votes</t>
  </si>
  <si>
    <t>Bad service, moved to High Holburn. Wouldn't use again.Have given this hotel the benefit of the doubt but no longer. First time I 
booked in was OK. Second time I was given an accessible room which was 
freezing cold, massive bathroom to enable wheelchair access. No heating in 
there so freezing too. Dreadful smell of damp. Didn't unpack &amp; went to 
reception to ask for better room &amp; was told I could move to the other part 
of the hotel. Only it's not another part of that hotel. It's a completely 
different hotel. Down the Mount Eiger steps with my case, Down the road, 
Across another busy road to the High Holborn Travelodge. Not happy. 2nd 
time got to stay in Covent Garden branch. On Monday arrive to be told I 
have yet again been moved to the 'other part' because they didn't have a 
room for me. Bare faced lies that the reason was that I…Read moreDate of 
stay: January 2019HelpfulShareResponse from TravelodgeUK, Molly from the 
Social Media Team at Travelodge London Covent GardenResponded 2 Feb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</si>
  <si>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Gill L wrote a review Jan 2019Rochdale, United Kingdom3 contributions</t>
  </si>
  <si>
    <t>Weekend breakFabulous location for lots of theatres - just walking distance away. Prime 
location for lots of sightseeing too. A fab base. Staff were friendly &amp; 
helpful. Breakfast plentiful. Even had food service available overnight - 
which we participated in! Thank you xRead moreReview collected in 
partnership with this hotelDate of stay: January 2019HelpfulShare</t>
  </si>
  <si>
    <t>https://www.tripadvisor.co.uk/Hotel_Review-g186338-d193057-Reviews-or1600-Travelodge_London_Covent_Garden-London_England.html#REVIEWS</t>
  </si>
  <si>
    <t>sheels954 wrote a review Jan 2019Birmingham, United Kingdom17 
contributions5 helpful votes</t>
  </si>
  <si>
    <t>Very comfyWould stay at this hotel again as it very central. Although the heating was 
set quite high in our room it was easy to adjust everything else was fine. 
We did it eat at the hotel as there are plenty of cafes nearby.Read 
moreReview collected in partnership with this hotelDate of stay: January 
2019HelpfulShare</t>
  </si>
  <si>
    <t>gaynortutt wrote a review Jan 2019Eastbourne, United Kingdom3 contributions</t>
  </si>
  <si>
    <t>our stayHotel position excellent Staff friendly and helpful Room was very nice and 
clean Breakfast was probably. The worst we have both had we booked and 
payed for breakfast for both morning we only went for 1 morning that was 
enough would not book again for breakfast wast off money that was the only 
thing l would say bad about hotel .We found a fantastic cafe right facing 
hotel food was absolutely fantastic and very reasonably priced l think the 
family are Italian who own it .Read moreReview collected in partnership 
with TravelodgeDate of stay: January 2019HelpfulShare</t>
  </si>
  <si>
    <t>callavan wrote a review Jan 20192 contributions</t>
  </si>
  <si>
    <t>Travelodge for allThis is my second time staying in Travelodge for my trips to London. It has 
all the basic facility one would require for a trip at a really affordable 
rate. Travelodge Covent Garden is also located very conveniently for one to 
explore the beautiful city of London. The staff there are nice and provided 
great service for us which made it easy if we ever needed to ask for help. 
There are great food options nearby as well.Read moreReview collected in 
partnership with this hotelDate of stay: December 2018HelpfulShare</t>
  </si>
  <si>
    <t>Liz wrote a review Jan 20198 contributions1 helpful vote</t>
  </si>
  <si>
    <t>Value for moneyFire alarms went off early morning no phones in rooms to let people know 
things ok . No apologies . Appreciate fire alarms go off but be nice no 
things ok and staff to raise this issue when leaving . No sleep after fire 
alarms as was nervousRead moreReview collected in partnership with 
TravelodgeDate of stay: January 2019HelpfulShare</t>
  </si>
  <si>
    <t>https://www.tripadvisor.co.uk/Hotel_Review-g186338-d193057-Reviews-or1605-Travelodge_London_Covent_Garden-London_England.html#REVIEWS</t>
  </si>
  <si>
    <t>dandyt873 wrote a review Jan 2019Birmingham, United Kingdom21 
contributions14 helpful votes</t>
  </si>
  <si>
    <t>Perfect for our needsWe were there for one night whilst attending the Royal Opera House. 
Everything was perfect for us in every way from our arrival at Reception to 
our checkout the next day. Having a bar was a bonus and food was first 
class, especially the breakfast.Read moreReview collected in partnership 
with this hotelDate of stay: January 2019HelpfulShare</t>
  </si>
  <si>
    <t>NorthStar06953803510 wrote a review Jan 20191 contribution</t>
  </si>
  <si>
    <t>Poor quality hotelWould not recommend this hotel. It is situated on two sites and it is hit 
and miss what type of room you get. We were there for a family weekend and 
were in separate sites of the hotel. There are trip hazards in the lift and 
in the bedroom and the fire door in the corridor was left open for the 
whole of our three night stay. Cleaning staff were rude and did not clean 
our floor at all during our stay. Coffee machine was not emptied and the 
pods got stuck because of this. I hate to think what a normal room is like 
as we stayed in a super room and the only thing that appeared differnt was 
a chair with a cushion on it.Read moreReview collected in partnership with 
TravelodgeDate of stay: January 2019HelpfulShareResponse from TravelodgeUK, 
Molly from the Social Media Team at Travelodge London Covent 
GardenResponded 30 Jan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</si>
  <si>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Jayne M wrote a review Jan 2019Dunstable, United Kingdom205 contributions81 
helpful votes</t>
  </si>
  <si>
    <t>Really GoodWe stayed in a family room which was lovely, the room was very clean and 
the beds were comfy. We didn’t stay for breakfast but it did look good. 
Staff were friendly and helpful and the hotel was in s good locationRead 
moreDate of stay: January 2019HelpfulShare</t>
  </si>
  <si>
    <t>Dan M wrote a review Jan 2019Hereford, United Kingdom4 contributions1 
helpful vote</t>
  </si>
  <si>
    <t>London trip 2019Very happy with the staff and the quality of the room. It was my partners 
birthday and our room had balloons and a complementary bottle of fizz on 
our arrival which was a great touch. Our trip to London was a great 
weekend. Many thanks.Read moreReview collected in partnership with this 
hotelDate of stay: January 2019HelpfulShare</t>
  </si>
  <si>
    <t>https://www.tripadvisor.co.uk/Hotel_Review-g186338-d193057-Reviews-or1610-Travelodge_London_Covent_Garden-London_England.html#REVIEWS</t>
  </si>
  <si>
    <t>heathass wrote a review Jan 2019Cwmbran, United Kingdom35 contributions19 
helpful votes</t>
  </si>
  <si>
    <t>Travellodge Covent GardenVery nice travelodge very clean and well serviced. Staff very friendly and 
helpful. Good on site restaurant . Only had breakfast but very very good 
food, well cooked and plenty of choice. Also good selection of breakfast 
cereals . Room very clean and comfortable also this Travelodge has the new 
superior rooms. Great access to East and West end of London . Had a great 
stay hope that you do .Read moreDate of stay: January 2019HelpfulShare</t>
  </si>
  <si>
    <t>panamprincess wrote a review Jan 2019Virginia5 contributions2 helpful votes</t>
  </si>
  <si>
    <t>Would return in a minute!My grandson and I recently spent a very enjoyable week from Jan. 1-8 at the 
Travelodge # 10 Drury Lane. We had one of the "super" rooms which, though 
small, was modern, clean, quiet, with comfy twin beds and all the amenities 
one could need. It did seem strange to not have a phone in the room, but 
expect that is probably the new normal. Front desk, cleaning and dining 
staff were all polite efficient and helpful. The included full English 
breakfast buffet was excellent, fresh and bountiful. The location was 
incredible: a 10 minute walk to Holborn tube station (direct line to 
Heathrow, 50 minutes) where the Piccadilly and Circle lines intersect, so 
it was easy to get anywhere in London. Plus we were within a few minutes 
walking distance from the British Museum, the Royal Opera…Read moreDate of 
stay: January 2019HelpfulShare</t>
  </si>
  <si>
    <t>brynymor1987 wrote a review Jan 2019Budleigh Salterton, United Kingdom41 
contributions18 helpful votes</t>
  </si>
  <si>
    <t>“January Jolly”.We booked a one night stay with dinner and breakfast as we had tickets for 
a show. The hotel was so conveniently situated for the theatre ,which was 
perfect for us as we aren’t familiar with London and I am having difficulty 
walking at the moment. We had no trouble, it only took us 10 minutes (at a 
relaxing pace!) to get there. Our hotel room was on the quiet floor — and 
quiet it was too! We couldn’t believe we were in the middle of London! It 
was clean, warm and the bed was really comfortable —-we slept very well. My 
evening meal (chicken) was tasty and tender,and my husband had El Mexicana 
burgers which were very filling. Unfortunately,we didn’t have time to eat 
our desserts, which was a great pity as the Tutti Frutti Sundae looked 
mouth-wateringly delicious!��It was very busy…Read moreDate of stay: 
January 2019HelpfulShare</t>
  </si>
  <si>
    <t>Shirley G wrote a review Jan 2019London, United Kingdom10 contributions11 
helpful votes</t>
  </si>
  <si>
    <t>GreatConvenient and central location. Clean, no frills hotel. What's not to 
like!?Chose to stay overnight in London as a treat for my 13 year old 
daughter's birthday. Stayed in a family room for 4 with breakfast for 
around £100 - I honestly did not think that would be possible in central 
London these days. Great to see a show and then have a 3 minute walk to 
bed! Up early for a good breakfast before spending the day sight seeing 
before heading back out to the countryside. Loved it!Read moreReview 
collected in partnership with TravelodgeDate of stay: January 
2019HelpfulShare</t>
  </si>
  <si>
    <t>https://www.tripadvisor.co.uk/Hotel_Review-g186338-d193057-Reviews-or1615-Travelodge_London_Covent_Garden-London_England.html#REVIEWS</t>
  </si>
  <si>
    <t>carrick_sw wrote a review Jan 2019Edinburgh, United Kingdom134 
contributions63 helpful votes</t>
  </si>
  <si>
    <t>Good value for money central area.We had 3 nights here. The rooms are basic but clean and comfortable. The 
breakfast is good value (not good food but good value) but the breakfast 
area is not big enough and the staff could not keep up with the number of 
people eating. The hotel has a left luggage room which is really 
useful.Read moreDate of stay: January 2019HelpfulShare</t>
  </si>
  <si>
    <t>HiloHilo wrote a review Jan 20195 contributions1 helpful vote</t>
  </si>
  <si>
    <t>Meetings and reunionsRoom was bigger than expected, especially as it was only a standard room. 
They were very kind and bent the rules to allow me an early check-in. All 
staff cheery, well trained, eye contact and a smile was a rule.... 
Complimentary luggage storage was a plus. GREAT location and price quality 
excellent. The breakfast smelt good too, budget priced.Read moreDate of 
stay: January 2019HelpfulShare</t>
  </si>
  <si>
    <t>Martin H wrote a review Jan 2019Woking, United Kingdom19 contributions4 
helpful votes</t>
  </si>
  <si>
    <t>Weekend stay in LondonWe had a lovely, comfortable stay here. Spent two nigjhts in London, as a 
mini break. Room was clean and we had two very peaceful nights. The hotel 
was conveniently situated (the reason we chose it)- within easy walking 
distance to main attractions as well as 3 tube stations. Staff were very 
friendly and helpful. The breakfast was good value for money too. On our 
last day we made use of their free left luggage service which enabled us to 
make full use of our last day without lugging our luggage around, All in 
all a great mini break - would definitely return.Read moreDate of stay: 
January 2019HelpfulShare</t>
  </si>
  <si>
    <t>RoseWilderness wrote a review Jan 2019Hamburg, Germany203 contributions37 
helpful votes</t>
  </si>
  <si>
    <t>5 nights very pleasantI stayed in the newly refurbished ‘Super Rooms’, mine was on the 9th floor. 
I really like this new style. I had avoided staying at travelodge in the 
past for more than a couple of nights as I find it too stark. But this felt 
cosy and comfy for just a little extra on the price. I got a great nights 
sleep, the sound proofing is really good (something I think other hotels 
don’t do well). God shower. It would be good if travelodge added a vending 
machine selling toiletries. This Covent Garden travelodge is an AMAZING 
location for so many restaurants, shops and entertainment. It is now top of 
my list for this part of London.Read moreDate of stay: January 
2019HelpfulShare</t>
  </si>
  <si>
    <t>https://www.tripadvisor.co.uk/Hotel_Review-g186338-d193057-Reviews-or1620-Travelodge_London_Covent_Garden-London_England.html#REVIEWS</t>
  </si>
  <si>
    <t>louisenorris91 wrote a review Jan 2019Marlborough, United Kingdom3 
contributions2 helpful votes</t>
  </si>
  <si>
    <t>Great location for a night in LondonCame to London for an overnight stay to see a show in Leicester Square. 
Great value for the location, very friendly staff and a comfy bed. We 
didn't pay for breakfast but were able to pay on the day and it was a very 
reasonable price compared to other hotels we've stayed in London. Would 
recommend to anyone coming to London for a night or two.Read moreDate of 
stay: January 2019HelpfulShare</t>
  </si>
  <si>
    <t>Lesley A wrote a review Jan 20191 contribution</t>
  </si>
  <si>
    <t>Grate serviceMy husband and me are very happy to have stayed in a place with people that 
make you feel very good. We want to thank the receptionist named Isabella 
who gave us her wonderful attention with a great customer service. Thank 
you for your patience and hospitality.Read moreDate of stay: January 
2019HelpfulShare</t>
  </si>
  <si>
    <t>https://www.tripadvisor.co.uk/Hotel_Review-g186338-d193057-Reviews-or1625-Travelodge_London_Covent_Garden-London_England.html#REVIEWS</t>
  </si>
  <si>
    <t>https://www.tripadvisor.co.uk/Hotel_Review-g186338-d1812157-Reviews-or260</t>
  </si>
  <si>
    <t>normei2018 wrote a review Jan 2019Stockport, United Kingdom13 
contributions5 helpful votes</t>
  </si>
  <si>
    <t>Excellent location.The hotel was close to all attractions and very handy for the Opera House 
which was the main reason for our stay. The room was extremely clean, 
spacious and comfortable. Highly recommended to everyone.Read moreReview 
collected in partnership with TravelodgeDate of stay: January 
2019HelpfulShare</t>
  </si>
  <si>
    <t>Ron M wrote a review Jan 20194 contributions2 helpful votes</t>
  </si>
  <si>
    <t>Good hotel, good location, good priceRoom was clean, if a bit hot. However we were able to open the window to 
cool it down. Not sure I'd go there in the height of summer. Breakfast was 
plentiful and well cooked. Surprisingly hot for a buffet style breakfast, 
Usual £3 for Wifi but 4G signal was strong enough. Will use again next time 
we want to stay in London.Read moreDate of stay: January 2019HelpfulShare</t>
  </si>
  <si>
    <t>dadofthehutch wrote a review Jan 2019Glasgow, United Kingdom2 contributions</t>
  </si>
  <si>
    <t>Theatre breakThe hotel is in an ideal location for Theatreland so we have used it on 
previous visits. This time our room was bigger and on a quiet floor so we 
had a great sleep. All staff were friendly, efficient and helpful. We will 
definitely return.Read moreReview collected in partnership with 
TravelodgeDate of stay: January 2019HelpfulShare</t>
  </si>
  <si>
    <t>https://www.tripadvisor.co.uk/Hotel_Review-g186338-d193057-Reviews-or1630-Travelodge_London_Covent_Garden-London_England.html#REVIEWS</t>
  </si>
  <si>
    <t>Martin S wrote a review Jan 2019Gloucester, United Kingdom15 contributions7 
helpful votes</t>
  </si>
  <si>
    <t>Comfortable stop for the West EndWe spent one night here after going to a show at the National Theatre, for 
which it was very convenient. The staff were friendly, the building 
(including our room) well maintained and comfortable. The room was little 
hot for our taste. It was very useful to be able to leave our suitcase at 
the hotel for free on the day of departure.Read moreReview collected in 
partnership with TravelodgeDate of stay: January 2019HelpfulShare</t>
  </si>
  <si>
    <t>C O wrote a review Jan 2019Nottingham, United Kingdom105 contributions42 
helpful votes</t>
  </si>
  <si>
    <t>Great locationGreat location, right in the heart of theatre land and a short walk to 
covent garden, soho, trafalger square. Friendly staff. Bar and restaurant 
on site but you are spoilt for choice from 100s, of cafes, bars and 
restaurantsin the area. Room was clean , with tea / coffee making, good TV, 
great power shower, comfy bed. Our room was facing Drury Lane so noisy, but 
not that bad , after all its central London. Id certainly stay again as the 
location is perfect and very reasinably priced.Read moreDate of stay: 
January 2019HelpfulShare</t>
  </si>
  <si>
    <t>GoPlaces37329755823 wrote a review Jan 2019Rimini, Italy1 contribution</t>
  </si>
  <si>
    <t>The fire alarm went on at 6pmExcellent stay in London covent Garden and excellent value for money,but 
for some reason the fire alarm went on at 6pm. I was very worried and 
checked outside for about ten minutes and could not go back to sleepRead 
moreReview collected in partnership with TravelodgeDate of stay: January 
2019HelpfulShareResponse from TravelodgeUK, Tilly from The Social Media 
Team at Travelodge London Covent GardenResponded 27 Jan 2019Thank you for 
your feedback about our London Covent Garden hotel. We're sorry to learn 
that your stay was disturbed by the fire alarm, however we are pleased to 
hear that you had an excellent stay and you found it to be good value for 
money. We will pass your comments on to our hotel team and hope to welcome 
you back to one of our hotels in the near future.Read more</t>
  </si>
  <si>
    <t>andy3092015 wrote a review Jan 2019Swindon, United Kingdom18 contributions4 
helpful votes</t>
  </si>
  <si>
    <t>Glad we didn't take the risk of a cheaper hotelIt is what it is, a budget hotel everything was clean the shower was very 
good. Wasn't too noisy considering it is in central London. We would 
definitely stay here again of we came back to the same areaRead moreDate of 
stay: January 2019HelpfulShare</t>
  </si>
  <si>
    <t>laura992 wrote a review Jan 2019Newcastle upon Tyne, United Kingdom71 
contributions7 helpful votes</t>
  </si>
  <si>
    <t>Fantastic customer serviceCheck in staff were efficient and welcoming, cleaners and restaurant staff 
were all happy and friendly and the reception ladies were so lovely too! 
Really great customer service all round. Hotel and rooms were clean and 
tidy, luggage keep us open 9-6 if you drop your luggage off before check 
in. Breakfast was fine too.Read moreDate of stay: January 2019HelpfulShare</t>
  </si>
  <si>
    <t>https://www.tripadvisor.co.uk/Hotel_Review-g186338-d193057-Reviews-or1635-Travelodge_London_Covent_Garden-London_England.html#REVIEWS</t>
  </si>
  <si>
    <t>suzanner149 wrote a review Jan 2019Deal2 contributions1 helpful vote</t>
  </si>
  <si>
    <t>Great stayLove Travelodge as you always no what you are getting - consistent, basic 
but serves the purpose of a quick reasonably priced trip to London.Hotel 
was amazingly located however so quiet was it's central location we 
overslept by 3 hours! So therefore, the bed and pillows were comfortable 
too.Have stayed before and will stay again.Read moreReview collected in 
partnership with TravelodgeDate of stay: January 2019HelpfulShare</t>
  </si>
  <si>
    <t>Discover30368562926 wrote a review Jan 2019Limassol, Cyprus1 contribution</t>
  </si>
  <si>
    <t>very goodNice hotel in quite street within short walking distance of city center. 
Excellent value for money. Close to public transport. Clean and service was 
great. Staff efficient and helpful, and I would certainly stay again.Read 
moreReview collected in partnership with TravelodgeDate of stay: January 
2019HelpfulShare</t>
  </si>
  <si>
    <t>suesouth38 wrote a review Jan 2019Cambridge, United Kingdom2 contributions</t>
  </si>
  <si>
    <t>showthe room was small but clean and the staff was friendly and helpful my wife 
and i enjoyed our stay / breakfast was good only wished they did fried eggs 
.They did happy hour which was good / it was close to undergroundRead 
moreReview collected in partnership with TravelodgeDate of stay: January 
2019HelpfulShare</t>
  </si>
  <si>
    <t>Culture13243339854 wrote a review Jan 2019Telford, United Kingdom1 
contribution</t>
  </si>
  <si>
    <t>Poor customer serviceNo super rooms ready at 4pm, check in 3pm!!Paid for late check out at 2pm, 
cleaner kept knocking and trying to get us to vacate our room from 12noon 
onwards, she knocked every 10-15 mins /5+ times, she didn't understand any 
English. Got extremely fed up, complained to reception staff, got nowhere, 
checked out early in disgustRead moreReview collected in partnership with 
TravelodgeDate of stay: January 2019HelpfulShareResponse from TravelodgeUK, 
Ben from the Social Media Team at Travelodge London Covent GardenResponded 
25 Jan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</si>
  <si>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Koala_Cola wrote a review Jan 2019Larkhall, United Kingdom271 
contributions80 helpful votes</t>
  </si>
  <si>
    <t>Great Location and Excellent ValueI have stayed in this hotel a few times now and find it to be an excellent 
base in the centre of London. It is ideal for many of the theatres and is 
also only 10 mins walk to Covent Garden and 10 to Leicester Square. The 
nearest underground station is Holborn, only 5 mins walk from the hotel. 
The hotel is split into two buildings, one on Drury Lane and the other just 
round the corner on High Holborn. The rooms are basic but clean, if 
somewhat a little tired. We booked a room for 3 and had a double bed with 2 
single fold up beds and had quite a decent sized room. Our only complaint 
would be we had to wait quite a while to check it. It was very busy but 
there are two self check-in machines next to reception which weren't on, 
this would speed up the process. I will definitely…Read moreDate of stay: 
January 2019HelpfulShare</t>
  </si>
  <si>
    <t>https://www.tripadvisor.co.uk/Hotel_Review-g186338-d193057-Reviews-or1640-Travelodge_London_Covent_Garden-London_England.html#REVIEWS</t>
  </si>
  <si>
    <t>theflatbox2 wrote a review Jan 2019Wotton-under-Edge, United Kingdom40 
contributions24 helpful votes</t>
  </si>
  <si>
    <t>Great location and priceI’ve stayed here several times so may have reviewed previously. I always 
check out the prices here first when staying in London with friends. The 
location is great as we can usually walk everywhere we want to go from 
here. The price varies widely but this time I got rooms for 1 night at £29 
and the 2nd night was £68, an absolute bargain. I’ve seen adverts at that 
price but this is the first time I’ve bagged it. I’ll stay here if the 
price is under £100 per night but above that I’ll look at other places too. 
We didn’t have breakfast at the hotel as there is range of cafes just 
across the street. The one directly opposite does a full English including 
tea for under £6, it’s great value and all freshly cooked to order. I had 
scrambled eggs, salmon &amp; avocado with toast for abou…Read moreReview 
collected in partnership with TravelodgeDate of stay: January 
2019HelpfulShare</t>
  </si>
  <si>
    <t>OnAir13172939495 wrote a review Jan 20191 contribution</t>
  </si>
  <si>
    <t>PerfectCan’t fault one thing about my trip. The room was perfect, great location 
and the breakfast was great. If I was in London again I would definitely 
stay here. I would recommend this place for family’s or a holiday with your 
friends.Read moreReview collected in partnership with TravelodgeDate of 
stay: January 2019HelpfulShare</t>
  </si>
  <si>
    <t>Voyager708876 wrote a review Jan 20193 contributions3 helpful votes</t>
  </si>
  <si>
    <t>Unbeatable value for this location.I stayed at the Drury Lane site for a long weekend in January - business 
meeting Monday, so I went down early to make a weekend of it.I found the 
price unbeatable among similar chains, and the independents around this 
price mark can be downright squalid. Room seemed chilly on arrival - temp. 
was adjustable 18-25 degrees but felt cooler. The room was very spacious 
and strangely empty - bed and two chairs the only freestanding furniture. 
There was a shelf-type writing table and a row of hangers in an open wall 
alcove. Get used to moving chairs around: they’re going to have to be your 
suitcase stand, clothes horse, dressing table and bedside cabinet.The room 
was directly overlooked by flats, and badly in need of blinds or net 
curtains for privacy.There was a fire panel in the wall…Read moreReview 
collected in partnership with TravelodgeDate of stay: January 
2019HelpfulShare</t>
  </si>
  <si>
    <t>LA P wrote a review Jan 2019London, United Kingdom226 contributions16 
helpful votes</t>
  </si>
  <si>
    <t>Room ok Breakfast awfulWe stayed here as it was the most central and better priced hotel in the 
area. We got upgraded to one of the newer renovated rooms for free as it 
was a birthday booking. Staff very nice and welcome! Esp the male 
receptionist that checked us in and the smiley breakfast lady Renata. The 
breakfast tho was AWFUL so maybe don’t pay for it. Orange juice from a 
machine you have to queue up for and you end up with an orange watery 
liquid! Coffee the same. Cheap scrambled eggs and baked beans and the 
breakfast room is definitely not an experience you would like to have! More 
like a student hall with no students �� No more to say The room was nice 
but the hotel has the vibe of student accommodation or university hall in 
general. However you can’t beat the location and the…Read moreDate of stay: 
January 2019HelpfulShare</t>
  </si>
  <si>
    <t>https://www.tripadvisor.co.uk/Hotel_Review-g186338-d193057-Reviews-or1645-Travelodge_London_Covent_Garden-London_England.html#REVIEWS</t>
  </si>
  <si>
    <t>hayles51 wrote a review Jan 2019Stoke-on-Trent, United Kingdom3 
contributions2 helpful votes</t>
  </si>
  <si>
    <t>Another great stay!Excellent as always from start to finish from booking, clean and practical 
room. Shower exceptional. Breakfast delicious even the gluten free option 
was well catered for. Staff were very helpful and friendly.Read moreReview 
collected in partnership with this hotelDate of stay: January 
2019HelpfulShare</t>
  </si>
  <si>
    <t>nmkenny wrote a review Jan 2019Oxford, United Kingdom143 contributions43 
helpful votes</t>
  </si>
  <si>
    <t>great locationspent a weekend here. great location, with easy walking distance to most 
locations, 5 min walk to tube stations, room very clean, comfortable bed, 
nice and quite , hot shower, staff friendly and helpful bar good selection 
of drinks, average price , plus they have happy hour where you can get 2 
drinks for £8 food had 1 evening meal which was ok ish, breakfast was good, 
good selection plenty of choice would stay here again when staying in 
LondonRead moreDate of stay: January 2019HelpfulShare</t>
  </si>
  <si>
    <t>rokerpark777 wrote a review Jan 2019sunderland uk19 contributions6 helpful 
votes</t>
  </si>
  <si>
    <t>Mama Mia.The only downfall and only one was the shower would not drain so you had to 
wait to finish your shower haha but not a big problem.There really was not 
a lot wrong nice staff, clean great location plenty of bars in the 
area.Read moreReview collected in partnership with this hotelDate of stay: 
January 2019HelpfulShare</t>
  </si>
  <si>
    <t>Michelle B wrote a review Jan 20198 contributions3 helpful votes</t>
  </si>
  <si>
    <t>Sisters on TourIdeal location for restaurants, theatre's and sight seeing. All walking 
within distance. A hair dryer would be a good idea in the room. Extra 
blankets would also be good as it was chilly over night, we didn't want to 
have the heating on because the room got to stuffy to sleep.Read moreReview 
collected in partnership with this hotelDate of stay: January 
2019HelpfulShare</t>
  </si>
  <si>
    <t>https://www.tripadvisor.co.uk/Hotel_Review-g186338-d193057-Reviews-or1650-Travelodge_London_Covent_Garden-London_England.html#REVIEWS</t>
  </si>
  <si>
    <t>Lorraine T wrote a review Jan 201962 contributions4 helpful votes</t>
  </si>
  <si>
    <t>Very GoodI enjoyed my stay breakfast was lovely also had evening meal pizza was very 
nice staff friendly good location .the room was clean hotel was also clean 
.I had to ask for my wifi number as i pre ordered internetRead moreReview 
collected in partnership with this hotelDate of stay: January 
2019HelpfulShare</t>
  </si>
  <si>
    <t>Alessia M wrote a review Jan 20194 contributions4 helpful votes</t>
  </si>
  <si>
    <t>Best hotel in LondonEveryone is very helpful, from the maids to the management. A vast choice 
for breakfast with choices for everyone. The rooms are all clean and 
comfortable. Its in a perfect central location and a great value for money. 
Will definitely stay here again.Read moreReview collected in partnership 
with TravelodgeDate of stay: January 2019HelpfulShare</t>
  </si>
  <si>
    <t>Richard M wrote a review Jan 20191 contribution</t>
  </si>
  <si>
    <t>Lovely hotel unbeatable location.Great place to stay, clean and within walking distance of all major sights. 
Great value too will stay here again. Rooms were clean and comfortable. 
Many restaurants and bars close by. Overall could not fault this hotel.Read 
moreReview collected in partnership with TravelodgeDate of stay: January 
2019HelpfulShare</t>
  </si>
  <si>
    <t>Josie P wrote a review Jan 2019Rotherham31 contributions14 helpful votes</t>
  </si>
  <si>
    <t>Another enjoyable stay.We enjoyed a really comfortable stay. The breakfast was tasty and there was 
enough choice to have a good healthy meal. The only downside was the wait 
to checkin yet again. A few years ago the self checkin machines were 
working and it was quick and simple. Last year and this year they were 
broken and the queue to check in was about 20 minutes.Read moreReview 
collected in partnership with this hotelDate of stay: January 
2019HelpfulShare</t>
  </si>
  <si>
    <t>https://www.tripadvisor.co.uk/Hotel_Review-g186338-d193057-Reviews-or1655-Travelodge_London_Covent_Garden-London_England.html#REVIEWS</t>
  </si>
  <si>
    <t>Traveler56255389580 wrote a review Jan 2019Brighton, United Kingdom1 
contribution</t>
  </si>
  <si>
    <t>Great location for many theatresDown the road from Holbourn Station and so near to theater land. Once there 
you can walk everywhere.You are able to leave luggage to look round when 
you book out. Breakfast good value, friendly staff.Read moreReview 
collected in partnership with this hotelDate of stay: January 
2019HelpfulShare</t>
  </si>
  <si>
    <t>https://www.tripadvisor.co.uk/Hotel_Review-g186338-d1812157-Reviews-or265</t>
  </si>
  <si>
    <t>https://www.tripadvisor.co.uk/Hotel_Review-g186338-d193057-Reviews-or1660-Travelodge_London_Covent_Garden-London_England.html#REVIEWS</t>
  </si>
  <si>
    <t>Sarah V wrote a review Jan 2019Rugby, United Kingdom6 contributions2 
helpful votes</t>
  </si>
  <si>
    <t>Great location for the priceHotel is very convenient for exploring London, very close to the tubes and 
covent garden. Rooms are basic but perfectly adequate for a short stay. 
would stay again! Would be nice to have shampoo in the bathroom to save 
carrying it. Our room was a bit noisy as it was by a lift but perfectly 
good enough for the price and location.Read moreReview collected in 
partnership with this hotelDate of stay: January 2019HelpfulShare</t>
  </si>
  <si>
    <t>Paradise03472129812 wrote a review Jan 2019Norwich, United Kingdom2 
contributions</t>
  </si>
  <si>
    <t>excellent valueexcellent value for central London hotelconvenient,clean and all you need 
for short breakdeals to be had on occasions which make it even better 
valuestaff very friendly and helpfulshame quick check in were all not 
working but,staff coped wellRead moreReview collected in partnership with 
this hotelDate of stay: January 2019HelpfulShare</t>
  </si>
  <si>
    <t>Alba7K wrote a review Jan 2019Cheshire, United Kingdom7 contributions4 
helpful votes</t>
  </si>
  <si>
    <t>FabulousFantastic location within minutes walk of Covent Garden underground. The 
staff were perfect, excellent check in and reception/bar staff could not be 
more helpful. Room was immaculately clean. They provided soya milk for me 
with no hesitation.Read moreReview collected in partnership with this 
hotelDate of stay: January 2019HelpfulShare</t>
  </si>
  <si>
    <t>travels039 wrote a review Jan 2019Norwich, England148 contributions47 
helpful votes</t>
  </si>
  <si>
    <t>Great location and priceA fantastic location for theatre land, Covenant Garden and the tube 
(Holborn tube station). Stayed in a super room which had tea and coffee 
making facilities plus iron and hairdryer. Although I asked on reception 
when checking in if the room had a hairdryer and the member of staff said 
she'd get me one - there was actually no need as there is one in the room, 
Luggage store is very good - left our luggage there after check-out as our 
train home was later in the day and this made it much easier for 
sight-seeing.Read moreDate of stay: January 2019HelpfulShare</t>
  </si>
  <si>
    <t>Ash Marc wrote a review Jan 2019Sheffield, United Kingdom40 contributions12 
helpful votes</t>
  </si>
  <si>
    <t>Good family stauStayed here with our 6 year old and 12 week old baby in a “small family 
room” on the ground floor. The room was a very decent size despite the 
description. It was sufficient for our needs and we all slept really well. 
Ideal location with the pram also. The only down side with the room was the 
bathroom, which was quite dated. All in all nice enough for the money paid. 
The best bit about this hotel is the location within Covent Garden. Took us 
9 minutes in a taxi from St Pancras station to get there. Walked to 
Westminster Abbey, Buckingham palace and a theatre show from here also. 
Staff friendly and welcoming. Very helpful and the breakfast was very good 
value for £8.95 all you can eat. Big selection of food to choose from and 
clean dining area. Will definitely stay again…Read moreDate of stay: 
January 2019HelpfulShare</t>
  </si>
  <si>
    <t>https://www.tripadvisor.co.uk/Hotel_Review-g186338-d193057-Reviews-or1665-Travelodge_London_Covent_Garden-London_England.html#REVIEWS</t>
  </si>
  <si>
    <t>ChrisHoliday2012 wrote a review Jan 2019Portsmouth, United Kingdom26 
contributions10 helpful votes</t>
  </si>
  <si>
    <t>Great London location to stay.We found this Travelodge had friendlystaff and a good location to go and 
see a West End show. The newer Super room did have more space than the 
standard room. This is the first time we have used the Left Luggage area 
and it worked well to give us freedom to look around the Covent Garden area 
and eat before we could check in.Read moreReview collected in partnership 
with TravelodgeDate of stay: January 2019HelpfulShare</t>
  </si>
  <si>
    <t>ElisabethFrd wrote a review Jan 2019Versailles, France21 contributions7 
helpful votes</t>
  </si>
  <si>
    <t>GoodWe had a good stay - quiet room and very central location if you want to be 
near covent garden - holborn - st giles areas What a shame that there'd 
been only one set of towels although we were 2 in the room AntonneaRead 
moreDate of stay: January 2019HelpfulShare</t>
  </si>
  <si>
    <t>dee20002014 wrote a review Jan 2019Wiltshire, United Kingdom34 
contributions10 helpful votes</t>
  </si>
  <si>
    <t>weekendvery good hotel nice and central in convent gardens close to the theatres 
and in good walking distance to the tube and shops . The hotel staff was 
very nice they had a bar and nice seating area looked very comfortableRead 
moreReview collected in partnership with TravelodgeDate of stay: January 
2019HelpfulShare</t>
  </si>
  <si>
    <t>Rachel H wrote a review Jan 2019Northwich, United Kingdom91 contributions36 
helpful votes</t>
  </si>
  <si>
    <t>Good stayVery busy hotel. Pleased with everything on this stay, previously I wasn’t. 
The only comment would be that a there wasn’t a hairdryer in the room . I 
was able to get one from reception but they have a limited number.Read 
moreReview collected in partnership with this hotelDate of stay: December 
2018HelpfulShare</t>
  </si>
  <si>
    <t>https://www.tripadvisor.co.uk/Hotel_Review-g186338-d193057-Reviews-or1670-Travelodge_London_Covent_Garden-London_England.html#REVIEWS</t>
  </si>
  <si>
    <t>blackitt wrote a review Jan 2019Newcastle upon Tyne, United Kingdom4 
contributions2 helpful votes</t>
  </si>
  <si>
    <t>Travel lodge Covent GardenVery comfortable stay. We central to everything we needed. Bar stays open 
late great atmosphere. Wouldn’t recommend for families. But for a weekend 
away with friends great value and location. Breakfast good. Would come 
backRead moreReview collected in partnership with this hotelDate of stay: 
January 2019HelpfulShare</t>
  </si>
  <si>
    <t>Madalyn H wrote a review Jan 2019Huddersfield, United Kingdom1,367 
contributions263 helpful votes</t>
  </si>
  <si>
    <t>Functional and good valueWe had a very inexpensive night in a relatively small but functional room 
which was very quiet. Our major problem was the cold, and an inability to 
adjust the aircon to warm ourselves. A good location.Read moreDate of stay: 
January 2019HelpfulShare</t>
  </si>
  <si>
    <t>Tourist55184342643 wrote a review Jan 20191 contribution</t>
  </si>
  <si>
    <t>Main building [not annex buildingLifts out of order during my stay day and night, cold room even with air 
con on max, had to put towels under the door to stop cold air/draft coming 
under the door, bar/cafe limited menu burgers pizza etc but the chicken 
tikka was nice to be fair, the lady serving was very polite and 
helpful.Read moreReview collected in partnership with TravelodgeDate of 
stay: January 2019HelpfulShare</t>
  </si>
  <si>
    <t>186fateha wrote a review Jan 2019APO, United States3 contributions</t>
  </si>
  <si>
    <t>Poorly managed...can be improved under new managementRooms are tiny. I reserved a "super room" . If you open suitcase there is 
no room to walk. Bathroom is equal to a Lufthansa planr toilet. Day 1 i 
told reception that shower drain is slower than shower.. It'll overflow. No 
one fixed it least not for the six nights i was there. I had to clean floor 
a couple of times because it overflowed. Other times i took breaks wile 
taking shower to let it drain. Also Iron in the room is from "iron age" so 
if you are on business trip... Expect to wear wrinkled clothes. (its not 
steam iron). Housekeeping does not vacuum the floor... Not sure if 
management knows this. Bed is a us full size bed. It is very comfortable 
and so are pillows. I had a good night sleep every night so great job on 
that. Heating system is very good i think…Read moreDate of stay: January 
2019HelpfulShareResponse from TravelodgeUK, Molly from the Social Media 
Team at Travelodge London Covent GardenResponded 21 Jan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</si>
  <si>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BirminghamNetty wrote a review Jan 2019Birmingham264 contributions165 
helpful votes</t>
  </si>
  <si>
    <t>Awful and OK at the same timeStayed three nights. The hotel is on two sites. I was in the Drury lane 
one. Asked for a quiet room, got a second floor room overlooking the street 
that was anything but. Not told that unless you put the pink tag out , they 
don't service your room. So came back to an unmade room. Ran out of shower 
gel, went to reception to get more, was told someone would come to replace 
and they never did. The shower has good power but because the cubicle is so 
small and the curtain so inadequate, the floor is drenched. And no bath mat 
means you have to use a towel. The breakfast is OK but limited choice and 
is exactly the same every day. The bed is comfy but the small window makes 
the room dark and the room lighting is industrial. It's a short walk from 
the tube where there is a good…Read moreDate of stay: January 
2019HelpfulShareResponse from TravelodgeUK, Molly from the Social Media 
Team at Travelodge London Covent GardenResponded 21 Jan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</si>
  <si>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https://www.tripadvisor.co.uk/Hotel_Review-g186338-d193057-Reviews-or1675-Travelodge_London_Covent_Garden-London_England.html#REVIEWS</t>
  </si>
  <si>
    <t>GB2105 wrote a review Jan 2019Hailsham, United Kingdom31 contributions10 
helpful votes</t>
  </si>
  <si>
    <t>Great deal just before ChristmasWe stayed here on the 23rd December as we wanted to take our 6 month old to 
see some of the lights in London. The hotel is in a great location, nice 
and close to the main Covent garden area and travel links. It is split over 
two buildings though so had a short walk from where we checked in to the 
other building where our room was. The room was spacious (we had a family 
room with a double bed and two singles) and was clean and secure. The 
bedding was a nightmare though as it was two sheets with no duvet and I 
just kept getting tangled in them. The bed wasn't particularly comfortable 
to be honest but we weren't given the luxury of all that much sleep due to 
our baby anyway. Breakfast was a bit of a fiasco. The restaurant is small 
and not really big enough for the number of…Read moreDate of stay: December 
2018HelpfulShare</t>
  </si>
  <si>
    <t>TONZ_12 wrote a review Jan 2019Sheffield, United Kingdom20 contributions36 
helpful votes</t>
  </si>
  <si>
    <t>Short stayA little difficult to find but met by very helpful staff who booked us in 
with no problems ,room basic as expected but comfortable and clean, 
breakfast adequate stayed 2 nights first time in a Travelodge but would 
have no problem going back very good valueRead moreDate of stay: January 
20191 Helpful voteHelpfulShare</t>
  </si>
  <si>
    <t>melblackpool wrote a review Jan 2019Blackpool71 contributions86 helpful 
votes</t>
  </si>
  <si>
    <t>DisappointingI am going to put bullet points because if I go into detail by the time you 
get to the end of it you will be fed up. The location is good Express check 
in not working, no management about or staff to give any info or apologise 
just a long queue at the very slow reception check in, no sorry to keep you 
waiting from them. Express check in still not working 3 days later. Heating 
in the room not working No storage in the room apart from a few coat 
hangers No heating in the bathroom, not enough towels Cash machine not 
working Service at the bar was slow TV's all over the place in the bar and 
cafe, must have got a deal from currys. Holes in the towels, see photo. 
Both lifts stopped working on the second day, they were out of order all 
that day and still not working when we left the…Read moreDate of stay: 
January 20192 Helpful votesHelpfulShareResponse from TravelodgeUK, Tilly 
from The Social Media Team at Travelodge London Covent GardenResponded 22 
Jan 2019Thank you for taking the time to review our London Covent Garden 
hotel.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</si>
  <si>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paulnU2646JD wrote a review Jan 2019Portsmouth, United Kingdom2 
contributions</t>
  </si>
  <si>
    <t>Weekend visit to LondonA very good hotel in a perfect location which was very clean and tidy and 
provided us with all we needed for our stay in London. The Lodge just 
needed more staff to cater for the large numbers at breakfast.Read 
moreReview collected in partnership with TravelodgeDate of stay: January 
2019HelpfulShare</t>
  </si>
  <si>
    <t>https://www.tripadvisor.co.uk/Hotel_Review-g186338-d193057-Reviews-or1680-Travelodge_London_Covent_Garden-London_England.html#REVIEWS</t>
  </si>
  <si>
    <t>Bootsusmunch wrote a review Jan 2019Bedford, United Kingdom6 contributions6 
helpful votes</t>
  </si>
  <si>
    <t>Don’t bother with a Super RoomI love this hotel and always try and book here when I am in London. 
Location is great but so called Super rooms are far from Super. Don’t waste 
your money. My standard room from previous visits was much bigger and 
better. One reason for booking was the coffee machine but this didn’t work 
and was stuffed full of old pods so clearly hadn’t been cleaned out. It 
leaked everywhere and was a waste of time. Reported a problem with it but 
didn’t get a replacement. Room was so small that the toilet door was next 
to the bed and quite off putting. Duvet was a skinny effort.As I say great 
hotel but super rooms aren’t worth the extra just go for the standard 
ones.Read moreReview collected in partnership with TravelodgeDate of stay: 
January 20191 Helpful voteHelpfulShareResponse from TravelodgeUK, Shaf from 
the Social Media Team. at Travelodge London Covent GardenResponded 17 Jan 
2019Thank you for reviewing our London Covent Garden Travelodge. We're 
extremely sorry to learn of your disappointment regarding our Super Rooms 
and do apologise this affected your stay with us. Feedback is invaluable 
and our Hotel Managers regularly review their TripAdvisor reviews in order 
to fix any issues raised and pass on feedback to their team. Thank you once 
again and we do hope you will stay with us in the future.Read more</t>
  </si>
  <si>
    <t>DayTrip31476982436 wrote a review Jan 20191 contribution</t>
  </si>
  <si>
    <t>Usually BetterStayed here before, usually good, but they let themselves down this stay. 
Lack of management support for staff struggling to deal with issues.Good 
central Location for Theatres and plenty of eating places. Close to Covent 
Garden, China Town and Leicester Square.Read moreReview collected in 
partnership with TravelodgeDate of stay: January 20191 Helpful 
voteHelpfulShare</t>
  </si>
  <si>
    <t>eballSheeerness_Kent wrote a review Jan 2019sheeerness, kent10 
contributions10 helpful votes</t>
  </si>
  <si>
    <t>Theatre stayGoid basic hotel very clean good breakfast had problem with room given , 
air con was freezing so after an hour complained and instantly given room 
on 5 th floor, biggee brighter and warm, staff all polite and smiling ,Read 
moreReview collected in partnership with TravelodgeDate of stay: January 
2019HelpfulShare</t>
  </si>
  <si>
    <t>Hashtag_WorkingDad wrote a review Jan 201948 contributions13 helpful votes</t>
  </si>
  <si>
    <t>Excellent budget hotel - basic facilities but amazing service from the staffOne night stay due to business. All of the staff I met were super helpful, 
including the reception manager and the guy on duty at 6am in the morning 
when I left to get a taxi. All made an effort to look after me superbly 
well, thank you. The room had all the basic essentials and was a great 
value for money.Read moreDate of stay: January 2019HelpfulShare</t>
  </si>
  <si>
    <t>https://www.tripadvisor.co.uk/Hotel_Review-g186338-d193057-Reviews-or1685-Travelodge_London_Covent_Garden-London_England.html#REVIEWS</t>
  </si>
  <si>
    <t>Rebeccazxxx wrote a review Jan 2019United Kingdom33 contributions18 helpful 
votes</t>
  </si>
  <si>
    <t>Convenient stayAlways stay at this hotel when I’m in London as it’s so central to 
everything and good for the price. Close to Covent Garden and not too far 
of a walk from the main attractions of London. Only thing that let this 
stay down was the pillows seemed really hard and when flushing the toilet 
the water kept rising, after asking for them to look at it, it still kept 
rising however it wasn’t a problem it just took a while for the water to go 
down. Overall a convenient hotel, friendly receptionists, and nice hotel to 
stay in and would return when back in London.Read moreDate of stay: January 
2019HelpfulShare</t>
  </si>
  <si>
    <t>Thomas W wrote a review Jan 2019Manchester, United Kingdom4 contributions9 
helpful votes</t>
  </si>
  <si>
    <t>1 night stayGood location and ok room.Poor service at reception and bar. A number of 
people were complaining about the wait to check in, including me. Also then 
waiting to leave baggage at drop off. Breakfast was convenient.Read 
moreReview collected in partnership with TravelodgeDate of stay: January 
20191 Helpful voteHelpfulShareResponse from TravelodgeUK, Charley from the 
Social Media Team at Travelodge London Covent GardenResponded 12 Feb 
2019Thank you for taking the time to write a review. We wish for our 
customers to enjoy their experience in our café so we are sorry to hear 
that you were not positively impressed by your last stay in our hotel. We 
aim to provide a high level of service from our staff in our bar cafes and 
we do apologise that you did not receive this on this occasion. We will 
make the most of your comments to continue improving the service we offer 
and we hope to welcome you again in the near future.Read more</t>
  </si>
  <si>
    <t>FiJoRa wrote a review Jan 2019Newmarket, United Kingdom18 contributions12 
helpful votes</t>
  </si>
  <si>
    <t>Great location, friendly staff, comfortable roomAlthough this Travelodge is split over two locations, both are very well 
located. All staff we encountered were efficient, friendly and helpful . We 
had a twin room on the 7th floor which was spacious and amazingly quiet for 
central London. It had a bath as well as a shower in the bathroom (quite 
unusual now) which i liked and also an iron and ironing board. Beds were, 
as usual, clean and comfortable. The left luggage facility, although not in 
the same building as our room, was easily accessed and extremely helpful. 
Thanks Travelodge - another great stay.Read moreReview collected in 
partnership with TravelodgeDate of stay: January 2019HelpfulShare</t>
  </si>
  <si>
    <t>Bron_Audin wrote a review Jan 2019Hampshire, United Kingdom3 contributions1 
helpful vote</t>
  </si>
  <si>
    <t>Great reception staffLovely room, Ashley on reception was welcoming, helpful and very nice! A 
great member of staff. Room lovely, spacious and double windows so quiet 
and warm. Breakfast lovely, great coffee and very centralRead moreDate of 
stay: January 2019HelpfulShare</t>
  </si>
  <si>
    <t>https://www.tripadvisor.co.uk/Hotel_Review-g186338-d1812157-Reviews-or270</t>
  </si>
  <si>
    <t>https://www.tripadvisor.co.uk/Hotel_Review-g186338-d193057-Reviews-or1690-Travelodge_London_Covent_Garden-London_England.html#REVIEWS</t>
  </si>
  <si>
    <t>Trident Boats wrote a review Jan 2019Lefkada, Greece13 contributions2 
helpful votes</t>
  </si>
  <si>
    <t>Double ChargeWe stayed for the christmas holidays, we where charged the room from the 
website. Then we where charged again at check in a second time and we where 
told we would get a refund after. It has been nearly a month and nothing 
has come back to us. We have sent emails, called the travelodge a number of 
times and when we got an answer they don't help. Only take down our 
information without anything really happening. The value for money is not 
there if you get charged two times. Would not recommend international 
travellers.Read moreDate of stay: December 20182 Helpful 
votesHelpfulShareResponse from TravelodgeUK, Charley from the Social Media 
Team at Travelodge London Covent GardenResponded 7 Feb 2019Thank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</si>
  <si>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Fiona C wrote a review Jan 2019Kuala Lumpur, Malaysia4 contributions2 
helpful votes</t>
  </si>
  <si>
    <t>Ideal locationFive stars on location - walking distance to almost everywhere we wanted to 
go - Covent Garden (5mins), Mowtown theatre (3mins), Leicester Sq, Regent 
St, Oxford St, Trafalgar Sq (20mins). Hotel was adequate with basic 
necessities; although a longer (free) internet usage would be much 
appreciated - maybe 1 hr instead of 30mins/day? Holborn &amp; Covent Garden 
underground stations are all nearby too. Highly recommended if you want a 
hassle free&amp;easy holiday in the heart of London.Read moreDate of stay: 
January 2019HelpfulShare</t>
  </si>
  <si>
    <t>https://www.tripadvisor.co.uk/Hotel_Review-g186338-d193057-Reviews-or1695-Travelodge_London_Covent_Garden-London_England.html#REVIEWS</t>
  </si>
  <si>
    <t>Georgina X wrote a review Jan 2019Maidstone, United Kingdom4 contributions1 
helpful vote</t>
  </si>
  <si>
    <t>Not impressedI stayed here with my mum due to watching kinky boots down the theatre down 
the road. We payed £69 for the room and wasn’t impressed with it to be 
honest. The room was very dark and cold. The light was off the ceiling and 
the shelf behind the toilet was actually off and was filthy. We unpacked 
our bags and headed off to go get some food. We mentioned to reception and 
explained my mum is a manager of another hotel so didn’t want to complain 
as knows the business but wanted to make staff aware that there is problems 
with the room so this could be logged. She offered to swap our room but we 
was only there for one night and leaving early the next day. We decided to 
have breakfast in the morning and it was okay but the staff was very pushy 
and felt intimidated and watched. As soon as…Read moreDate of stay: January 
20191 Helpful voteHelpfulShareResponse from TravelodgeUK, Ben from the 
Social Media Team at Travelodge London Covent GardenResponded 30 Jan 
2019Thank you for taking the time to write a review about our London Covent 
Garden hotel. We are sorry to learn that you found the room to be cold and 
of your disappointment with the facilities. Al our hotel rooms are fitted 
with heaters which can be controlled by guests to keep the room at a 
comfortable temperature however these may not be turned on for a guests 
arrival. Feedback is invaluable and our Hotel Managers regularly review 
their TripAdvisor reviews in order to fix any issues raised and pass on 
feedback to their team. Thank you once again and we do hope you will stay 
with us in the future.Read more</t>
  </si>
  <si>
    <t>Chloe B wrote a review Jan 20196 contributions1 helpful vote</t>
  </si>
  <si>
    <t>1 night stayHad a nice stay here, good location and hadn’t a brilliant comedy club 
close by! We only stayed for the one night and pre paid for dinner and 
brekfast. Brekfast was great and all brilliantly laid out. Dinner was over 
2 hours late due to the system not sending to the kitchen but the staff 
handled it as well as they could. If managers were around this would of 
been a different matter? (None on duty that night). A few things were 
stated wrong I.e ‘happy hour’ in our brouchure it say something until 6pm 
and outside stated until 8pm so we were paying more for drinks without 
being aware? Other than that most staff were friendly and attentive, beds 
were comfortable and room was excellent.Read moreDate of stay: January 
2019HelpfulShare</t>
  </si>
  <si>
    <t>1tmapp1 wrote a review Jan 2019Bath, United Kingdom6 contributions1 helpful 
vote</t>
  </si>
  <si>
    <t>Highly recommendThis travel lodge particularly wins on its location and price. It's so 
central for the theatre land, an easy walk to Oxford Street and Covent 
Gardens shopping, and has several conveinient places to eat on the 
doorstep. The accomodation was clean and comfortable if not flash! Cant 
beat it for value for money, would stay there again.Read moreDate of stay: 
January 2019HelpfulShare</t>
  </si>
  <si>
    <t>Paul W wrote a review Jan 2019Swansea, United Kingdom15 contributions8 
helpful votes</t>
  </si>
  <si>
    <t>Good stay,but not next ti cleaners cupboard !!!Have rated this hotel 3 average only based on our 3 night stay.We had a 
family room but were located next to the cleaners cupboard, unfortunately 
they started opening and letting the door slam from 06:00 in the morning 
with no respect for the customer...The room was clean, beds and bathroom 
all good.We also had 2 false fire alarm calls during our stay, 1 at 06:30 
am and 1 at 16:30pm just as we were getting bathed/changed to go out one of 
the 2 lifts was out of order and some times it was quicker to take the 
stairs rather than wait forthe lift doors to open and find it was full of 
people.Our breakfast booked was very good and no complaintsWe would have 
given our visit a 5 rating if not for the 3 areas mentionedRead moreReview 
collected in partnership with this hotelDate of stay: December 20181 
Helpful voteHelpfulShareResponse from TravelodgeUK, Ben from the Social 
Media Team at Travelodge London Covent GardenResponded 30 Jan 2019Thank you 
for taking the time to write a review about our London Covent Garden hotel. 
We are pleased to hear that your room was clean and you were happy with the 
bed, bathroom and breakfast however we are sorry to learn that you were 
disturbed by the cleaners and fire alarms during your stay. Feedback is 
invaluable and our Hotel Managers regularly review their TripAdvisor 
reviews in order to fix any issues raised and pass on feedback to their 
team. Thank you once again and we do hope you will stay with us in the 
future.Read more</t>
  </si>
  <si>
    <t>Sharon M wrote a review Jan 201911 contributions5 helpful votes</t>
  </si>
  <si>
    <t>Great place to stay in LondonStayed here for my sons birthday has all been done up since I last was here 
. Stayed in one of the superplus rooms really nice room coffee machine and 
pods galaxy hot choclate tea coffee ironing board iron 32in tv usb power 
points for your phones and laptops . Lovely bed really comfy bargain as got 
40% off in the jan sale so only cost me £29.00 .room still too warm though 
air conditioning in room but only goes down to 18 . Windows to noisy to 
have open and too windy .hotel is in a great place 3 mins to Covent Garden 
not the best looking hotel but a great baseRead moreDate of stay: January 
2019HelpfulShare</t>
  </si>
  <si>
    <t>https://www.tripadvisor.co.uk/Hotel_Review-g186338-d193057-Reviews-or1700-Travelodge_London_Covent_Garden-London_England.html#REVIEWS</t>
  </si>
  <si>
    <t>Roger wrote a review Jan 2019Manchester, United Kingdom2 contributions1 
helpful vote</t>
  </si>
  <si>
    <t>TravelodgeGood hotel, great location, good rooms however housekeeping let the side 
down as the room was not cleaned on the second day despite leaving the 
cleaning card out an hour before the designated time. We were not the only 
ones this happened to that day.Read moreReview collected in partnership 
with TravelodgeDate of stay: January 20191 Helpful voteHelpfulShareResponse 
from TravelodgeUK, Shaf from the Social Media Team. at Travelodge London 
Covent GardenResponded 15 Jan 2019Thank you for reviewing our London Covent 
Garden Travelodge. We're pleased to hear you liked the location of this 
hotel. We really are sorry to learn the general cleanliness and service was 
not up to standards on this occasion. Feedback is invaluable and our Hotel 
Managers regularly review their TripAdvisor reviews in order to fix any 
issues raised and pass on feedback to their team. Thank you once again and 
we do hope you will stay with us in the future.Read more</t>
  </si>
  <si>
    <t>paulapick187 wrote a review Jan 2019Hastings, United Kingdom70 
contributions16 helpful votes</t>
  </si>
  <si>
    <t>Theatre stayConvenient hotel to all attractions and theatres in London. Room was very 
nice. However due to some booking issues our room had been double booked as 
had many! We were in our room about to go out and some people let 
themselves into our room-we had both been given the same room! Friends went 
to get key card reissued later that evening and there was people everywhere 
in reception. Took them 40 minutes! Awful and disorganised. Breakfast was 
ok but very very busy due to the overbooking I guess. Not particularly 
cheap either.Read moreDate of stay: January 20191 Helpful 
voteHelpfulShareResponse from TravelodgeUK, Shaf from the Social Media 
Team. at Travelodge London Covent GardenResponded 15 Jan 2019Thank you for 
reviewing our London Covent Garden Travelodge. We're really sorry to learn 
of the issues you experienced with guest being given your room key and can 
confirm this issues usually occurs when the systems thinks the room is 
vacant. We're pleased to hear you liked the location of the hotel and room 
was very nice. Feedback is invaluable and our Hotel Managers regularly 
review their TripAdvisor reviews in order to fix any issues raised and pass 
on feedback to their team. Thank you once again and we do hope you will 
stay with us in the future.Read more</t>
  </si>
  <si>
    <t>melgrech79 wrote a review Jan 2019Island of Gozo, Malta18 contributions4 
helpful votes</t>
  </si>
  <si>
    <t>Very disappointedStayed in the hotel from 26 Dec - 29 Dec 2019 and it was an awful 
experience. There was something very strange happening at the hotel as 
there was problems with check-in every day and no housekeeping. This meant 
the rooms were not cleaned even when we requested it. The best we go was 
our beds being made one day. No housekeeping meant towels not being 
collected or replaced, no toilet paper etc we were told to leave our towels 
on the floor outside our rooms and they remained there for 24hrs.... each 
day our room card keys were deactivated as were all rooms in both towers of 
the hotel leading us to believe that there was some sort of security issue. 
Apart from this location of property is great. Rooms are of a good size but 
bathrooms most definitely need an upgrade.Read moreDate of stay: December 
20181 Helpful voteHelpfulShareResponse from TravelodgeUK, Molly from the 
Social Media Team at Travelodge London Covent GardenResponded 15 Jan 
2019Thank you for your review. We're pleased to hear that your stay was 
enhanced by the location of the Hotel. We are disappointed to note that 
your room was not serviced during your stay, and that our keys were not pre 
activated for the duration of your stay. We hope you will chose to stay 
with us in the future, where we will endeavour to restore your faith in 
Travelodge. Thank you again for your feedback.Read more</t>
  </si>
  <si>
    <t>Abi Brown wrote a review Jan 20192 contributions</t>
  </si>
  <si>
    <t>LondonThe room was very comfortable and clean and all the staff were really 
helpful. The location was amazing especially if you're there for theatre 
and shopping. The breakfast was good with a variety of warm and cold 
items.Read moreReview collected in partnership with TravelodgeDate of stay: 
January 2019HelpfulShare</t>
  </si>
  <si>
    <t>Curious55561138674 wrote a review Jan 20191 contribution</t>
  </si>
  <si>
    <t>Basic, clean and value for moneyThe Standard Room at the High Holborn St location was clean, tidy and 
simple and more or less as expected for the price. Restaurant at Drury Lane 
was nice with good food and drinks and plenty of seating if waiting to 
check in at 3pm (it gets very busy). Also lovely bar staff. Good check out 
time of 12pm and the left luggage service was useful. Very central and 
wasn't too noisy.Confusion around the restaurants at both locations. Staff 
advised us at Drury Lane that both restaurants were available to eat at but 
High Holborn said it was only available for coffee. When we popped down for 
coffee we were told it doesn't serve any food or drink - a little odd 
considering all the tables were set with menus and salt &amp; pepper 
etc.Enquired whether room service was available but was told…Read 
moreReview collected in partnership with TravelodgeDate of stay: January 
2019HelpfulShareResponse from TravelodgeUK, Charley from the Social Media 
Team at Travelodge London Covent GardenResponded 12 Feb 2019Thank you for 
taking the time to review our London Covent Garden Hotel. We're really 
sorry to learn of your disappointment with our WiFi extra. We do not 
include the cost of this extra in our room rates unlike some of our 
competitors as we believe this allows our guests to pay for the services 
they need so we can continue to offer great room rates. We also apologise 
for the confusion between the two hotels as well as what each one offers. 
We will pass your feedback on to the hotel teams to ensure that this is 
made clearer. Thank you again for submitting your review.Read more</t>
  </si>
  <si>
    <t>https://www.tripadvisor.co.uk/Hotel_Review-g186338-d193057-Reviews-or1705-Travelodge_London_Covent_Garden-London_England.html#REVIEWS</t>
  </si>
  <si>
    <t>larissa m wrote a review Jan 201910 contributions4 helpful votes</t>
  </si>
  <si>
    <t>Great location, great room, fab foodPerfect from start to finish. Great location, got to choose the floor we 
stayed on, staff where lovely and everything was clean. Good location for 
walking around China Town, up to Leicester Square etc. Will defo be 
returningRead moreDate of stay: August 2018HelpfulShare</t>
  </si>
  <si>
    <t>Fer wrote a review Jan 20195 contributions</t>
  </si>
  <si>
    <t>Exceptional value for moneyI booked in advanced (about 2 months before) and the price was really good 
(about 100 pounds for 2 nighs). The hotel is between Covent Garden and 
Holborn, so it's very easy to get there by tube.The rooms as very simple, 
but thery are more than enough for a couple nights while visiting London. 
This was not first time there and will not be the last.Read moreDate of 
stay: December 2018HelpfulShare</t>
  </si>
  <si>
    <t>welshvisitor wrote a review Jan 2019Bangor, United Kingdom13 contributions2 
helpful votes</t>
  </si>
  <si>
    <t>Welsh visitorExcellent value for money close to Covent Garden and the Theatres.we have 
stayed here several times and recommended it to friends and 
family.breakfasts are good and a buffet,bar is very reasonable for central 
London with plenty of places to eat and drink on the doorstep.Read 
moreReview collected in partnership with this hotelDate of stay: December 
2018HelpfulShare</t>
  </si>
  <si>
    <t>Jacob B wrote a review Jan 2019Leeds, United Kingdom56 contributions33 
helpful votes</t>
  </si>
  <si>
    <t>Good 3 star hotelWell presented nice hotel, very average but very very dark rooms for some 
reason, the breakfast was badly priced so I chose to go out instead. Hotel 
staff were nice, the location was good but sightly tricky to find the tube 
station for a newby!Read moreDate of stay: January 20191 Helpful 
voteHelpfulShareResponse from TravelodgeUK, Charley from the Social Media 
Team at Travelodge London Covent GardenResponded 12 Feb 2019Thank you for 
taking the time to review our London Covent Garden Hotel. We're sorry to 
hear that you were not entirely impressed with your recent stay and that it 
was affected by the lighting of the rooms as well as the breakfast 
available. On the other hand we're pleased to hear that the hotel staff 
were nice and that you found the location to be good for your needs. Thank 
you again for submitting your review.Read more</t>
  </si>
  <si>
    <t>https://www.tripadvisor.co.uk/Hotel_Review-g186338-d193057-Reviews-or1710-Travelodge_London_Covent_Garden-London_England.html#REVIEWS</t>
  </si>
  <si>
    <t>saztay34 wrote a review Jan 2019Leicestershire, United Kingdom9 
contributions9 helpful votes</t>
  </si>
  <si>
    <t>Fantastic stayEnjoy,the hotel very close to many theatre,excellent staff that work there 
all very helpful ,you can even leave your suitcases so you can look round 
in a very secured place a very good idea before your checking in and 
afterwards till 6 at night . Thanks for a fantastic stay .Read moreReview 
collected in partnership with this hotelDate of stay: December 
2018HelpfulShare</t>
  </si>
  <si>
    <t>WarwickshireMonty wrote a review Jan 2019Nuneaton, United Kingdom383 
contributions137 helpful votes</t>
  </si>
  <si>
    <t>Excellent stayWe had an excellent stay here recently. The location is very good being 
right in the heart of theatreland and Covent Garden itself a 5 minute walk 
away. Our room was comfortable and the staff were very helpful and 
friendly. Would recommend and we would stay here again.Read moreReview 
collected in partnership with this hotelDate of stay: December 
2018HelpfulShare</t>
  </si>
  <si>
    <t>Ray G wrote a review Jan 2019Thornaby on Tees, United Kingdom46 
contributions31 helpful votes</t>
  </si>
  <si>
    <t>https://www.tripadvisor.co.uk/Hotel_Review-g186338-d1812157-Reviews-or275</t>
  </si>
  <si>
    <t>Used to give Travelodge 5 but this is a 4I used to give Travelodge 5 stars for their blend of value for money and 
quality but recently Premier Inn have been widening the gap by offering 
increasing value with much better well kept rooms and quality breakfasts 
for similar and sometimes lesser rates. This hotel was not cheap but was in 
a good location (short walk from Covent Garden tube station) so it’s not 
going to be. What it was though was decsent value due to its family room 
option. The usual clean white bedding, comfy beds, hot reasonably powerful 
shower and plenty of clean towels supported by the tv and kettle for a hot 
drink in your room. Carpets grubby, room well used and hotel corridors and 
lifts well worn but again it is a budget busy central London hotel. Fire 
alarm went off at 7am on the Sunday morning for a…Read moreDate of stay: 
December 2018HelpfulShare</t>
  </si>
  <si>
    <t>https://www.tripadvisor.co.uk/Hotel_Review-g186338-d193057-Reviews-or1715-Travelodge_London_Covent_Garden-London_England.html#REVIEWS</t>
  </si>
  <si>
    <t>Bex50 wrote a review Jan 2019Exeter, United Kingdom54 contributions19 
helpful votes</t>
  </si>
  <si>
    <t>Perfectly placedThis is our 3rd visit to this hotel. It is perfectly placed for theatre 
visits, great restaurants and the atmosphere of Covent Garden. The tube 
station is a 5 min walk and don't forget its up to 50% cheaper to tap and 
go with your debit card, no faffing with tickets. The hotel is basic but 
the does not compromise on the attentive and friendly staff. Don't forget 
to ask for a hairdryer when you arrive - its one that will dry your hair 
too!!!Read moreDate of stay: January 2019HelpfulShare</t>
  </si>
  <si>
    <t>jayne g wrote a review Jan 201967 contributions43 helpful votes</t>
  </si>
  <si>
    <t>Nice stayStayed for one night. Had a room on the ground floor right next to the road 
and was fine not too noisy . Though there were only 2 of us there was bunk 
beds in the room as well as a double so made the room small . Not a problem 
though as you don’t go to London and spend all the time in the hotel !room 
clean breakfast plenty of choice and presented nicely . Staff very pleasant 
would like to mention the ladies on reception and the man in the luggage 
hold very pleasant !. You can leave your cases in the luggage hold which is 
very useful . Location excellent for all theatres and Covent Garden 
attractions would definitely stay here again .Read moreDate of stay: 
January 2019HelpfulShare</t>
  </si>
  <si>
    <t>Relax00751176766 wrote a review Jan 2019Los Angeles, California1 
contribution</t>
  </si>
  <si>
    <t>Receptionist said," it is a budget hotel"If you get early check in, you need to pay for it and when you arrive they 
are going to tell you: there is always problem with early check in and your 
room is not going to be ready. Wifi you pay for is only for 2 devices and 
we didn't know, so we couldn't use our laptops. The heather in the first 
room was not working. There is no hairdryer in the room, as it was stated 
on their website when you book. Drain system in our room was not working 
well, if you washed your hand you had to wait a minute for water to be 
cleared and then you could wash your face. Our room was very loud because 
it was right by the cleaning crew's room, from 7 am. As I complained the 
receptionist told me "don't forget here is a budget hotel". I almost forgot 
to mention that the fire alarm went off at 6am…Read moreReview collected in 
partnership with TravelodgeDate of stay: December 2018HelpfulShareResponse 
from TravelodgeUK, Charley from the Social Media Team at Travelodge London 
Covent GardenResponded 12 Feb 2019Thank you for taking the time to review 
our London Covent Garden Hotel. We're sorry to hear of the issues that 
occurred during your stay and would like to apologise that you did not feel 
that these were sufficiently resolved at the time. In terms of a hairdryer, 
as stated on our website, these are available from reception on a first 
come first served basis. We thank you again for your feedback and can 
assure you that it has been noted and passed on to the correct team. Thank 
you again for submitting your review and we hope to welcome you back soon 
to enjoy a fully comfortable stay.Read more</t>
  </si>
  <si>
    <t>Discover45327483010 wrote a review Jan 20191 contribution</t>
  </si>
  <si>
    <t>great locationgreat location hotel, clean, basic but all you need for sightseeing trip. 
just don't expect a smile or politeness from the Scottish barmaid- she 
deffo dropped out of charm school. when asking for a G&amp;T I thought she had 
said lemon and lime? so I said ooh yes please. She said ..Which pick 
one!then gent sked for some shirt of other and she looked to be searching 
shelf for it, so the gent pointed out where it was she said "yes I see it, 
sorry if im too slow for you sir" she was totally rude and abrupt.. I would 
of been upset if it had just been me she was like this with but it became 
amusing as she seemed not to like anyone lolRead moreReview collected in 
partnership with TravelodgeDate of stay: December 2018HelpfulShareResponse 
from TravelodgeUK, Tilly from The Social Media Team at Travelodge London 
Covent GardenResponded 13 Jan 2019We appreciate the time you have taken to 
review our London Covent Garden hotel. It’s really important to us that our 
staff provide a fantastic service to our customers and remain professional 
at all times so we are sorry to learn that you feel this was not the case 
on this occasion. We are pleased to learn that the location of the hotel 
was good for you and your room was clean. Your comments will be passed on 
to our hotel colleagues to ensure that the correct level of service is 
provided at all times.Read more</t>
  </si>
  <si>
    <t>https://www.tripadvisor.co.uk/Hotel_Review-g186338-d193057-Reviews-or1720-Travelodge_London_Covent_Garden-London_England.html#REVIEWS</t>
  </si>
  <si>
    <t>sherbert60 wrote a review Jan 2019Brighton and Hove, United Kingdom64 
contributions20 helpful votes</t>
  </si>
  <si>
    <t>Such a convenient locationThis is a clean modern hotel situated in a fantastic location for the 
Covent Garden area, opera house etc. The room had everything we needed for 
one night and the breakfast was good value. Staff were friendly. It felt 
safe and secure. The bedding and towels etc were good quality. Take your 
own shampoo/conditioner. A good selection of tea/coffee/hot chocolate 
provided in the room.Read moreReview collected in partnership with 
TravelodgeDate of stay: January 2019HelpfulShare</t>
  </si>
  <si>
    <t>JuF-BG wrote a review Jan 2019worcestershire41 contributions12 helpful votes</t>
  </si>
  <si>
    <t>Overnight stay central LindonGood, clean quiet hotel. Very good value. Excellent location. Close to 
theatres , underground etc . Breakfast satisfactory- nice fresh fruit 
salad. Would definitely stay here again fir the price. Staff all lovely and 
helpful.Read moreDate of stay: January 2019HelpfulShare</t>
  </si>
  <si>
    <t>Edward M wrote a review Jan 2019Peterborough, United Kingdom7 
contributions19 helpful votes</t>
  </si>
  <si>
    <t>Just want you need.I have stayed here before and it what you expect. Rooms are nice and cleans 
and heated good as we come in the winter. Did not have any food but from 
what I saw looks good. Good location in the heart of London and short walk 
to all the main theatres. Would stay again.Read moreDate of stay: January 
2019HelpfulShare</t>
  </si>
  <si>
    <t>Toni H wrote a review Jan 2019New Zealand7 contributions</t>
  </si>
  <si>
    <t>Cheap and cheerfulGreat location, clean rooms with private bathroom. Excellent value for 
money. Staff were very helpful and friendly. Bar is open till 4am if you 
want a quiet nightcap after tye pubs close in London. Comfy beds.Read 
moreReview collected in partnership with TravelodgeDate of stay: January 
2019HelpfulShare</t>
  </si>
  <si>
    <t>https://www.tripadvisor.co.uk/Hotel_Review-g186338-d193057-Reviews-or1725-Travelodge_London_Covent_Garden-London_England.html#REVIEWS</t>
  </si>
  <si>
    <t>Paradise41226038591 wrote a review Jan 20191 contribution</t>
  </si>
  <si>
    <t>Leisure trip in the weekThe hotel is situated in two separate buildings which was not obvious when 
booking - initially our rooms were in two separate buildings but this was 
sorted at check in. We were not able to book a family super room so our 
roomWas older and defiantly in need of a total update - this made this stay 
less value for money as we paid £280 for two nights. We had an issue with 
the shower and the staff sorted this promptly . The breakfast is excellent 
value for money. If you pay for WiFi you only get to connect two devices - 
not appropriate in the age of technology.Read moreReview collected in 
partnership with TravelodgeDate of stay: January 2019HelpfulShare</t>
  </si>
  <si>
    <t>StephyTreas wrote a review Jan 2019Bodmin, England, United Kingdom125 
contributions18 helpful votes</t>
  </si>
  <si>
    <t>Never using Travelodge againWe booked a nights stay here as a party of 5. Upon check in we were told 
that our two reserved rooms were in 2 separate hotels. Had we known this 
prior, we would not have booked this hotel. We went away together to stay 
in the same building at least. We spoke with a manager who arranged for a 
family room with beds to fit us all, however the room was filthy. Not 
enough towels, not enough cups, the two cups that were there were filthy 
sticky and lined with orange juice from a previous visitor. The heating was 
pathetic, it was freezing cold and though the heating was turned up to 
maximum I could comfortably hold my hand on it. Ridiulous. What if we had 
children in these rooms, poor things would be shivering. When we complained 
we were greeted with nothing but rudeness by Eleanor…Read moreDate of stay: 
January 20191 Helpful voteHelpfulShareResponse from TravelodgeUK, Tilly 
from The Social Media Team at Travelodge London Covent GardenResponded 10 
Jan 2019Thank you for taking the time to write a review with regards to our 
London Covent Garden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</si>
  <si>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Cristina B wrote a review Jan 2019London, United Kingdom6 contributions</t>
  </si>
  <si>
    <t>Extremely small room - super coldThe room itself was smaller than Premier Inn hub type rooms and yet it was 
super super cold. The aircon went up to 25C but it did not help the overall 
coldness. Plus the aircon unit was sooo noisy during the night, which kept 
waking us up. Do not recommendRead moreReview collected in partnership with 
TravelodgeDate of stay: January 2019HelpfulShareResponse from TravelodgeUK, 
Tilly from The Social Media Team at Travelodge London Covent 
GardenResponded 10 Jan 2019Thank you for submitting your review of our 
London Covent Garden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</si>
  <si>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Happiness50355225451 wrote a review Jan 2019Wigan, United Kingdom1 
contribution</t>
  </si>
  <si>
    <t>Great value, delicious breakfast!Best breakfast I’ve had for some time! Quality Cumberland sausage and they 
got the mushrooms just right. Properly done not boiled! Very pleasant 
staff, great location and the price was for the room not per person. 
Premier Inn take note!Read moreReview collected in partnership with 
TravelodgeDate of stay: January 2019HelpfulShare</t>
  </si>
  <si>
    <t>https://www.tripadvisor.co.uk/Hotel_Review-g186338-d193057-Reviews-or1730-Travelodge_London_Covent_Garden-London_England.html#REVIEWS</t>
  </si>
  <si>
    <t>william21Cheltenham wrote a review Jan 2019Weybridge, United Kingdom272 
contributions74 helpful votes</t>
  </si>
  <si>
    <t>Central LocationTravelodge London Covent Garden is a perfect location for a visit to 
London. Within walking distance to Covent Garden,Soho,theatres ,restaurants 
&amp; the main sights. All for a very reasonable price. The rooms are clean, 
comfortable &amp; the staff charming. We have stayed here many times over the 
years &amp; always enjoy our stayRead moreDate of stay: January 20191 Helpful 
voteHelpfulShare</t>
  </si>
  <si>
    <t>Perry I wrote a review Jan 2019Gorleston-on-Sea, United Kingdom14 
contributions8 helpful votes</t>
  </si>
  <si>
    <t>Noisy plumbingThe hotel location and price was excellent, but noisy plumbing kept us 
awake most of the night. Great location for Covent Garden and the 
surrounding area.The staff were friendly enough, and you can leave your 
bags if you want to go shopping before you check in or after you have 
checked out, and it is free.Read moreReview collected in partnership with 
TravelodgeDate of stay: January 2019HelpfulShare</t>
  </si>
  <si>
    <t>Happysunshine31 wrote a review Jan 2019Haarlem, The Netherlands4 
contributions1 helpful vote</t>
  </si>
  <si>
    <t>Location is goodLocation is good. Convent Garden is really lovely. Not all the rooms in 
this hotel is good and nice. Last year we had a better room than this year. 
Bed is comfy. Would stay again but would ask to not stay at ground floor. 
It is like a basement.Read moreReview collected in partnership with 
TravelodgeDate of stay: January 2019HelpfulShareResponse from TravelodgeUK, 
Tilly from The Social Media Team at Travelodge London Covent 
GardenResponded 9 Jan 2019Thank you for your review of our London Covent 
Garden hotel. We are pleased to hear that your overall stay was good. We'll 
pass your comments onto the hotel team and we hope to welcome you back to 
one of our hotels in the future.Read more</t>
  </si>
  <si>
    <t>https://www.tripadvisor.co.uk/Hotel_Review-g186338-d193057-Reviews-or1735-Travelodge_London_Covent_Garden-London_England.html#REVIEWS</t>
  </si>
  <si>
    <t>Matthew A wrote a review Jan 2019Malta3 contributions</t>
  </si>
  <si>
    <t>Terrible hotelon new years day management instructed the housekeeping department to go on 
vacation. the room was not done (cleaned, beds not done, no towels) simply 
nothing.when I went to complain at the reception the just showed a paper, 
stating that on christmas day and new years day and another day the 
housekeeping were on vacation and rooms will not be done. this paper for me 
was just a piece of paper as this was not dated and not even signed by 
management.Simply terrible...The only thing is that Travelodge London 
Covent Garden has a great location and centrally located.Read moreReview 
collected in partnership with TravelodgeDate of stay: December 20181 
Helpful voteHelpfulShareResponse from TravelodgeUK, Charley from the Social 
Media Team at Travelodge London Covent GardenResponded 5 Feb 2019Thank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</si>
  <si>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Montyf1 wrote a review Jan 2019Wokingham, United Kingdom993 
contributions295 helpful votes</t>
  </si>
  <si>
    <t>Wouldn't want to pay a high price ..I paid about £30 for my room in a sale so given the location this 
represented excellent value. However, if I had paid the high price 
sometimes charged for the rooms I would not have been impressed. The queue 
to the check in was ridiculous and all check in machines were out of order. 
The bin in the room hadn't been emptied after the previous guests. Limited 
loo roll in bathroom. On the plus side, bar feels like a proper bar, not 
common in a Travelodge.Read moreDate of stay: January 
2019HelpfulShareResponse from TravelodgeUK, Charley from the Social Media 
Team at Travelodge London Covent GardenResponded 11 Feb 2019Thank you for 
taking the time to review our London Covent Garden Hotel. We're sorry to 
hear that your room had not been fully serviced and that your check-in 
experience was slow. On the other hand we're pleased that you enjoyed the 
feel of the bar and liked the value for money received for the price. Thank 
you again for submitting your review.Read more</t>
  </si>
  <si>
    <t>weshpenguin wrote a review Jan 2019Lancashire, United Kingdom27 
contributions8 helpful votes</t>
  </si>
  <si>
    <t>Weekend breakBooked a 2 night stay in a super room during a weekend in London with 
friends. The hotel is easy to find &amp; in a good location. It offers left 
luggage facilities before &amp; after your stay which is handy. Reception staff 
at accommodating us all rooms on the same floor. I did book a SuperRoom but 
doubt I would do so again as it just doesn’t warrant the extra money in my 
opinion. No kitkats we’re left when the room was cleaned on the second day; 
plus the Nespresso machine was faulty.The room was clean, pleasant &amp; 
welcoming albeit that one of the curtains was hanging off the rail which 
could easily have been remedied. Comparing the standard room that friends 
were in the only difference was 2, two finger kitkats, the coffee machine &amp; 
a hairdryer. I would just book standard in future.…Read moreReview 
collected in partnership with TravelodgeDate of stay: January 
2019HelpfulShare</t>
  </si>
  <si>
    <t>Linda Rusk wrote a review Jan 2019Hertfordshire, United Kingdom8 
contributions</t>
  </si>
  <si>
    <t>Great Location!Drury Lane, Covent Garden. Great location. Good staff. Room clean and 
adequate with coffee machine and small wardrobe and the en suite was very 
clean. Would recommend room 801 for views over London. Perfect location for 
the theatres!Read moreReview collected in partnership with TravelodgeDate 
of stay: January 2019HelpfulShare</t>
  </si>
  <si>
    <t>Meander36354990209 wrote a review Jan 20192 contributions</t>
  </si>
  <si>
    <t>LinziBasic but comfortable. Not many rooms have a socket next to the mirror do 
ladies find it hard to dry hair. Have taken an extension at times. Avoid 
rooms near lifts as they are extremely noisy and clunky. Kept us awake 
until the very early hours. Breakfast good but no fried egg.Read moreReview 
collected in partnership with TravelodgeDate of stay: January 
2019HelpfulShare</t>
  </si>
  <si>
    <t>https://www.tripadvisor.co.uk/Hotel_Review-g186338-d193057-Reviews-or1740-Travelodge_London_Covent_Garden-London_England.html#REVIEWS</t>
  </si>
  <si>
    <t>Ken K wrote a review Jan 2019United Kingdom6 contributions</t>
  </si>
  <si>
    <t>Learn Spanish &amp; take a heater in winterUsually good, this time this hotel was poor. We stayed 4 nights, but the 
room was only serviced once. When it was cleaned, it became clean; but 
mostly it wasn't so we've put 3 for cleanliness. The room initially 
allocated was tiny, although they did find a bigger one when we complained, 
but the heating didn't work at night (when it was freezing outside). 
Breakfast excellent quality and value, but almost cold. Staff helpful and 
polite, but keys failed every day - and the suggestion this is because you 
keep them near credit cards is ridiculous : if this were the reason, they 
would fail as soon as you put them near them, not 24 hours later.Read 
moreReview collected in partnership with TravelodgeDate of stay: January 
2019HelpfulShareResponse from TravelodgeUK, Molly from the Social Media 
Team at Travelodge London Covent GardenResponded 9 Jan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</si>
  <si>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Scott C wrote a review Jan 2019Edinburgh, United Kingdom20 contributions8 
helpful votes</t>
  </si>
  <si>
    <t>Great customer seeviceReceptionist/bar staff supervisor Renata always welcoming and pleasant! The 
room as per expected and let you leave luggage before and after stay. 
Breakfast always full for a busy hotel. Only downsides was the check in 
machines were down which meant a bit of queueing at check in check out 
timeRead moreDate of stay: January 2019HelpfulShare</t>
  </si>
  <si>
    <t>lisa g wrote a review Jan 2019newport gwent5 contributions4 helpful votes</t>
  </si>
  <si>
    <t>Weekend visitWeren’t allowed to check in before 3, couldn’t leave our luggage either so 
had to wait around before we could start our weekend of sightseeing. Joined 
the queue at 3, the guy checking us in was very nice &amp; helpful. Got to our 
rooms, double bed rather than the twin we asked for. Two of us sharing so 
we were left with 2 towels. Luckily the laundry trolley was still around so 
helped ourselves to more so we could dry our hair after a shower. Shower 
was fine in the morning only to then discover there is no hairdryer!!! 
Thought I would call reception to see if they could bring one to the 
room....... no phone either !!! So had to go to reception with my hair 
dripping.......to be told all the hairdryers were out with other guests!!! 
Would not recommend staying at this hotel, would…Read moreDate of stay: 
January 2019HelpfulShareResponse from TravelodgeUK, Charley from the Social 
Media Team at Travelodge London Covent GardenResponded 7 Feb 2019Thank you 
for taking the time to review our London Covent Garden Hotel.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Your 
feedback has been noted and we thank you once again for reviewing our 
hotel. We do hope you will stay with us in the future.Read more</t>
  </si>
  <si>
    <t>medwards2311 wrote a review Jan 2019123 contributions23 helpful votes</t>
  </si>
  <si>
    <t>DisappointingHaving stayed at this hotel the last couple of years for Remembrance 
service, I have always stayed in the main hotel with nice rooms and good 
service, this time on checking in, sharing a twin room, we were informed 
that our room was across the road in the older part of the hotel. Main 
entrance was, clean and tidy, and the breakfast was and always had been 
superb on each and every stay. The room however, was dark, felt dirty and 
noisy being on the main road. The beds were small and uncomfortable and the 
pillows lacked guts. Making the nights sleep tiresome, though it did help 
having a wort hog in the other bed either. Really disappointed with TL 
older accommodation this time, but the main part good.Read moreDate of 
stay: November 2018HelpfulShareResponse from TravelodgeUK, Tilly from The 
Social Media Team at Travelodge London Covent GardenResponded 7 Feb 
2019Thank you for your review of our London Covent Garden hotel. We're 
sorry to learn of your disappointment with your recent stay which meant 
that you did not have a good nights sleep. We are pleased that the main 
entrance was clean and tidy and the breakfast was superb. We will pass this 
on to the hotel team to help improve the service that we offer and hope to 
welcome you back soonRead more</t>
  </si>
  <si>
    <t>Dreamer708785 wrote a review Jan 20193 contributions</t>
  </si>
  <si>
    <t>PoorThe room was not pristine, the carpet was dirty, the shower was not fully 
working - poor water pressure and temperature, the drain flooded each time 
it was used. There was no mirror near a plug socket. Not the best 
experience in a Travelodge and not one i would visit again.Read moreReview 
collected in partnership with TravelodgeDate of stay: January 
2019HelpfulShareResponse from TravelodgeUK, Charley from the Social Media 
Team at Travelodge London Covent GardenResponded 4 Feb 2019Thank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</si>
  <si>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https://www.tripadvisor.co.uk/Hotel_Review-g186338-d193057-Reviews-or1745-Travelodge_London_Covent_Garden-London_England.html#REVIEWS</t>
  </si>
  <si>
    <t>Michelle wrote a review Jan 2019Lower Withington, United Kingdom1 
contribution</t>
  </si>
  <si>
    <t>Good, comfortable, basic.Great place to put your head down for the night and get breakfast in the 
morning. Generally clean and tidy, with comfy clean beds.Staff warm, 
helpful and friendlyGood location for getting about, close to Underground 
links.Read moreReview collected in partnership with TravelodgeDate of stay: 
January 2019HelpfulShare</t>
  </si>
  <si>
    <t>Stevie M wrote a review Jan 201910 contributions5 helpful votes</t>
  </si>
  <si>
    <t>EXCELLENT HOTEL AND VERY CENTRAL TO WEST ENDFound the hotel to be all expected and extremely central to all west end 
shows and other expected places you would normally visit around London. 
Staff were helpful, breakfast was excellent considering how busy the hotel 
was at this time of the year. Only critic is that if you don't ask the room 
to cleaned the bed or replacement coffee tea etc is not replaced. In other 
words the room is not touched, but wasn't a major issue as replacements are 
downstairs in receptionRead moreReview collected in partnership with 
TravelodgeDate of stay: December 2018HelpfulShare</t>
  </si>
  <si>
    <t>Colin S wrote a review Jan 2019Harpenden, United Kingdom3 contributions</t>
  </si>
  <si>
    <t>Quick and EasyI have stayed here on a few occasions and have never been let down in any 
way. Location for Covent Garden and Liecester Square is perfect. Close to a 
lot of shows, hostelries and restaurants, yet near enough to shop on Oxford 
Street. Breakfast is breakfast, what can I say.Read moreReview collected in 
partnership with TravelodgeDate of stay: January 2019HelpfulShare</t>
  </si>
  <si>
    <t>https://www.tripadvisor.co.uk/Hotel_Review-g186338-d1812157-Reviews-or280</t>
  </si>
  <si>
    <t>https://www.tripadvisor.co.uk/Hotel_Review-g186338-d193057-Reviews-or1750-Travelodge_London_Covent_Garden-London_England.html#REVIEWS</t>
  </si>
  <si>
    <t>Adeline C wrote a review Jan 2019Singapore, Singapore23 contributions4 
helpful votes</t>
  </si>
  <si>
    <t>terribleWe had stayed here for 3 nights in Dec, and totally dreaded our stay. i 
would have given zero stars if that’s an option. - We had stayed over 
Christmas, and there was NO housekeeping service on the days when we’re 
there. and we were not informed of it beforehand. So imagine food trash 
being left in our room for days. on the 3rd day, we couldn’t stand it 
anymore and went to the front desk to tell them we’re just gonna place the 
trash outside and they can choose to clear it, or not. check in and out 
were slow as they were severely understaffed. - The rooms were old and 
worn, and we were allocated a first floor unit at a separate tower (I’m not 
sure which tower but basically you had to walk out of the main building and 
into another). the most terrible thing is that there’s…Read moreDate of 
stay: December 2018HelpfulShareResponse from TravelodgeUK, Molly from the 
Social Media Team at Travelodge London Covent GardenResponded 7 Jan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</si>
  <si>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Daley J wrote a review Jan 2019Welshpool, United Kingdom66 contributions13 
helpful votes</t>
  </si>
  <si>
    <t>Pretty goodI was treated to a weekend away for my 40th. We decided to stay here as its 
very central Perfect for those who like to shop. The only problem we found 
was the room we had seemed nice and up to date but the bathroom was pretty 
dated. The floor and bath unreal slippy to which I found out the rough way. 
Thats was the only downer. The staff were nice and friendly and its was 
clean and tidy!Read moreDate of stay: January 2019HelpfulShare</t>
  </si>
  <si>
    <t>rally5 wrote a review Jan 2019United Kingdom195 contributions53 helpful 
votes</t>
  </si>
  <si>
    <t>Ideal central locationWe stayed 2 nights with breakfast in superior room on 6 th flour. We had 
quiet room, no foot traffic noise, excellent room fresh linen and towels. 
Staff really friendly and helpful. Excellent luggage leaving area well 
managed. Such a bonus. Can walk to anywhere from here but 3 good 
underground lines within 6 min walk in different directions. Near shops, 
seven sisters, food outlets and felt safe.Read moreReview collected in 
partnership with TravelodgeDate of stay: January 2019HelpfulShare</t>
  </si>
  <si>
    <t>https://www.tripadvisor.co.uk/Hotel_Review-g186338-d193057-Reviews-or1755-Travelodge_London_Covent_Garden-London_England.html#REVIEWS</t>
  </si>
  <si>
    <t>Debbie S wrote a review Jan 2019Sandwich, United Kingdom472 contributions94 
helpful votes</t>
  </si>
  <si>
    <t>PerfectStayed here New Year’s Eve with family. Our room was nice, clean and roomy 
and a nice clean bathroom. What makes this place so great is the location 
and the fact that they have a nice bar which we made good use of after 
leaving Somerset House after the firework display! Not many Travelodge have 
lounge areas so it is really nice to be able to sit and have a coffee or a 
drink. Reception staff were lovely. We have stayed here a couple of times 
and every time it’s been just great.Read moreDate of stay: January 20191 
Helpful voteHelpfulShare</t>
  </si>
  <si>
    <t>MrsBakingBull wrote a review Jan 2019Dorchester, United Kingdom9 
contributions</t>
  </si>
  <si>
    <t>Fantastic LocationWe booked this Travelodge for one night as part of a weekend away for my 
Mum’s birthday - we had tickets for 42nd Street. The location is absolutely 
fantastic for theatre land and exploring Covent Garden, the staff were 
friendly and the breakfast was tasty and good value. The room was 
immaculate, if a bit basic, and on a quiet floor which was perfect. The 
staff also made sure we had rooms next to each other which was a nice 
touch. Would highly recommend, although you need to keep an eye on prices 
as they vary widely. We managed to get a ridiculously cheap deal for the 
location so this was great value for money.Read moreDate of stay: January 
2019HelpfulShare</t>
  </si>
  <si>
    <t>Dreamer16774469276 wrote a review Jan 20191 contribution</t>
  </si>
  <si>
    <t>a French girl in LondonThis travellodge is in a great location if you want to discover the city 
center of London as I did, I did not even have to take the metro, I did 
everything on foot.My room was spacious and comfortable, with no noise.The 
staff was available and patient because I am French and therefore I do not 
speak the language well.Read moreReview collected in partnership with 
TravelodgeDate of stay: January 2019HelpfulShare</t>
  </si>
  <si>
    <t>https://www.tripadvisor.co.uk/Hotel_Review-g186338-d193057-Reviews-or1760-Travelodge_London_Covent_Garden-London_England.html#REVIEWS</t>
  </si>
  <si>
    <t>Monica wrote a review Jan 2019Poole, United Kingdom1 contribution</t>
  </si>
  <si>
    <t>Fab location &amp; great staff.Great location. Breakfast was excellent value for money. brilliant luggage 
holding facility &amp; free of charge!! Staff were great it was a shame the 
self service machines (for checking in) were out of order. The que was 
quite long which the staff got through very quickly &amp; efficiently which is 
why I didn’t give them a lower score. I just felt for the staff as it must 
have been extra pressure for them.Read moreReview collected in partnership 
with TravelodgeDate of stay: January 2019HelpfulShare</t>
  </si>
  <si>
    <t>Jacob D wrote a review Jan 2019Bath, United Kingdom3 contributions2 helpful 
votes</t>
  </si>
  <si>
    <t>Well oiled machine.Being an employee with this company, I can't help but look into the little 
details when I stay at hotels other than my own. I can honestly say that 
the team at covent garden put other travelodges I've stayed in to shame. 
The assistant manager who checked me in to my room (Black gentleman who was 
training someone on reception whose name I've forgotten) was someone I 
wished worked with me at my tiny hotel. Goes to show what a budget hotel is 
made off when managed correctly. Will be first choice from here on out.Read 
moreDate of stay: January 2019HelpfulShare</t>
  </si>
  <si>
    <t>mags66 wrote a review Jan 2019glasgow15 contributions3 helpful votes</t>
  </si>
  <si>
    <t>Freezing cold roomRoom was freezing cold but thought it might heat up once we were in it. 
Came back in late after a show still cold, contacted the reception not once 
but three times to ask for a heater. A member of staff came up to try and 
increase the thermostat, when that didn’t work we were told it must be 
broke and he’d arrange for a heater........No heater materialised Very poor 
service TravelodgeRead moreDate of stay: January 2019HelpfulShareResponse 
from TravelodgeUK, Charley from the Social Media Team at Travelodge London 
Covent GardenResponded 4 Feb 2019Thank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</si>
  <si>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https://www.tripadvisor.co.uk/Hotel_Review-g186338-d193057-Reviews-or1765-Travelodge_London_Covent_Garden-London_England.html#REVIEWS</t>
  </si>
  <si>
    <t>Winger37 wrote a review Jan 2019Newport, United Kingdom1 contribution</t>
  </si>
  <si>
    <t>Short Break2 Nights Bed &amp; Breakfast in SuperRoom. Great hotel for value and location! 
Easy check in and Room Ok, although smaller than expected and didn’t seem 
like a king size bed. There was also a stain on mattress that was visible 
through bedsheet which was off putting. Would have liked room to be fully 
replenished properly on cleaning ie tea/coffee and even a spare toilet roll 
‘just in case’! Don’t bother with the WiFi, not worth it. Breakfast was 
fine and as expected and checkout was easy too! The Positives definitely 
outweigh the Negatives so would definitely stay there again on next 
visit!Read moreDate of stay: January 2019HelpfulShare</t>
  </si>
  <si>
    <t>Voyage19743863150 wrote a review Jan 2019Peterborough, United Kingdom1 
contribution</t>
  </si>
  <si>
    <t>Good for a budget, but definitely lacking small touchesGood central location to everything in covent garden. Parking is possible 
and you get a discount from the hotel, however the parking lot smells 
strongly of urine- hold your breathing the stairwell! Breakfast was 
adequate, but lacking in quality some areas (eggs, fruit). Room had mostly 
clean feel, but could have been better.Read moreReview collected in 
partnership with TravelodgeDate of stay: December 2018HelpfulShareResponse 
from TravelodgeUK, Charley from the Social Media Team at Travelodge London 
Covent GardenResponded 6 Feb 2019Thank you for taking the time to review 
our London Covent Garden hotel. We are sorry to hear that your experience 
was spoiled in particular by the smell of the parking lot as well as the 
quality of the bar cafe food available. On the other hand we're pleased to 
hear that you found the hotel to be in a good central location for your 
needs. We have passed on your comments and they will help us improve, in 
the meantime we would hope to welcome you again in the future and give us 
the opportunity to offer a fully enjoyable stay.Read more</t>
  </si>
  <si>
    <t>https://www.tripadvisor.co.uk/Hotel_Review-g186338-d193057-Reviews-or1770-Travelodge_London_Covent_Garden-London_England.html#REVIEWS</t>
  </si>
  <si>
    <t>johnhI8551WD wrote a review Jan 2019London, United Kingdom2 contributions</t>
  </si>
  <si>
    <t>Travelodge Covent GardenWonderful experience would highly recommend,staff,room,bar all exceptional 
once again thank you for everything. If visiting London or any British 
city/town search out a Travelodge you will not be disappointed.Read 
moreReview collected in partnership with TravelodgeDate of stay: January 
2019HelpfulShare</t>
  </si>
  <si>
    <t>nardine z wrote a review Jan 20192 contributions</t>
  </si>
  <si>
    <t>Not recommendedWorst hotel experience ever! Rooms are smaller than they look, breakfast is 
very poor. Cleaning service was not good, the room and bathroom smiled even 
after cleaning. The bed sheets and towels smelled bad and had stains.Read 
moreDate of stay: December 2018HelpfulShareResponse from TravelodgeUK, 
Charley from the Social Media Team at Travelodge London Covent 
GardenResponded 4 Feb 2019Thank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</si>
  <si>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Cellist2 wrote a review Jan 2019Mellor, United Kingdom10 contributions1 
helpful vote</t>
  </si>
  <si>
    <t>Good hotelSuperbly located hotel for WestEnd, clean practical 'super rooms', teenaged 
boys upgraded at no extra cost. Breakfast adequate but for some reason 
youngest son didn't enjoy it! Would have liked to have seen a few 
'Continental' options. Would recommend for a short stay in London.Read 
moreDate of stay: January 2019HelpfulShare</t>
  </si>
  <si>
    <t>https://www.tripadvisor.co.uk/Hotel_Review-g186338-d193057-Reviews-or1775-Travelodge_London_Covent_Garden-London_England.html#REVIEWS</t>
  </si>
  <si>
    <t>Olivia H wrote a review Jan 20192 contributions</t>
  </si>
  <si>
    <t>Great location! Lovely staff!Me and my partner visited from the 23rd of December to the 26th of December 
and had a lovely stay! It is very well located and the room was very big 
and spacious! We would recommmend the hotel highly! Although, if you were 
looking for breakfast I would venture out as the breakfast was poor.Read 
moreReview collected in partnership with TravelodgeDate of stay: December 
2018HelpfulShare</t>
  </si>
  <si>
    <t>Jenni W wrote a review Jan 2019Nottingham63 contributions11 helpful votes</t>
  </si>
  <si>
    <t>As you would expectBog standard travelodge but only cost £49 for our stay midweek so in London 
a bargain. Very big so queued to check in and check in machines not 
working. Room clean and standard. Bed comfy. No issues and nothing special 
but good for this sort of place. Staff on receptions friendly.Read moreDate 
of stay: January 2019HelpfulShare</t>
  </si>
  <si>
    <t>Sightsee04060944916 wrote a review Jan 20191 contribution</t>
  </si>
  <si>
    <t>Great location, decent hotelLocation was perfect, walking distance to everywhere in central London.. 
tube 1 min walk (Piccadilly + Central), lots of buses. Only con was that 
the fire alarm went on 3 times on the early morning hours.. It was our 
first time staying there..so hopefully it was an one off event. Staff was 
kind. Would definitely go back on my next visit to London.Read moreReview 
collected in partnership with TravelodgeDate of stay: December 
2018HelpfulShare</t>
  </si>
  <si>
    <t>Cruiser25169310033 wrote a review Jan 20191 contribution</t>
  </si>
  <si>
    <t>Excellent value for moneyThe manager was so helpful l would stay there again no better hotel for 
that price in heart of London The hotel is exactly how they advertise first 
class amazing I wish I could’ve stayed there for a monthRead moreReview 
collected in partnership with TravelodgeDate of stay: December 
2018HelpfulShare</t>
  </si>
  <si>
    <t>https://www.tripadvisor.co.uk/Hotel_Review-g186338-d193057-Reviews-or1780-Travelodge_London_Covent_Garden-London_England.html#REVIEWS</t>
  </si>
  <si>
    <t>Cruiser59473124526 wrote a review Jan 20191 contribution</t>
  </si>
  <si>
    <t>Loud noise from water system in bathroom and poor customer service from the 
managerThere was a loud noise constantly coming from the bathroom very often 
throughout the night which meant we did not get much sleep.Upon checkout, 
the manager did not come to speak to us after we showed the video of the 
noise to the receptionist and did not seem to care about resolving our 
issue or the issue in the room for future guests. Very surprising and a 
disappointing end to the night. Hotel was in a great location and clean and 
all other staff were polite and helpful - just very poor customer service 
from the manager!Read moreReview collected in partnership with 
TravelodgeDate of stay: December 2018HelpfulShare</t>
  </si>
  <si>
    <t>LHBerk wrote a review Jan 2019London, United Kingdom241 contributions103 
helpful votes</t>
  </si>
  <si>
    <t>Good locationI guess you can't expect much from a budget hotel, apart from cleanliness. 
This hotel was clean, the breakfast was OK and the location was superb. 
However, they just don't compare to Premier Inn. The bedroom didn't seem to 
have double glazing, as it was incredibly noisy all night long.Read 
moreDate of stay: January 2019HelpfulShare</t>
  </si>
  <si>
    <t>Button wrote a review Jan 20191 contribution</t>
  </si>
  <si>
    <t>New year and new years day break.Have not stayed in a Travelodge in London preciously. We were very 
impressed with the friendly staff.. that went that extra mile for the 
customer to make our stay perfect. Very clean and beds were comfy for a 
good nights sleep. We also enjoyed the full breakfast, which was fresh and 
reasonably priced. Will Defiantly be staying again :)Read moreDate of stay: 
January 2019HelpfulShare</t>
  </si>
  <si>
    <t>Curious07713618253 wrote a review Jan 20191 contribution</t>
  </si>
  <si>
    <t>Travelodge Covent Garden Xmas StayBooked for Hotel Covent Garden for 22nd December as perfect location for 
west end lights and theatres. Hotel room perfect for a family of 3. Double 
bed extra wide and single child's bed. Pillows a bit too firm for me, gave 
me neck ache but may suit others. Iron and ironing board in room - big 
plus. No walk in shower, only over bath and bathroom in need of a 
refurb.Restaurant area is also bar area - not really suitable for families 
from late afternoon onwards. Was full of single men 50/55. I wouldn't have 
felt comfortable sitting with 8 year old in there. Room fantastic for 
price.Read moreReview collected in partnership with TravelodgeDate of stay: 
December 2018HelpfulShare</t>
  </si>
  <si>
    <t>https://www.tripadvisor.co.uk/Hotel_Review-g186338-d1812157-Reviews-or285</t>
  </si>
  <si>
    <t>https://www.tripadvisor.co.uk/Hotel_Review-g186338-d193057-Reviews-or1785-Travelodge_London_Covent_Garden-London_England.html#REVIEWS</t>
  </si>
  <si>
    <t>Jason B wrote a review Jan 2019Morecambe6 contributions1 helpful vote</t>
  </si>
  <si>
    <t>Half term visitVisited October half term with two children. The family room was a decent 
size and was clean enough. It was within walking distance of Oxford Street, 
London Eye and of course, Covent Garden. Beds were comfortable and quiet. 
Problem with a fire alarm on our final morning and the key cards were hit 
and miss. Overall I would definitely stay again for the priceRead moreDate 
of stay: October 2018HelpfulShare</t>
  </si>
  <si>
    <t>Jags Singh wrote a review Jan 2019Bridlington, United Kingdom31 
contributions7 helpful votes</t>
  </si>
  <si>
    <t>Great location, average hotelStayed at the travelodge for New years eve, the location was really good 
very close to all bars and main attractions in Covent gardens. Also around 
a 15 min walk to the main firework event for NYE. The rooms were okay, what 
you expect from a travelodge. Had a few issues in the room; the ironing 
board had disgusting stains on it, something which should have been 
changed. Also there were not many plugs in the room and not enough near 
mirrors and the bed if you wanted to charge your phone etc. We are assuming 
that the steam from the shower set off the fire alarm in the room which 
caused a bit of panic, but there was a fast response from staff to see if 
we were okay. Ventilation in that room was not very good as we were located 
in the lower floor of the hotel. Overall a good…Read moreDate of stay: 
January 2019HelpfulShare</t>
  </si>
  <si>
    <t>https://www.tripadvisor.co.uk/Hotel_Review-g186338-d193057-Reviews-or1790-Travelodge_London_Covent_Garden-London_England.html#REVIEWS</t>
  </si>
  <si>
    <t>James R wrote a review Dec 2018Penryn, United Kingdom48 contributions14 
helpful votes</t>
  </si>
  <si>
    <t>Average hotel but in convenient locationI stayed in the Travelodge London Covent Garden for 2 nights at the start 
of December for a business trip. The hotel we easy to find and conveniently 
located between Covent Garden and Holborn tube stations and just a short 
walk from the British Museum (where I was for a conference). The hotel did 
offer everything that was needed for a very basic stay but the hotel is 
tired and run down. In my room the curtains did not cover the full drop of 
the window, the carpet was stained and the duvet cover would not fasten up 
to fit the duvet. The bathroom was clean but in need to a serious deep 
clean and upgrade. Generally, it was functional but very uninspired. WiFi 
connectivity was good but you only get a limited amount of time for free 
which in 2018 is started to become a rarity.…Read moreDate of stay: 
December 2018HelpfulShareResponse from TravelodgeUK, Shaf from the Social 
Media Team. at Travelodge London Covent GardenResponded 2 Jan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</si>
  <si>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David B wrote a review Dec 20189 contributions5 helpful votes</t>
  </si>
  <si>
    <t>Awful!From the first minute we walked into this hotel it has been the worst we 
have ever experienced in London and we visit several times a year. The 
reception staff were not at all welcoming, the decor is very dated tired 
despite the fact it has been recently refurbished, we have a deluxe room 
which is like a prison cell (small, cold &amp; bate) For over £200 for one 
night it is the worst ever experience and will never stay in a Travelodge 
ever again! Highly recommend anywhere else!Read moreDate of stay: December 
2018HelpfulShareResponse from TravelodgeUK, Shaf from the Social Media 
Team. at Travelodge London Covent GardenResponded 1 Jan 2019Thank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</si>
  <si>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https://www.tripadvisor.co.uk/Hotel_Review-g186338-d193057-Reviews-or1795-Travelodge_London_Covent_Garden-London_England.html#REVIEWS</t>
  </si>
  <si>
    <t>Anna I wrote a review Dec 20185 contributions</t>
  </si>
  <si>
    <t>Clean, comfortable hotel. Great night's sleep. Great Location for Central 
London AttractionsA great night's sleep was had in the annex to the main hotel. Family room 
was spacious, clean and comfortable and the street noise was surprisingly 
quiet for central London. Breakfast was a bit manic as very busy as the 
hotel was full but the staff worked really hard to clear tables quickly so 
that the wait time was minimized - only waited 5 mins for a table.Location 
- fantastic. Many attractions within walking and felt safe coming back late 
at night. Easy access to Leicester Square, Covent Garden, Green Park 
(Buckingham Palace), Trafalgar square.Read moreReview collected in 
partnership with TravelodgeDate of stay: December 2018HelpfulShare</t>
  </si>
  <si>
    <t>Mindy230 wrote a review Dec 2018West Yorkshire, United Kingdom70 
contributions21 helpful votes</t>
  </si>
  <si>
    <t>Top locationIt's a Travelodge so let's be clear you know what to expect, the question 
is are they able to maintain the the standard in a hotel with over 600 
rooms, alway full, constantly changing. The answer is yes, friendly staff, 
clean, comfortable rooms breakfast under pressure but ran mostly smoothly. 
A great central location in London, what more do you want ? Unfortunately 
the family rooms were in a different building to our super room, can't be 
helped. Cheery staff in the face of the sheer volume of people coming and 
going should be commended. A vending machine with a few more room luxuries 
as well as snacks would be useful, save trawling the streets at night for a 
shop. Well doneRead moreDate of stay: December 2018HelpfulShare</t>
  </si>
  <si>
    <t>LoopyLisa1971 wrote a review Dec 2018East Riding of Yorkshire, United 
Kingdom2 contributions</t>
  </si>
  <si>
    <t>Uncomfortable bedsWe had to plan 2 days of our 3 day break around the restricted bag drop off 
times. Bed was so uncomfortable. Lack of toilet roll. Cleaning could 
definitely be improved. Location is great. Would I stay here again, 
probably not.Read moreReview collected in partnership with TravelodgeDate 
of stay: December 2018HelpfulShareResponse from TravelodgeUK, Tilly from 
The Social Media Team at Travelodge London Covent GardenResponded 7 Jan 
2019May we thank you for submitting your review of our London Covent Garden 
hotel. We are so sorry to learn that you found our beds to be 
uncomfortable, please rest assured your comments have been noted and passed 
to the hotel team. We aim to provide a great stay for all of our guests and 
we would like to apologise that on this occasion you did not receive the 
best service possible. We do hope we are given the opportunity to regain 
your trust in Travelodge and you stay with us in the future.Read more</t>
  </si>
  <si>
    <t>https://www.tripadvisor.co.uk/Hotel_Review-g186338-d193057-Reviews-or1800-Travelodge_London_Covent_Garden-London_England.html#REVIEWS</t>
  </si>
  <si>
    <t>Lynzi C wrote a review Dec 2018Leicestershire, United Kingdom6 
contributions3 helpful votes</t>
  </si>
  <si>
    <t>theater breakvery clean and comfortable hotel.very close to theaters we were at the 
shaftesbury 2 minutes walk away. we had upgraded to super room well worth 
large room with good facilities. found the wifi which i had paid for to 
long winded to sign into so used own mobile data. found the drinks at the 
bar very reasonable and the breakfast well worth the money would certainly 
stay here again when in londonRead moreReview collected in partnership with 
TravelodgeDate of stay: December 2018HelpfulShare</t>
  </si>
  <si>
    <t>polska2017 wrote a review Dec 2018Broseley, United Kingdom13 contributions5 
helpful votes</t>
  </si>
  <si>
    <t>Last time I stay hereStayed many times due to price and location but this trip tested my 
patience to breaking point. Room not serviced despite 2 requests, toilet 
wouldn't flush, no soap, cold and tired room and guests. 2 night stay for 
cultural break.Read moreDate of stay: December 2018HelpfulShareResponse 
from TravelodgeUK, Charley from the Social Media Team at Travelodge London 
Covent GardenResponded 24 Jan 2019Thank you for taking the time to review 
our London Covent Garden Hotel.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</si>
  <si>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Ray_i_scott wrote a review Dec 2018Lytham St Anne's, United Kingdom35 
contributions21 helpful votes</t>
  </si>
  <si>
    <t>Super value over qualitySuper value rooms sacrificing quality over value . Too many little faults 
to mention. Slow checking and poor quality breakfast. Coffee machine 
leaked, extractor fan inoperative and slow checkin and cold breakfastRead 
moreReview collected in partnership with TravelodgeDate of stay: December 
2018HelpfulShareResponse from TravelodgeUK, Tilly from The Social Media 
Team at Travelodge London Covent GardenResponded 27 Jan 2019Thank you for 
taking the time to review our London Covent Garden.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</si>
  <si>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https://www.tripadvisor.co.uk/Hotel_Review-g186338-d193057-Reviews-or1805-Travelodge_London_Covent_Garden-London_England.html#REVIEWS</t>
  </si>
  <si>
    <t>HertsSkins wrote a review Dec 2018Hertfordshire, United Kingdom44 
contributions31 helpful votes</t>
  </si>
  <si>
    <t>overnight stayboxing day night stay, for the price was excellent £46 and great location. 
ok dont expect a view but a great place to stay cheap in heart london.didnt 
have breakfast but for under £9 is good value as can eat what you 
like.rooms are clean and for the price great value to see rest london. 
coffee and tea are supplied. if hair dryer needed ask at reception when 
booking in. iron board and iron is in rooms if needed. hotel has 2 
buildings quiet in the one we was in which was not main building.Read 
moreDate of stay: December 2018HelpfulShare</t>
  </si>
  <si>
    <t>Departure175132 wrote a review Dec 20181 contribution</t>
  </si>
  <si>
    <t>Lovely and convenient place to stay in central London.Handy for getting around central London &amp; Covent Garden and would recommend 
it. We had not been to this hotel before but would certainly return. 
Friendly staff in a comfortable environment and the breakfast is worth 
trying.Read moreReview collected in partnership with TravelodgeDate of 
stay: December 2018HelpfulShare</t>
  </si>
  <si>
    <t>Bruce J wrote a review Dec 2018Sheffield, United Kingdom170 contributions26 
helpful votes</t>
  </si>
  <si>
    <t>Over night stayGreat place to stay does exactly what it says on the tin at a reasonable 
price clean rooms and bathrooms pleasant staff even the breakfast isn’t 
that bad. Would definitely recommend if your visiting on a budget.Read 
moreDate of stay: December 2018HelpfulShare</t>
  </si>
  <si>
    <t>Gary D wrote a review Dec 2018Portsmouth, United Kingdom87 contributions8 
helpful votes</t>
  </si>
  <si>
    <t>Short StayWe have stayed in this accommodation many many times over the years and 
have never been disappointed. If you remember it’s a case of you get what 
you pay for, your fine The location is perfect close to Covent Garden &amp; 
Holborn tube stations However the date we chose to stay this time was 
pretty chaotic at check in. We had booked an early check in ‘super room’ &amp; 
arrived at the hotel (1230) only to be told our room wasn’t ready &amp; it 
would be 15 minutes. We were told to wait in the bar area. 30 minutes later 
I returned to the desk only to be told ‘still not ready’. I asked if they 
could please give us a tea/coffee (as we’d been travelling all night ) &amp; we 
were pointed to a bar area &amp; told ‘you can BUY one there !!!!! Eventually 
we got a key to our room at 1345. No sorry or an…Read moreDate of stay: 
December 2018HelpfulShare</t>
  </si>
  <si>
    <t>https://www.tripadvisor.co.uk/Hotel_Review-g186338-d193057-Reviews-or1810-Travelodge_London_Covent_Garden-London_England.html#REVIEWS</t>
  </si>
  <si>
    <t>Buzcharlie wrote a review Dec 2018Hove, United Kingdom14 contributions1 
helpful vote</t>
  </si>
  <si>
    <t>Excellent value in amazing locationWe thought our family room (which only cost £52) was fantastic value for 
money.The reception staff were very helpful.The only negative was the 
totally clueless barman who was worse than useless! Overall excellent value 
for money.Read moreReview collected in partnership with TravelodgeDate of 
stay: December 2018HelpfulShare</t>
  </si>
  <si>
    <t>Venture00214474413 wrote a review Dec 20181 contribution1 helpful vote</t>
  </si>
  <si>
    <t>Young, single and looking to mingleThe hotel was very good, automated log in service so I didn't have to wait. 
The views were amazing and the big buffet breakfast helped cure my hangover 
the next day. Would recommend for a short visit to London.Read moreReview 
collected in partnership with TravelodgeDate of stay: December 
2018HelpfulShare</t>
  </si>
  <si>
    <t>Navigator11240617026 wrote a review Dec 20181 contribution</t>
  </si>
  <si>
    <t>Great value for moneyOne night family break. Great value for money, nice friendly service, good 
location, with a good size comfortable family room. The staff were very 
helpful and were welcoming. Kid friendly with a number of families staying 
there.Read moreReview collected in partnership with TravelodgeDate of stay: 
December 2018HelpfulShare</t>
  </si>
  <si>
    <t>Lynette M C wrote a review Dec 2018Shepshed, England, United Kingdom6 
contributions1 helpful vote</t>
  </si>
  <si>
    <t>https://www.tripadvisor.co.uk/Hotel_Review-g186338-d1812157-Reviews-or290</t>
  </si>
  <si>
    <t>Travelodge covent gardenbudget hotel in great location at a fabulous price. booked for December in 
September after I got a discount code via my regular Travelodge email. 
Ultimately paid £106 for 2 nights in a family room in December in central 
London, cant argue with that! The hotel is split between two buildings but 
they are really close. The room was as I expected, spotless, as im the 
shortest in the family I slept on the 'put u up' bed and it was really 
comfy - proper mattress. I really appreciate the quality of mattresses at 
Travelodge. even though we were in central London, outside noise wasn't 
bad. Staff were friendly and helpful. Definitely use again and definitely 
recommendRead moreReview collected in partnership with TravelodgeDate of 
stay: December 2018HelpfulShare</t>
  </si>
  <si>
    <t>https://www.tripadvisor.co.uk/Hotel_Review-g186338-d193057-Reviews-or1815-Travelodge_London_Covent_Garden-London_England.html#REVIEWS</t>
  </si>
  <si>
    <t>Niels M wrote a review Dec 2018Copenhagen, Denmark28 contributions4 helpful 
votes</t>
  </si>
  <si>
    <t>Average but value for moneyThe location of this hotel is really good and the beds are nice. However, 
the rooms are and halls are small. We stayed in one of the annex buildings 
with no elevators, and so not a luggage friendly place. The service is not 
great. Otherwise a clean hotel and does the job. It's one of the cheaper 
hotels in an expensive city and you get what you pay for.Read moreDate of 
stay: November 2018HelpfulShare</t>
  </si>
  <si>
    <t>Danthetraveller13 wrote a review Dec 2018Newport, United Kingdom4 
contributions2 helpful votes</t>
  </si>
  <si>
    <t>Don’t book late checkoutI awoke with a migraine so my husband booked a late checkout. Four times 
staff woke me to see if the room was empty so absolute waste of time and 
money. When I complained no manager available and we had to leave. I was 
told I would be contacted by email right away. Not heard from anyone, great 
customer service! I also have to add that the room was not cleaned well, 
toilet brown in bottom from build up of lime. Long hair also in bathroom 
and we all have short hair. The room was very hot and the temperature could 
not be reduced below 18’. We only stayed here because our regular B&amp;B was 
booked.Read moreReview collected in partnership with TravelodgeDate of 
stay: December 2018HelpfulShareResponse from TravelodgeUK, Tilly from The 
Social Media Team at Travelodge London Covent GardenResponded 23 Jan 
2019Thank you for submitting your review of our London Covent Garden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</si>
  <si>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GavinWongUK wrote a review Dec 2018Hilversum, The Netherlands251 
contributions46 helpful votes</t>
  </si>
  <si>
    <t>As expectedI stay in a lot of hotels for work, and let’s face it, I was booking 
travelodge for a few days in London with the kids to keep the cost down. We 
were only going to be sleeping and showering there and that was pretty much 
it. The place is in a pretty good location for the price of the rooms to be 
fair, and is split across 2 buildings. Check in was fairly easy, though 
their own instructions on their booking confirmation sent us to the wrong 
building. We arrived earlier than check in and leaving your bags to get 
straight out was straight forward. Rooms are ok, seemed clean and 
everything worked ok. Family room was big enough for my 2 young kids. Both 
rooms were on the 2nd floor, and if you can, I’d suggest going higher up. 
Friday night was quite busy and a bit noisy even down the…Read moreDate of 
stay: December 2018HelpfulShareResponse from TravelodgeUK, Tilly from The 
Social Media Team at Travelodge London Covent GardenResponded 23 Jan 
2019Thank you for your feedback about our London Covent Garden hotel. We're 
pleased to hear that the majority of your stay was good. We will pass your 
comments to our hotel team and hope to welcome you back soonRead more</t>
  </si>
  <si>
    <t>https://www.tripadvisor.co.uk/Hotel_Review-g186338-d193057-Reviews-or1820-Travelodge_London_Covent_Garden-London_England.html#REVIEWS</t>
  </si>
  <si>
    <t>Coastal23665337446 wrote a review Dec 2018Essex, United Kingdom1 
contribution</t>
  </si>
  <si>
    <t>Could be betterGreat location for a London stay, Theatre, comedy club and bars right on 
your doorstep but room lacking any class or finesse for London... for 
£30/40 more I could of/should of stayed somewhere else.. plus no free 
parkingRead moreReview collected in partnership with TravelodgeDate of 
stay: December 2018HelpfulShare</t>
  </si>
  <si>
    <t>FarAway23992648426 wrote a review Dec 2018Harrogate, United Kingdom1 
contribution</t>
  </si>
  <si>
    <t>Perfect locationVery clean &amp; tidy rooms have everything you need, staff members extremely 
helpful, perfect location for Covent Garden. Piccadilly line tube station a 
short walk away easy access to explore central London. Highly recommend for 
value for money.Read moreReview collected in partnership with 
TravelodgeDate of stay: December 2018HelpfulShare</t>
  </si>
  <si>
    <t>Kirstin K wrote a review Dec 20181 contribution</t>
  </si>
  <si>
    <t>Value for moneyWhen booking travelodge you know that everyone will have the same standard 
of room spec. Same services. Etc.. What makes each different is the 
location of the hotel and this one is perfect for London as Central to 
everythingRead moreDate of stay: December 2018HelpfulShare</t>
  </si>
  <si>
    <t>Brian Hopkins wrote a review Dec 20182 contributions8 helpful votes</t>
  </si>
  <si>
    <t>Goodnight SleepVery nice and clean, great service and we all had a good stay. Lovely 
little television on the wall and kettle for a brew which I thought was a 
nice touch. Will be using it again soon. Highly recommendRead moreDate of 
stay: December 2018HelpfulShare</t>
  </si>
  <si>
    <t>Passenger65375707850 wrote a review Dec 2018Lewes, United Kingdom1 
contribution1 helpful vote</t>
  </si>
  <si>
    <t>Poor booking systemsMediocre in every respect apart from the booking process which failed 
completely when using the phone. They reserved money three times on my card 
and still did not manage to book the rooms for me. In the end Imused PayPal 
which worked. I still don’t know when they will clear the “pending “ 
transactionsRead moreReview collected in partnership with TravelodgeDate of 
stay: December 20181 Helpful voteHelpfulShareResponse from TravelodgeUK, 
Molly from the Social Media Team at Travelodge London Covent 
GardenResponded 26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</si>
  <si>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https://www.tripadvisor.co.uk/Hotel_Review-g186338-d193057-Reviews-or1825-Travelodge_London_Covent_Garden-London_England.html#REVIEWS</t>
  </si>
  <si>
    <t>kholex wrote a review Dec 2018Cheltenham, United Kingdom272 contributions56 
helpful votes</t>
  </si>
  <si>
    <t>Great locationStayed here for one night as we had a work event nearby. Great location, 
lots of restaurants nearby and fab for exploring London. Didn’t notice a 
lot of noise at night. Not cheap, but cheap for a Friday night in London I 
suppose! Room clean and a decent size. Would book again if in the area!Read 
moreDate of stay: December 2018HelpfulShare</t>
  </si>
  <si>
    <t>Alejandra C wrote a review Dec 2018Worthing, United Kingdom5 contributions4 
helpful votes</t>
  </si>
  <si>
    <t>Value for money, great location, super clean!Perfect stay, perfect location, money for value!!!Breakfast was just spot 
in for adults and kids, with both healthy and more hearty options.Staff st 
the family hotel side were more friendly and warming Thant the main site, 
but that’s just me if I had to pick on something!!Will return!!Read 
moreReview collected in partnership with TravelodgeDate of stay: December 
2018HelpfulShare</t>
  </si>
  <si>
    <t>Ian L wrote a review Dec 2018Chesterfield, United Kingdom1 contribution</t>
  </si>
  <si>
    <t>Pre-Christmas tripI spent a couple of nights here the week before Christmas 2018. I chose it 
for its location close to theatres and Covent Garden. The room was basic 
(what I expected) but clean, quiet and comfortable. I had limited contact 
with the staff but found them helpful and pleasant.Read moreReview 
collected in partnership with TravelodgeDate of stay: December 
2018HelpfulShare</t>
  </si>
  <si>
    <t>Dreamer267661 wrote a review Dec 2018Bracknell, United Kingdom1 contribution</t>
  </si>
  <si>
    <t>excellent locationExcellent location for the west end and surrounding areas. We had some 
issue with lift noise, avoid room 201, but asked if another room was 
available and had our room changed straight away, staff friendly and room 
well equiped for our needs.Read moreReview collected in partnership with 
TravelodgeDate of stay: December 2018HelpfulShare</t>
  </si>
  <si>
    <t>GoPlaces65030696869 wrote a review Dec 20181 contribution</t>
  </si>
  <si>
    <t>One nightStayed one night, the hotel is clean and tidy, breakfast was reasonable, 
reception look nice, room was very average and cold, had an air 
conditioning unit, but couldn’t get any warmth from it, the hotel was ok 
for one night, if we were staying longer I would of asked to move rooms, 
staff at reception were ok but liked to each other rather them serve the 
customersRead moreReview collected in partnership with TravelodgeDate of 
stay: December 2018HelpfulShareResponse from TravelodgeUK, Shaf from the 
Social Media Team. at Travelodge London Covent GardenResponded 20 Dec 
2018Thank you for reviewing our London Covent Garden Travelodge. We're 
pealed to hear the general cleanliness was up to standards. We're really 
sorry to learn the room was cold and we can assure you this is not the 
customer service we strive for.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</si>
  <si>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https://www.tripadvisor.co.uk/Hotel_Review-g186338-d193057-Reviews-or1830-Travelodge_London_Covent_Garden-London_England.html#REVIEWS</t>
  </si>
  <si>
    <t>Sue OR wrote a review Dec 2018Southampton, United Kingdom2 contributions</t>
  </si>
  <si>
    <t>Would stay againConvent Garden Travelodge is situated in a convenient location and within 
walking distance of most attractions. 20 minute easy walk from Waterloo 
Station and the underground is withing a 5 minute walk. Excellent location 
for Covent Garden Market and the ROH.This is the 2nd time we have stayed 
here and have always found the staff friendly and the rooms 
comfortable.Read moreReview collected in partnership with this hotelDate of 
stay: December 2018HelpfulShare</t>
  </si>
  <si>
    <t>abir wrote a review Dec 2018London, United Kingdom6 contributions1 helpful 
vote</t>
  </si>
  <si>
    <t>Luggege Area serviceThe boy name is Fokrul, I saw him He is very happy and smiling face just 
awesome. He gave me a Chrismast card, I was really surprised about that. I 
am really happy with him. I think he is best of them. Thanks a lot.Read 
moreDate of stay: December 20181 Helpful voteHelpfulShare</t>
  </si>
  <si>
    <t>Navigate53630492466 wrote a review Dec 2018Bridlington, United Kingdom1 
contribution</t>
  </si>
  <si>
    <t>Trip to pantomimeClose enough to walk to the theatre and most other places. If not get an 
Uber. Hotel was clean and tidy. Bar a bit chaotic Friday and Saturday night 
especially at happy hour�� Food very good especially breakfast excellent 
selection.Read moreReview collected in partnership with this hotelDate of 
stay: December 2018HelpfulShare</t>
  </si>
  <si>
    <t>Niel M wrote a review Dec 2018Newcastle, Australia136 contributions23 
helpful votes</t>
  </si>
  <si>
    <t>Nice Place to Stay in the Centre of LondonLocation, Location, Location. It is located at the very heart of London 
with shops, public transport, major attractions within a walking distance. 
The room was tidy and clean, breakfast might not be great but good.Read 
moreDate of stay: October 2018HelpfulShare</t>
  </si>
  <si>
    <t>https://www.tripadvisor.co.uk/Hotel_Review-g186338-d193057-Reviews-or1835-Travelodge_London_Covent_Garden-London_England.html#REVIEWS</t>
  </si>
  <si>
    <t>Philip W wrote a review Dec 2018Liverpool, United Kingdom21 contributions9 
helpful votes</t>
  </si>
  <si>
    <t>Christmas shoppingWe have used this hotel several times before, this is the 1st time we were 
disappointed. On the plus the location is fantastic located between 
Covenant Garden and Holborn underground stations.Now the badThe building 
was never designed as a hotel. It’s a converted office building as such 
rooms are all sorts of shapes. Our 2nd room was about 20’long (6m) with the 
exception of where the bed was the room was only 3’ (0.9m) wide. Toilet in 
1st room was brown, TV didn’t work. Room was in an annex and the hall 
smelled of drains.Our second room was dirty. The bed was very uncomfortable 
though that was clean. Shower drain was partially blocked which caused 
shower to over flow and flood bathroom which in turn caused seals to go 
black .Extractor fan wasn’t running properly so water ran…Read moreReview 
collected in partnership with TravelodgeDate of stay: December 
2018HelpfulShareResponse from TravelodgeUK, Molly from the Social Media 
Team at Travelodge London Covent GardenResponded 20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</si>
  <si>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yorkshirelasses2018 wrote a review Dec 2018North Yorkshire, United 
Kingdom26 contributions7 helpful votes</t>
  </si>
  <si>
    <t>London overnightGreat visit staying here, close to Theatre, shops, bars and dining areas, 
friendly staff, clean and comfortable room, no problems whatsoever, smooth 
check in and out, couldn't fault our stay here, ThankyouRead moreReview 
collected in partnership with this hotelDate of stay: December 
2018HelpfulShare</t>
  </si>
  <si>
    <t>Peter H wrote a review Dec 2018Ipswich, United Kingdom18 contributions11 
helpful votes</t>
  </si>
  <si>
    <t>Dirty TravelodgeMy first room was not made up and smelt of vomit and sewage! Second room 
had hairs on the bed sheet, stain on mattress, window would not close 
properly (11th floor). Kettle was filthy, sink was loose on the wall. we 
slept on towels as sheets were suspect! Travelodge - don't bother!!Read 
moreReview collected in partnership with TravelodgeDate of stay: December 
2018HelpfulShareResponse from TravelodgeUK, Tilly from The Social Media 
Team at Travelodge London Covent GardenResponded 23 Dec 2018Thank you for 
submitting your review of our London Covent Garden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</si>
  <si>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https://www.tripadvisor.co.uk/Hotel_Review-g186338-d1812157-Reviews-or295</t>
  </si>
  <si>
    <t>npr1uk wrote a review Dec 2018Mansfield, United Kingdom295 contributions88 
helpful votes</t>
  </si>
  <si>
    <t>Decent location and surprisingly quietHotel is in a decent location and my room on 11th floor was surprisingly 
quiet. Holborn tube is 5 minutes walk away. Room ok although double was two 
singles pushed together and no plug sockets by the bed.Read moreDate of 
stay: December 2018HelpfulShareResponse from TravelodgeUK, Molly from the 
Social Media Team at Travelodge London Covent GardenResponded 20 Dec 
2018Thank you for your review. We'e pleased to hear that you found the 
location of the Hotel to be convenient for your stay, and your room was 
peaceful despite the Hotels central location. Being a budget Hotel brand, 
we believe that we provide all the necessary facilities to ensure a 
comfortable stay, for value. However we are always looking to improve the 
services we offer and we will pass your comments on to the relevant team. 
Thank you again for your review.Read more</t>
  </si>
  <si>
    <t>Freeztech Limited. Tony wrote a review Dec 2018Folkestone, United Kingdom55 
contributions20 helpful votes</t>
  </si>
  <si>
    <t>Cold RoomThe room was very basic, which is all we required really. The room was vey 
cold and the bedding very thin. Only one little electric heater in the 
room. Simply not man enough! Both of us were cold all night, and room very 
noisy from traffic outside. Terrible nights sleep. Breakfast ok. Won’t be 
visiting again.Read moreDate of stay: December 2018HelpfulShareResponse 
from TravelodgeUK, Tilly from The Social Media Team at Travelodge London 
Covent GardenResponded 23 Dec 2018Thank you for submitting your review of 
our London Covent Garden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</si>
  <si>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https://www.tripadvisor.co.uk/Hotel_Review-g186338-d193057-Reviews-or1840-Travelodge_London_Covent_Garden-London_England.html#REVIEWS</t>
  </si>
  <si>
    <t>Caroline R wrote a review Dec 20185 contributions1 helpful vote</t>
  </si>
  <si>
    <t>Good value basic accommodation for central LondonThe hotel is on split sites and it would be good to know in advance which 
site I had booked. The rooms were clean,the bed was very comfortable and 
the breakfast was excellent. It was a very cold room and the extractor fan 
in the bathroom was on all night so was noisy but that wasn't a real 
problem to me. Nice to have bath and shower. My room was very long with TV 
a very long way from the bed which made odd viewing. No glass in the room 
which I found disappointing as I like to have water by my bed and I need to 
take medication. My colleagues also had no glass - is this a Travelodge 
thing?Good value. Would stay again (and take my own glass next time).Read 
moreDate of stay: December 2018HelpfulShare</t>
  </si>
  <si>
    <t>ANDREW F wrote a review Dec 20181 contribution</t>
  </si>
  <si>
    <t>Some nigglesA Few bad points have crept in the super rooms, no working kettle in four 
days, no glasses (G+t not the same in china mugs) poor shower gel, no 
tissues in bathroom, hairdyer didn't reach far enough.Everything else as 
good as the other times we have stayedRead moreReview collected in 
partnership with TravelodgeDate of stay: December 2018HelpfulShareResponse 
from TravelodgeUK, Molly from the Social Media Team at Travelodge London 
Covent GardenResponded 19 Dec 2018Thank you for your feedback. We are sorry 
to learn that you were unimpressed with the facilities in your room. Being 
a budget Hotel brand, we believe that we provide all the necessary 
facilities to ensure a comfortable stay, for value. However we are always 
looking to improve the services we offer and we will pass your comments on 
to the relevant team. Thank you again for your review.Read more</t>
  </si>
  <si>
    <t>https://www.tripadvisor.co.uk/Hotel_Review-g186338-d193057-Reviews-or1845-Travelodge_London_Covent_Garden-London_England.html#REVIEWS</t>
  </si>
  <si>
    <t>Andy F wrote a review Dec 2018Darlington, United Kingdom17 contributions1 
helpful vote</t>
  </si>
  <si>
    <t>Outside noise spoilt stayHotel itself was located in central London.Stayed in family room.Room 
itself was clean but needs updating. You can hear every bit of outside 
noise hence windows need changing to double glazed.We backed onto a 
building site which operated all weekend. Apart from that the staff were 
great and the breakfasts were spot on.....Read moreDate of stay: December 
2018HelpfulShareResponse from TravelodgeUK, Tilly from The Social Media 
Team at Travelodge London Covent GardenResponded 20 Dec 2018Thank you for 
your feedback about our London Covent Garden hotel. Your comments are 
greatly appreciated. We are sorry to learn that external noise has affected 
the comfort of your stay. We do apologise that on this occasion you did not 
receive the best experience possible. We are pleased to hear that the 
location of the hotel was good for you, our hotel team were great and you 
enjoyed breakfast Thank you again for writing your review, we value your 
feedback and hope you stay with us in the future.Read more</t>
  </si>
  <si>
    <t>Norman A wrote a review Dec 2018Hornsea5 contributions6 helpful votes</t>
  </si>
  <si>
    <t>Great base for being a touristBrilliant hotel at a very reasonable rate. The staff are both helpful and 
friendly. The rooms are clean and comfortable with good showers and heating 
controls (ours was a winter visit).The food was very good and plentiful. We 
will definitely be back.Read moreReview collected in partnership with 
TravelodgeDate of stay: December 2018HelpfulShare</t>
  </si>
  <si>
    <t>Alan C wrote a review Dec 2018Doncaster, United Kingdom125 contributions40 
helpful votes</t>
  </si>
  <si>
    <t>Relax and wind downNo better place to relax and wind down after a day in business meetings or 
after shopping. Excellent staff who are knowledgeable and friendly. The 
evening dinner was great value for central London and the eat all you can 
breakfast was of excellent quality and lived up to expectations.Read 
moreDate of stay: December 2018HelpfulShare</t>
  </si>
  <si>
    <t>Daggle wrote a review Dec 2018Scarborough, United Kingdom121 
contributions67 helpful votes</t>
  </si>
  <si>
    <t>Great Central LocationStayed here for a long weekend whilst visiting to see a West End Musical. 
It’s been a while since I stayed in a Travelodge and I must say they have 
upped their game, my memory’s include small rooms uncomfortable beds and 
basic bordering on sparse facilities but this time our room (admittedly we 
paid extra for a ‘super room’) was fully equipped including a decent 
hairdryer ironing board and iron, a capsule type coffee machine kettle and 
selection of drinks, the chocolate bars were an especially nice touch. The 
bed was lovely and comfortable and the shower room had all we needed. 
Breakfast was also a nice surprise with fresh fruit and yoghurts cereals 
and pastries alongside a full cooked British breakfast selection, the 
Lavvaza coffee machines were great and the staff efficient…Read moreDate of 
stay: December 2018HelpfulShare</t>
  </si>
  <si>
    <t>https://www.tripadvisor.co.uk/Hotel_Review-g186338-d193057-Reviews-or1850-Travelodge_London_Covent_Garden-London_England.html#REVIEWS</t>
  </si>
  <si>
    <t>iianc wrote a review Dec 2018Redhill, United Kingdom74 contributions25 
helpful votes</t>
  </si>
  <si>
    <t>Good price for locationWe stayed only for one night and did not take the breakfast option. It is 
situated in the heart of London, very close to Covent garden. The room we 
had was 'super', it was ok. Good sound insulation from the busy and noisy 
outside world. The bed was comfortable and the shower ok...could do with a 
boost, but I am being fussy. For the price I paid, good deal, great place 
for the centre of London. Only complaint , stained carpet in the bedroom, 
red wine?? Worth a stay if you get a dealRead moreDate of stay: December 
2018HelpfulShare</t>
  </si>
  <si>
    <t>Escape66357907624 wrote a review Dec 20181 contribution</t>
  </si>
  <si>
    <t>Absolutely brilliant staff very efficient, room was lovely and clean. 
Breakfast was very good. Hotel is perfect locationHotel is in a perfect location so not many buses to see everything. Not far 
to hippodrome casino theatre �� where myself and friends went to see a 
show. The hotel was lovely and warm went we returned and the bar was still 
open which was a added bonus.Read moreReview collected in partnership with 
TravelodgeDate of stay: December 2018HelpfulShare</t>
  </si>
  <si>
    <t>Dunk1971 wrote a review Dec 2018Leamington Spa, United Kingdom1 contribution</t>
  </si>
  <si>
    <t>Travelodge Covent GardenThough you can submit pictures to show a bad room, you cant submit sound 
files to show bad acoustics. If they offer you the U rooms for your 
pre-booked stay, run a mile. The constant drone is a joke. Not fun.Read 
moreDate of stay: December 2018HelpfulShareResponse from TravelodgeUK, 
Molly from the Social Media Team at Travelodge London Covent 
GardenResponded 16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</si>
  <si>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peter j wrote a review Dec 201810 contributions13 helpful votes</t>
  </si>
  <si>
    <t>PedroSecond visit this year with my wife.we always stop at the high holborn 
Travelodge seem more friendly and you can walk to every landmark from 
here.would recommend imperial war museum after going to borough market.the 
only gripe we had and others to was young bar staff not trained 
properly,didn't no what gin was ,and put my gin in pint pot.but the staff 
on in April were brill.its not the Ritz but clean and most staff okay.Read 
moreDate of stay: November 20181 Helpful voteHelpfulShare</t>
  </si>
  <si>
    <t>https://www.tripadvisor.co.uk/Hotel_Review-g186338-d193057-Reviews-or1855-Travelodge_London_Covent_Garden-London_England.html#REVIEWS</t>
  </si>
  <si>
    <t>Companion13586498758 wrote a review Dec 20182 contributions1 helpful vote</t>
  </si>
  <si>
    <t>Lots of added extrasBeware the price you initially pay isn’t what you’ll end up paying. Many 
added extras I’d come to expect from similar hotels - long queues, large 
early checkin fees (even up to an hour before), no hairdryer, impatient / 
rude cleaning staff despite sign on doorRead moreReview collected in 
partnership with TravelodgeDate of stay: December 20181 Helpful 
voteHelpfulShareResponse from TravelodgeUK, Molly from the Social Media 
Team at Travelodge London Covent GardenResponded 16 Dec 2018Thank you for 
your review. We do charge £10.00 for an early check in, which entitles you 
to check in from 12 midday. We are sorry to hear if you were disappointed 
with this. As a budget hotel brand, we believe that we provide all the 
necessary facilities to ensure a comfortable stay, for value. Please note 
that hair dryers can be requested from reception. We're really sorry to 
hear that you found the Housekeeping Team to be impolite. We hope to 
demonstrate a high standard of genuine customer care to all of our guests 
throughout their stay, and we're really disappointed to learn this was not 
achieved. Thank you again for your feedback. We hope you will chose to stay 
with us in the future, where we will endeavour to restore your faith in 
Travelodge.Read more</t>
  </si>
  <si>
    <t>noblesness wrote a review Dec 2018Chester, United Kingdom214 
contributions60 helpful votes</t>
  </si>
  <si>
    <t>Good location &amp; spacious roomThis was my second time staying in a Travelodge Super room but first time 
in this hotel &amp; again it was a good experience. Initially I went into the 
wrong Travelodge as there is another one just around the corner but the 
kind receptionist checked me in &amp; pointed me in the right direction. The 
room was a good size &amp; I loved the extras that come with a superroom - the 
Kit Kats &amp; coffee machine. A little noise from the room but that can be 
forgiven as it is such a central location. Have already booked to stay 
again in the New Year - great location for a number of theatres &amp; eating 
establishments. Only a short walk or bus from Regent Street!Read moreDate 
of stay: November 2018HelpfulShare</t>
  </si>
  <si>
    <t>https://www.tripadvisor.co.uk/Hotel_Review-g186338-d193057-Reviews-or1860-Travelodge_London_Covent_Garden-London_England.html#REVIEWS</t>
  </si>
  <si>
    <t>António M wrote a review Dec 20181 contribution</t>
  </si>
  <si>
    <t>AverageCentral location. Confortable bed. Breakfast with short choices and every 
day the same offer.Clean, quiet room. The floor was old and without 
maintenance. No hayr dry. The shower was not good.But it´s a reasonable 
propose for those that just want to go to the hotel to sleep.Read 
moreReview collected in partnership with TravelodgeDate of stay: December 
2018HelpfulShareResponse from TravelodgeUK, Molly from the Social Media 
Team at Travelodge London Covent GardenResponded 14 Dec 2018Thank you for 
your review. We're pleased to hear that you found the location to be ideal 
for your stay and you found the bed to be comfortable. However, we 
apologise if you felt the Hotel was dated - we will note this with our 
Maintenance Team. Please be aware that you can request a hair dryer from 
reception. Being a budget Hotel brand, we believe that we provide all the 
necessary facilities to ensure a comfortable stay, for value. However we 
are always looking to improve the services we offer and we will pass your 
comments on to the relevant team. Thank you again for your feedback.Read 
more</t>
  </si>
  <si>
    <t>John H wrote a review Dec 2018Martletwy, United Kingdom36 contributions13 
helpful votes</t>
  </si>
  <si>
    <t>Depends What You WantGood and bad but I suppose you get what you pay for... Reception and 
welcome first stay was good and efficient, 2nd visit not so good. 1st stay 
room was modern and as expected, 2nd stay was awful, outdated and in 
serious need of updating. Food is poor! Breakfast is from 0600, 1st stay I 
went at 0700 and everything had continued to cook on the buffet bar, 2nd 
stay I went at 0600, food was ready but we were denied access until 0610 
because no staff appeared to be available. When we were allowed in, the 
coffee machines needed to be switched on and then the one I used leaked 
everywhere. The food wasn't much better than the 1st stay, scrambled egg 
solid, mushrooms dehydrating under the lamps, bacon, sausage and tomatoes 
overcooked, hash browns spongy and full of fat, no spoon…Read moreDate of 
stay: December 2018HelpfulShareResponse from TravelodgeUK, Tilly from The 
Social Media Team at Travelodge London Covent GardenResponded 13 Jan 
2019Thank you for your comments about our London Covent Garden hotel. We're 
sorry to hear of your disappointment with the overall look of the hotel and 
with the bar cafe food. We are pleased to learn that our hotel team were 
helpful and you were happy with the location of the hotel. We hope to 
welcome you back soonRead more</t>
  </si>
  <si>
    <t>Tarquin S wrote a review Dec 2018Malvern, United Kingdom1 contribution</t>
  </si>
  <si>
    <t>Bad London StayFrom the moment I arrived bar staff complaining about staff who had left 
,food coming out after asking twice for it Grotty room with a view of 
sprawling bins, air conditioning not working breakfast first day did not 
fully come out until about 7.45evening 2nd stay got back late told there 
was food then told there was no foodgot back to room - it had not been 
cleaned - not coffeegot up in morning had shower, no towels!breakfast lots 
of waiting - view from room more bins felt like i was in a prisonRead 
moreReview collected in partnership with TravelodgeDate of stay: December 
2018HelpfulShareResponse from TravelodgeUK, Tilly from The Social Media 
Team at Travelodge London Covent GardenResponded 10 Jan 2019Thank you for 
taking the time to review our London Covent Garden hotel.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</si>
  <si>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Martin H wrote a review Dec 2018Poole, United Kingdom327 contributions109 
helpful votes</t>
  </si>
  <si>
    <t>VERY GOOD LOCATIONStayed here for 3 nights pre xmas, good for c /garden , soho ,ect , paid 
extra £10 a night for room upgrade, well worth it , on top floor ( 9 ) no 
noise etc. my only gripe was i told reception on the 2nd day , shower waste 
was blocked &amp; overflowed across the bath floor , &amp; no one bother'd to 
unblock it so the same happened again the next day ! ( shame it never went 
through the ceiling below , ( that would learn um )Read moreDate of stay: 
December 2018HelpfulShare</t>
  </si>
  <si>
    <t>Eyja wrote a review Dec 20181 contribution</t>
  </si>
  <si>
    <t>Beware - extra charge without explanations.I stayed at the hotel in November and was charged for extra £10.05 on my 
credit card. I have phoned at least 4 times and written emails to get 
explanations but the hotel does not give one. They answer the phone, tell 
me to write email, then nothing..... I am happy to pay for a service I ask 
for but this absolutely weird.Read moreDate of stay: November 
2018HelpfulShareResponse from TravelodgeUK, Tilly from The Social Media 
Team at Travelodge London Covent GardenResponded 13 Dec 2018Thank you for 
taking the time to write a review with regards to our London Covent Garden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</si>
  <si>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https://www.tripadvisor.co.uk/Hotel_Review-g186338-d193057-Reviews-or1865-Travelodge_London_Covent_Garden-London_England.html#REVIEWS</t>
  </si>
  <si>
    <t>Oaktree198 wrote a review Dec 2018Wakefield, United Kingdom44 
contributions14 helpful votes</t>
  </si>
  <si>
    <t>Excellent value, great location and friendly staffGreat location with plent6 of shops, bars and restaurants in addition to 
Covent Garden itself. The hotel was extremely good vale, the staff were 
welcoming helpful and friendly. Our room had everything we neededRead 
moreReview collected in partnership with this hotelDate of stay: December 
2018HelpfulShare</t>
  </si>
  <si>
    <t>Jane W wrote a review Dec 2018Birchington, United Kingdom6 contributions</t>
  </si>
  <si>
    <t>Great hotel and locationI have used this hotel many times and have always found the staff friendly 
&amp; helpful. The room are basic but, clean &amp; spacious. Breakfast is good 
value for money. Location is brilliant &amp; access London’s attractions easy 
by foot or tube.Read moreReview collected in partnership with this 
hotelDate of stay: November 2018HelpfulShare</t>
  </si>
  <si>
    <t>ceady_daisy wrote a review Dec 2018Dublin, Ireland13 contributions3 helpful 
votes</t>
  </si>
  <si>
    <t>Very Central HotelIn a great location, would return but would not book the breakfast or wifi. 
Comfy bed, hot shower that's all you need for a couple of nights in London. 
Flew to Stanstead took the express train to Liverpool station (booked 
online), changed to the underground (bought an oyster card in Liverpool 
station £5 and loaded £15 on to it, refundable at the end of your journey) 
took the central line to Holborn (well sign posted easy to follow) came out 
of the station and crossed at the lights (to Sainsburys) walk on straight 
for 5 mins came to the travel lodge. White hart pub on dury st across the 
street from the hotel is good for a drink after a long day sightseeing and 
shopping (oh nearly forgot free baggage holding, which we used on arrival 
and departing)Read moreReview collected in partnership with TravelodgeDate 
of stay: December 2018HelpfulShare</t>
  </si>
  <si>
    <t>natasha Q wrote a review Dec 2018Norwich, United Kingdom272 contributions52 
helpful votes</t>
  </si>
  <si>
    <t>https://www.tripadvisor.co.uk/Hotel_Review-g186338-d1812157-Reviews-or300</t>
  </si>
  <si>
    <t>A bit of a flusterWhen we arrived, joined the larger than expected queue to check in, which 
quite a few people seemed to ignore and just push in. Then to be directed 
to the hotel across the road. Room was on eleventh floor away from lift 
with a pretty good view across London if you look past the filthy windows. 
Twin room- had to separate the beds ourselves as was left as a double. Wet 
room was good although a floor towel would of come in handy. The inside of 
the room was all clean and tea/coffee facilities adequate. Heating easy to 
control and plenty of mirrors. Tv a very good size and beds reasonably 
comfortable. Overall got a good deal on the room and managed a decent 
nights sleep. Nothing special or made it amazing but for the money we paid 
for a central location can’t grumble too much!!Read moreDate of stay: 
December 2018HelpfulShare</t>
  </si>
  <si>
    <t>https://www.tripadvisor.co.uk/Hotel_Review-g186338-d193057-Reviews-or1870-Travelodge_London_Covent_Garden-London_England.html#REVIEWS</t>
  </si>
  <si>
    <t>cavw1791 wrote a review Dec 2018Incline Village, Nevada109 contributions1 
helpful vote</t>
  </si>
  <si>
    <t>maarnold2016 wrote a review Dec 2018Nuneaton, United Kingdom1 contribution</t>
  </si>
  <si>
    <t>Just a bit warmClean comfortable and friendly staff made our stay very pleasant.Excellent 
breakfast dining area very busy at times had to queue for a table around 
9am I would go for breakfast earlier probably around 8 to 8.30 am.Read 
moreReview collected in partnership with this hotelDate of stay: November 
2018HelpfulShare</t>
  </si>
  <si>
    <t>mikeunitt wrote a review Dec 2018Willenhall, United Kingdom10 
contributions3 helpful votes</t>
  </si>
  <si>
    <t>All you can que for breakfastPrepaid for breakfasts 2 days for my wife and me, what did we get, a dodgy 
cup of Coffee and cup of Tea. Total. The reason is that the hotel cannot 
cope with the number of breakfast they sell and the capacity they have. 
Result a feeding frenzy (something Mr.Attinborough should film for his next 
Series) and huge que's waiting to go in and pushing a shoving when do 
manage to get in. Hence only the 2 drinks on the first day. The manager did 
offer to refund the £18 for the second day (when I raised the issue with 
him regarding the huge 50+ people waiting to get in), but refused to make 
any offer for the first day, obviously thought that 2 drinks for £18 
represents good value.I declined his offer as it was derisory to the 
situation that Travelodge was presenting to its customers. I…Read moreDate 
of stay: December 2018HelpfulShareResponse from TravelodgeUK, Molly from 
the Social Media Team at Travelodge London Covent GardenResponded 10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</si>
  <si>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Steve M wrote a review Dec 201812 contributions</t>
  </si>
  <si>
    <t>Great location. Good roomFabulous location. Upgraded to a super-room... so I can only comment on 
that type of room... basic, meets all of your needs for a relatively 
inexpensive cost.The staff were brilliant, although if you’d like a drink 
from the bar on a busy evening, you may well find yourself with a LONG 
wait.There were several issues with the room (no cleaning during my stay, 
coffee machine in room leaking) but the assistant manager (Shelley) was 
superb. Very helpful and efficient.Caught a show at the theatre, School of 
Rock, and this theatre is literally a stones throw from the front door.I 
stayed on the top floor,so there was no disturbance from streets below, and 
the London skyline of an evening was pretty cool to see whilst awaiting the 
lift down.Overall, I would certainly stay again.Read moreReview collected 
in partnership with this hotelDate of stay: November 2018HelpfulShare</t>
  </si>
  <si>
    <t>https://www.tripadvisor.co.uk/Hotel_Review-g186338-d193057-Reviews-or1875-Travelodge_London_Covent_Garden-London_England.html#REVIEWS</t>
  </si>
  <si>
    <t>lawrencees wrote a review Dec 2018east sussex19 contributions9 helpful votes</t>
  </si>
  <si>
    <t>FunHad great weekend away Never stayed in travel lodge before very impressed 
with staff and location room was very good will be returning great location 
for theatres and Oxford st breakfast was good paid for wifi but didn’t 
useRead moreReview collected in partnership with this hotelDate of stay: 
November 2018HelpfulShare</t>
  </si>
  <si>
    <t>Shelley P wrote a review Dec 2018Tedburn St. Mary, United Kingdom32 
contributions7 helpful votes</t>
  </si>
  <si>
    <t>Great stay but......We stayed here for 2 nights to see a concert and a play. The room was 
lovely and big with a hanging area for clothes but no draws. The bathroom 
was clean and the shower was warm but could have been warmer but the most 
annoying thing was the shower curtain that stuck to you every time you 
showered. The staff were really helpful but definitely needed more staff on 
in the evening at peak times as the poor man in the bar had 3 different 
queues to deal with on his own and couldn't keep up with who was next, we 
waited 25 min for a drink. Really comfy beds and would stay here again as 
it's a great location.Read moreDate of stay: December 20181 Helpful 
voteHelpfulShare</t>
  </si>
  <si>
    <t>Angela E wrote a review Dec 2018Brighton, United Kingdom33 contributions12 
helpful votes</t>
  </si>
  <si>
    <t>Perfect locationStayed here for a night whilst visiting the London Palladium. Very clean 
staff very helpful. Would like to mention Renate and her staff in the 
restaurant. It was very very busy they were so calm and helpful and ensured 
that everyone was happy and seated . They were under so much pressure 
clearing tables . They never let their smile drop . Well done it didn't go 
unnoticed!!!Read moreDate of stay: December 2018HelpfulShare</t>
  </si>
  <si>
    <t>zana williams wrote a review Dec 20181 contribution</t>
  </si>
  <si>
    <t>shocked!!!!!!I had stayed last week, and the service I had for 3 days was atrocious. I 
am aware it is not a 5 star hotel, however it is one of the leading hotel 
behind the logo Travelodge. I have been to several other Travelodge around 
the country, however I had brilliant service.This hotel is one of the 
hotspot for business and leisure although the service was shocking. I have 
never come across this service that I was given at any other hotel.I have 
been to other hotels around the world, as I fly to city to city and stay in 
a lot of hotels. The service I received from the staff members and also the 
Manager was despicable, especially from the Manager. I arrived to 
Travelodge from a 19hr delayed flight to only come to a busy queue, and I 
understand that it is busy. Though this was not the…Read moreDate of stay: 
December 2018HelpfulShareResponse from TravelodgeUK, Shaf from the Social 
Media Team. at Travelodge London Covent GardenResponded 9 Dec 2018Thank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</si>
  <si>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https://www.tripadvisor.co.uk/Hotel_Review-g186338-d193057-Reviews-or1880-Travelodge_London_Covent_Garden-London_England.html#REVIEWS</t>
  </si>
  <si>
    <t>clairemathias2018 wrote a review Dec 2018Pollenca, Spain2 contributions</t>
  </si>
  <si>
    <t>Bad roomThe room smelt strongly of drains and raw sewerage. The shower room became 
flooded because the shower curtain flapped about and there was no bath mat 
provided. The one plus point was that the bed was actually quite 
comfortable and the room was quiet, which is the only reason I didn't 
complain to reception. I would not recommend this hotel as value for 
money.Read moreReview collected in partnership with TravelodgeDate of stay: 
December 2018HelpfulShareResponse from TravelodgeUK, Shaf from the Social 
Media Team. at Travelodge London Covent GardenResponded 9 Dec 2018Thank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</si>
  <si>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Dale Woods wrote a review Dec 2018Worksop, United Kingdom17 contributions8 
helpful votes</t>
  </si>
  <si>
    <t>Location is everythingok so it is a typical Travelodge in a lot of ways, basic no frills 
beds/bathroom etc but wow if you get a 12/13th floor room those views are 
something you cant find in many other hotels. for tourists its a 9 minute 
walk to Trafalger SQ, Picadilly Circus, Soho. you can easily take a nice 
walk through Bloomsbury to get to the hotel from Euston &amp; Kings Cross in 30 
mins (when its busy it can take longer in a cab)Read moreDate of stay: 
December 2018HelpfulShare</t>
  </si>
  <si>
    <t>Ellie wrote a review Dec 20184 contributions</t>
  </si>
  <si>
    <t>Not likely to stay againBooked this hotel as it was reasonably priced for three nights. My partner 
and I didn't want to fork out too much as we didn't plan on spending too 
much time at the hotel due to spending time sight seeing, shopping, etc. 
However, I suppose the hotel does have some impact on your weekend away. 
Although rooms were basic they were still very clean, but no view at all, 
no daylight coming in. Wouldn't have been able to tell whether it was night 
or day because our room was so dark. The air conditioning was also so noisy 
when turned on, easy to switch off but would be very difficult to sleep in 
the summer with no windows and that being your only option. Bathroom would 
also remain steamed up for ages after a shower as there's no ventalation. 
called the hotel three times prior to our…Read moreDate of stay: December 
2018HelpfulShareResponse from TravelodgeUK, Ben from the Social Media Team 
at Travelodge London Covent GardenResponded 12 Feb 2019Thank you for taking 
the time to write a review about our London Covent Garden hotel. We are 
pleased to hear that you were happy with the price of your room and that 
you found it to be clean however we are sorry to learn of your 
disappointment with the facilities in the room, the view and of the 
problems with parking. Feedback is invaluable and our Hotel Managers 
regularly review their TripAdvisor reviews in order to fix any issues 
raised and pass on feedback to their team. Thank you once again and we do 
hope you will stay with us in the future.Read more</t>
  </si>
  <si>
    <t>MaureenEleanor wrote a review Dec 2018Amesbury, United Kingdom24 
contributions12 helpful votes</t>
  </si>
  <si>
    <t>Super stayStayed for 3 nights and were on the top floor at High Holborn. Very quiet, 
clean and comfortable spacious rooms. We chose not to have housekeeping 
during our stay but were supplied with clean cups, more tea, coffee etc 
when we asked. Rooms were clean and ready on our arrival. Breakfast was 
delicious and certainly plenty of variety and kept well stocked by staff. 
The central location is a big bonus with everything in walking distance and 
near to 2 underground stations. Lovely stay, thank you.Read moreDate of 
stay: December 2018HelpfulShare</t>
  </si>
  <si>
    <t>Susan S wrote a review Dec 2018Grantham, United Kingdom11 contributions8 
helpful votes</t>
  </si>
  <si>
    <t>Convenient but disappointingTypical Travelodge in that you expect it to be fairly basic, but in this 
case we were totally disgusted to find that the rear half of the toilet 
bowl was very very dark with the sort of stains that take a lot of neglect 
to build up. Despite complaining and showing the receptionist a photograph 
(which she grimaced at) before going out it had not been cleaned 4-5 hours 
later - if the original condition was bad leaving it like that once you 
know about it really is totally unacceptable.Read moreReview collected in 
partnership with TravelodgeDate of stay: December 2018HelpfulShareResponse 
from TravelodgeUK, Ben from the Social Media Team at Travelodge London 
Covent GardenResponded 6 Feb 2019Thank you for taking the time to write a 
review about our London Covent Garden hotel. We are sorry to learn of your 
disappointment with the cleaning standards in the bathroom and that this 
was not resolved after it was reported to the reception team.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</si>
  <si>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https://www.tripadvisor.co.uk/Hotel_Review-g186338-d193057-Reviews-or1885-Travelodge_London_Covent_Garden-London_England.html#REVIEWS</t>
  </si>
  <si>
    <t>DGregsonSmith wrote a review Dec 2018Harrogate, United Kingdom37 
contributions10 helpful votes</t>
  </si>
  <si>
    <t>A bed for the nightGreat location, good bed and that’s about it......don’t expect much more. 
Stayed two nights and didn’t clean/change/enter our room so no top up on 
tea and coffee. Check-in is poor......too many people not enough staff. Use 
the auto check-in if you can.Read moreDate of stay: December 20181 Helpful 
voteHelpfulShareResponse from TravelodgeUK, Charley from the Social Media 
Team at Travelodge London Covent GardenResponded 27 Dec 2018Thank you for 
taking the time to review our London Covent Garden Hotel. We would like to 
apologise that you had issues with your stay such as the delay at check in. 
On the other hand we're pleased to hear that you found the location of the 
hotel to be good for your needs. Thank you again for taking the time to 
submit your review.Read more</t>
  </si>
  <si>
    <t>SFPogo wrote a review Dec 2018San Francisco, California33 contributions14 
helpful votes</t>
  </si>
  <si>
    <t>The RyanAir of hotels - you'll be nickel and dimed to deathGood location, and morning desk staff helpfully allowed me to print my 
boarding pass. On down side, everything is extra. If you arrive before 
checkin, you can leave your bags until your room's ready, but only til 6pm; 
£10 after that (so you need to make a trip back before your show). Wifi is 
free for 30 minutes, then £3 an hour. To call the front desk, you must use 
your mobile (no phone in room), and the call center that answers advises 
that it costs £0.13 per minute (including hold time) to talk to someone on 
the phone. On the plus side their bar is open later than many area pubs on 
weeknights.Read moreDate of stay: December 2018HelpfulShareResponse from 
TravelodgeUK, Charley from the Social Media Team at Travelodge London 
Covent GardenResponded 27 Dec 2018Thank you for taking the time to review 
our London Covent Garden Hotel. We would like to apologise for the issues 
experienced during your stay such as the extra costs, however are pleased 
to hear that you found the location to be good for your needs and the team 
to be helpful. We thank you again for submitting your review.Read more</t>
  </si>
  <si>
    <t>rotor777 wrote a review Dec 2018Somerset, United Kingdom10 contributions7 
helpful votes</t>
  </si>
  <si>
    <t>A long weekendWe stayed at the Covent Garden Travelodge for three nights at the beginning 
of December '18, we do this every every year to have our 'London Christmas 
fix'. We know what to expect and we never complain, this year we had good, 
clean double rooms, both were quite large and included baths this time, 
nice, does that count as an upgrade :/ My wife and I never have a breakfast 
at a Travelodge, especially in London, as there are so many nice cafe's 
offering a full English at a good price and a more chilled out atmosphere. 
Our room was hot, the heating worked very well and I had to turn it down 
twice, no complaints there. The staff, when you can talk to them, are 
always attentive and will try their level best to accommodate a request. As 
it quite clearly states in the hotel blurb …Read moreDate of stay: December 
2018HelpfulShare</t>
  </si>
  <si>
    <t>https://www.tripadvisor.co.uk/Hotel_Review-g186338-d193057-Reviews-or1890-Travelodge_London_Covent_Garden-London_England.html#REVIEWS</t>
  </si>
  <si>
    <t>BradfordYorkshire wrote a review Dec 2018Bradford, United Kingdom23 
contributions14 helpful votes</t>
  </si>
  <si>
    <t>Average but great location.Room was ok but nothing special. Loud heating unit which we had to turn off 
to sleep. Cleaners only left 1 towel and 1 coffee pod. Lshower in super 
room was brilliant. Bed very comfortable. Easy walking distance to Covent 
Garden and theatreland.Read moreReview collected in partnership with 
TravelodgeDate of stay: December 2018HelpfulShareResponse from 
TravelodgeUK, Charley from the Social Media Team at Travelodge London 
Covent GardenResponded 10 Dec 2018Thank you for taking the time to review 
our London Covent Garden hotel. We are sorry to hear that your experience 
was spoiled in particular by the heating unit as well as lack of towels. On 
the other hand we're pleased to hear you enjoyed the shower and found the 
beds comfortable. We have passed on your comments and they will help us 
improve, in the meantime we would hope to welcome you again in the future 
and give us the opportunity to offer a fully enjoyable stay.Read more</t>
  </si>
  <si>
    <t>fiona300454 wrote a review Dec 2018Dunfermline, United Kingdom43 
contributions34 helpful votes</t>
  </si>
  <si>
    <t>Xmas timeWe booked in at Drury lane but there is a partner hotel round the corner 
and this is where we stayed .The hotel was very clean but quite tired .The 
room was a good size and was quite quiet considering where it is .only the 
passing sirens were loud.The breakfast area was very congested and really 
needs reorganised .To have the plates and toasters in the middle meant 
everyone was stuck in the corner and having to juggle round one another. 
The bar also closed at 11 but there is nothing to tell you this and we 
ended up having to go to the other hotel for a nightcapRead moreDate of 
stay: December 20181 Helpful voteHelpfulShareResponse from TravelodgeUK, 
Molly from the Social Media Team at Travelodge London Covent 
GardenResponded 6 Dec 2018Thank you for your review. We are pleased to hear 
that your room displayed the high standard of cleanliness which we strive 
to consistently achieve and you were impressed with the room size. We're 
also pleased to learn that your room was quiet and we were successful in 
ensuring you a peaceful stay. We are sorry to hear that you were 
unimpressed with the service you received during breakfast. We will 
certainly pass your comments on to the Team in attempt to improve the 
service we provide. Thank you again for your comments, we hope to welcome 
you back to stay with us in the near future.Read more</t>
  </si>
  <si>
    <t>paul_duffield2000 wrote a review Dec 2018Northamptonshire, United Kingdom2 
contributions</t>
  </si>
  <si>
    <t>https://www.tripadvisor.co.uk/Hotel_Review-g186338-d1812157-Reviews-or305</t>
  </si>
  <si>
    <t>Excellent value for money and in central London too!Very suprised by the very high standard and quality of the Travel Inn in 
Covent Garden.It was excellent value and just a few hundred yards from 
Covent Garden market and theatre land.The "super-room" we stayed in had 
everything you would expect, easily comparable to the so-called "Boutique" 
hotels for 3x the price (and we have stayed in such a places) .Read 
moreReview collected in partnership with TravelodgeDate of stay: December 
2018HelpfulShare</t>
  </si>
  <si>
    <t>https://www.tripadvisor.co.uk/Hotel_Review-g186338-d193057-Reviews-or1895-Travelodge_London_Covent_Garden-London_England.html#REVIEWS</t>
  </si>
  <si>
    <t>jenny T wrote a review Dec 2018Worcestershire, United Kingdom6 
contributions1 helpful vote</t>
  </si>
  <si>
    <t>Central hotelCheap and good value for money. Close to tube but could walk to Oxford 
Street. Restaurant very small for the amount of people at breakfast but 
food ok. Good triple glazing kept down noise even though we were on the 
ground floor.Read moreReview collected in partnership with TravelodgeDate 
of stay: December 2018HelpfulShare</t>
  </si>
  <si>
    <t>Kevin K wrote a review Dec 2018Broadway, United Kingdom205 contributions57 
helpful votes</t>
  </si>
  <si>
    <t>Quiet nights sleepBooked into the Travelodge Covent Garden but upon checking in told I was 
over the road in the High Holborn block. As I was with a colleague I asked 
if I could be switched to the Covent Garden one but was told no, even 
though it was only around 5pm and there would have surely been rooms 
available. Anyway, went over the road, first floor room, large, sparse, 
chilly, but quiet. Bed was comfy and sheets clean and crisp. OK for a night 
I guessRead moreDate of stay: December 2018HelpfulShareResponse from 
TravelodgeUK, Molly from the Social Media Team at Travelodge London Covent 
GardenResponded 5 Dec 2018Thank you for your review. We're pleased to hear 
that you found the beds to be comfortable and that your room displayed the 
high standard of cleanliness which we strive to consistently achieve. We 
are sorry to hear that you were not happy with your room allocation and 
that the Team were unable to resolve this for you. Thank you again for your 
feedback, we hope to welcome you back to stay with us again in the near 
future.Read more</t>
  </si>
  <si>
    <t>Sherpa04678928917 wrote a review Dec 20181 contribution</t>
  </si>
  <si>
    <t>Listened to the lifts ALL nightIF you stay at this hotel avoid rooms near the lifts. I was in room 803. 
This room (and presumably 103. 203, 303 etc) We could hear the lifts bang 
and rumble ALL night. At checkout, the staff couldn't care lessRead 
moreReview collected in partnership with TravelodgeDate of stay: December 
2018HelpfulShareResponse from TravelodgeUK, Molly from the Social Media 
Team at Travelodge London Covent GardenResponded 5 Dec 2018Thank you for 
your review. We are sorry to hear that you were disturbed by noise levels 
during your stay. We hope to ensure a peaceful night's stay for all of our 
guest's, without disruption, and we apologise if we were unsuccessful in 
achieving this on this occasion. We are also sorry to hear that you felt 
the Staff were uninterested when you reported this at Reception. We hope to 
demonstrate a high standard of genuine customer care to all of our guests 
and we will certainly address your comments with the Team. Thanks again for 
your feedback,Read more</t>
  </si>
  <si>
    <t>https://www.tripadvisor.co.uk/Hotel_Review-g186338-d193057-Reviews-or1900-Travelodge_London_Covent_Garden-London_England.html#REVIEWS</t>
  </si>
  <si>
    <t>Happy Travels wrote a review Dec 2018London, United Kingdom102 
contributions50 helpful votes</t>
  </si>
  <si>
    <t>Never again!Thankfully this hotel only cost £45 for the night, that said not sure it 
was worth that much. Check in was ridiculous, apparently there systems were 
down, it took a long time to get nowhere so we went to the other Travelodge 
nearby and checked in there for our hotel. The room was basic and clean. 
The aircon did not work and was blowing out hot air, not ideal when you 
can’t open the windows as your in the centre of London and the noise. Tried 
to buy a round of drinks at the end of our night but after placing the 
order and trying to pay by card they stated that they could only take cash 
as their systems were still broken. No cash so no drinks! Room was noisy, 
144 owing to the windows having to be open as the aircon was busted. If 
this was a Premier Inn we would have got our…Read moreDate of stay: 
December 2018HelpfulShareResponse from TravelodgeUK, Shaf from the Social 
Media Team at Travelodge London Covent GardenResponded 4 Dec 2018Thank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</si>
  <si>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devanykatie wrote a review Dec 20182 contributions</t>
  </si>
  <si>
    <t>Remembrance weekendGreat location, so glad we found this gem of a hotel - surprisingly quiet 
room and really spacious (we had a corner room on the first floor), we 
weren't on a Theatre break but so many were within walking distance that we 
will definitely book again if needed! The free left luggage option was 
fantastic - so useful for a overnight trip like ours.Read moreDate of stay: 
November 2018HelpfulShare</t>
  </si>
  <si>
    <t>Fox wrote a review Dec 201843 contributions59 helpful votes</t>
  </si>
  <si>
    <t>not comfortablethe service was very average and most of the workers looked rather bored. 
one of the workers in fact was very rude and had no respect for the people 
staying there. beds weren't very comfortable and were kind of messy when we 
arrivedRead moreDate of stay: November 20183 Helpful 
votesHelpfulShareResponse from TravelodgeUK, Shaf from the Social Media 
Team. at Travelodge London Covent GardenResponded 4 Dec 2018Thank you for 
reviewing our London Covent Garden Travelodge. We're really sorry to learn 
the service was not up to standards and did not find the beds very 
comfortable. Feedback is invaluable and our Hotel Managers regularly review 
their TripAdvisor reviews in order to fix any issues raised and pass on 
feedback to their team. Thank you once again and we do hope you will stay 
with us in the future.Read more</t>
  </si>
  <si>
    <t>Jack D wrote a review Dec 2018Swansea County, United Kingdom11 
contributions5 helpful votes</t>
  </si>
  <si>
    <t>4 Days opera, concert and galleries in LondonNot a bad location and a good centre for activities. Reasonably priced 
hotel, well maintained and surprisingly quiet. Streets outside were a bit 
of a building site but could walk to opera, galleries, museum and plenty of 
restauantsRead moreReview collected in partnership with TravelodgeDate of 
stay: November 2018HelpfulShare</t>
  </si>
  <si>
    <t>misty60 wrote a review Dec 2018Aberystwyth, United Kingdom20 contributions9 
helpful votes</t>
  </si>
  <si>
    <t>Location.This Hotel is in an excellent location for all the attractions. Especially 
close to all the Theaters in the West End. Within easy walking distance to 
Covent Gardens and Underground. The hop on hop off buses stop about a 10 
minute walk away. The staff were very friendly and helpful. Rooms were 
clean and spacious.Read moreReview collected in partnership with 
TravelodgeDate of stay: November 2018HelpfulShare</t>
  </si>
  <si>
    <t>https://www.tripadvisor.co.uk/Hotel_Review-g186338-d193057-Reviews-or1905-Travelodge_London_Covent_Garden-London_England.html#REVIEWS</t>
  </si>
  <si>
    <t>Mandy C wrote a review Dec 201816 contributions5 helpful votes</t>
  </si>
  <si>
    <t>London breakWent to London for a few days and stayed in this Travelodge. Big mistake. 
Room was freezing cold and very basic, not even any toiletries in room. 
Breakfast time a bit of a nightmare as the breakfast area was too small for 
the number of guests. Have stayed in many Travelodges this by far was the 
worst. Only good point is the location.Read moreDate of stay: November 
2018HelpfulShareResponse from TravelodgeUK, Charley from the Social Media 
Team at Travelodge London Covent GardenResponded 17 Dec 2018Thank you for 
taking the time to review our London Covent Garden Travelodge. We would 
like to apologise for the issues that you encountered with your stay such 
as the temperature of the room and the bar cafe during breakfast. On the 
other hand, we are pleased to hear you enjoyed the location. We have passed 
on your comments and they will help us improve, in the meantime we would 
hope to welcome you again in the future and give us the opportunity to 
offer a fully enjoyable stay.Read more</t>
  </si>
  <si>
    <t>triwasp wrote a review Dec 2018Braintree, United Kingdom10 contributions2 
helpful votes</t>
  </si>
  <si>
    <t>pillowsStayed here in a so called super room onFriday 30th. Luggage can be left 
securely if you have failed to pay £10 for early check in. On return just 
prior to 3 pm we are greeted with a long queue for the under personnel 
reception.The gentleman in front was rejected at 5 minutes to three, 
fortunately ,the other lady had more sense and was not worried by a few 
minutes. Checked in at last, found room ,nothing super just average. 
Returned after the show around 11 pm and fancied a night cap. The bar has 3 
sides there is one very slow ,out of his depth person serving, we waited 
and waited, the guy had no idea who's next to be served . We left and 
walked to the nearest pub. When we got to bed it was not super and the 
pillows should have been binned years ago, too firm not compliant at…Read 
moreDate of stay: November 2018HelpfulShareResponse from TravelodgeUK, Ben 
from the Social Media Team at Travelodge London Covent GardenResponded 23 
Dec 2018Thank you for taking the time to write a review about our London 
Covent Garden hotel. We are sorry to learn of your disappointment with the 
Super room you were provided with, and we are sorry to learn of the 
disappointment caused by other aspects of your stay. Feedback is invaluable 
and our Hotel Managers regularly review their TripAdvisor reviews in order 
to fix any issues raised and pass on feedback to their team. Thank you once 
again and we do hope you will stay with us in the future.Read more</t>
  </si>
  <si>
    <t>Ratbagtazbag wrote a review Dec 2018Isle of Wight, United Kingdom5 
contributions</t>
  </si>
  <si>
    <t>Hotel convenient for central londonStayed here for 2 nights with friends in a family room. Good value very 
clean and comfortable. Good luggage drop off facilities. We did not have 
breakfast in but used local cafes which were delicious!Read moreReview 
collected in partnership with TravelodgeDate of stay: November 
2018HelpfulShare</t>
  </si>
  <si>
    <t>https://www.tripadvisor.co.uk/Hotel_Review-g186338-d193057-Reviews-or1910-Travelodge_London_Covent_Garden-London_England.html#REVIEWS</t>
  </si>
  <si>
    <t>Taj Sohal wrote a review Dec 20182 contributions2 helpful votes</t>
  </si>
  <si>
    <t>Poor directions to get to other buildingHotel basics were as expected but a bit of attention to getting guests 
checked in and then helping them find their room should be the norm. 
Instead I was given poor directions and felt completely stupid coming back 
3 times to find out where I should be going..Read moreReview collected in 
partnership with TravelodgeDate of stay: November 2018HelpfulShareResponse 
from TravelodgeUK, Charley from the Social Media Team at Travelodge London 
Covent GardenResponded 17 Dec 2018Thank you for your review of our London 
Covent Garden Travelodge and taking the time to share your experience with 
us. We're really sorry to learn of your disappointment with your overall 
stay. We want our customers to enjoy their experience in our hotels so we 
are sorry to learn that you did not receive our high standard of service on 
this occasion. We hope that there will be another occasion to welcome you 
as our guest in the future.Read more</t>
  </si>
  <si>
    <t>jac67 wrote a review Nov 2018Kirkwall, United Kingdom67 contributions2 
helpful votes</t>
  </si>
  <si>
    <t>Could find better!Stayed for 4 nights in Superoom, nothing "super" about it. Carpet was all 
stained, room and bathroom were small, room very dark even through the day. 
Beds were comfy and there was no noise, breakfast was fine but kept finding 
lumps of dirt in mushrooms, take it they hadn't been cleaned beforehand, 
but good selection of hot and cold food. Location is excellent, Covent 
Garden tube station just round the corner. For £685 for 4 nights we now 
know we could have stayed in much nicer surroundings, would not stay again 
but would definately visit London again.Read moreDate of stay: November 
2018HelpfulShareResponse from TravelodgeUK, Ben from the Social Media Team 
at Travelodge London Covent GardenResponded 12 Dec 2018Thank you for taking 
the time to write a review about our London Covent Garden hotel. We are 
pleased to hear that you liked the hotels location, found the room to be 
quiet and the bed comfortable however we are sorry to learn of your 
disappointment with the facilities in the Super room you were provided. 
Feedback is invaluable and our Hotel Managers regularly review their 
TripAdvisor reviews in order to fix any issues raised and pass on feedback 
to their team. Thank you once again and we do hope you will stay with us in 
the future.Read more</t>
  </si>
  <si>
    <t>Roamer123 wrote a review Nov 201817 contributions5 helpful votes</t>
  </si>
  <si>
    <t>Long weekend stay.Good smooth check in despite it being very busy. Reception staff friendly 
and got any requests dealt with efficiently. Our block seemed colder 
compared to remainder of building and in our room we struggled to work out 
the heating from the air-con,dealt with by maintenance,a few more hangers 
for our clothing storage would have been good.Bar staff mostly good ... 
some confusion over mulled wine (due to lack of) an uneasy compromise was 
met. Way over priced bar snacks ... hence didn’t indulge! Didn’t have the 
breakfast but seemed to be busy each morning we passed through.Read 
moreDate of stay: November 2018HelpfulShareResponse from TravelodgeUK, 
Molly from the Social Media Team at Travelodge London Covent 
GardenResponded 2 Dec 2018Thank you for your review. We are pleased to hear 
that you found the Reception Team to be efficient and friendly during the 
check in process. We apologise if you experienced difficulties with the 
heating and air conditioning unit, please be aware that the Hotel Team will 
be happy to assist in such instances. We are sorry to learn that you were 
unimpressed with the storage facilities in your room. Being a budget Hotel 
brand, we believe that we provide all the necessary facilities to ensure a 
comfortable stay, for value. Thank you also for your feedback regarding the 
bar cafe staff and food. We are always looking to improve the services we 
offer and we will pass your comments on to the relevant team. Thank you 
again for your review, and we hope to welcome you back to stay with us 
again in the near future.Read more</t>
  </si>
  <si>
    <t>Ashton G wrote a review Nov 20181 contribution2 helpful votes</t>
  </si>
  <si>
    <t>Unprofessional staff, long wait time at the front desk, no amenities in the 
bathroomsThe soap dispenser and shower gel dispenser in my bathroom were both empty. 
I had to go to the front desk to ask for soap (because there are no phones 
in the rooms) and the concierge told me she'd bring some to my room. This 
never happened. They have one person working the front desk at a time and 
consistently had a line of 7+ people waiting to be helped. I also saw a 
homeless person follow another guest in and remained in the lobby and was 
never escorted out. This place was awful.Read moreReview collected in 
partnership with TravelodgeDate of stay: November 2018HelpfulShareResponse 
from TravelodgeUK, Ben from the Social Media Team at Travelodge London 
Covent GardenResponded 6 Dec 2018Thank you for taking the time to write a 
review about our London Covent Garden hotel. We are sorry to learn that the 
dispensers in your room were empty, and we are sorry to learn of the 
disappointment caused by other aspects of your stay.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</si>
  <si>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https://www.tripadvisor.co.uk/Hotel_Review-g186338-d193057-Reviews-or1915-Travelodge_London_Covent_Garden-London_England.html#REVIEWS</t>
  </si>
  <si>
    <t>Alison B wrote a review Nov 2018Newbury, United Kingdom31 contributions4 
helpful votes</t>
  </si>
  <si>
    <t>Best location!! Fab staff and room!Fab location you can walk to theatres restaurant pubs shopsHotel staff very 
friendly Only downfall the builders start at 7am outside hotel��Carpets 
could do with upgrading as very shabby but that’s a minor as everything 
else spot on!Breakfast worth the moneyRead moreReview collected in 
partnership with TravelodgeDate of stay: November 2018HelpfulShare</t>
  </si>
  <si>
    <t>Bodger S wrote a review Nov 2018Ixworth, United Kingdom22 contributions6 
helpful votes</t>
  </si>
  <si>
    <t>Very Shabby HotelThe Travelodge is shabby and needs a makeover, the prices even for Central 
London are ridiculous. We had a room the size of a box and the shower had 
cracked and grubby tiles. There was no plug in the sink and it was so 
small. I would not recommend this hotel to anyone.Read moreReview collected 
in partnership with TravelodgeDate of stay: November 20181 Helpful 
voteHelpfulShareResponse from TravelodgeUK, Charley from the Social Media 
Team at Travelodge London Covent GardenResponded 3 Dec 2018Thank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</si>
  <si>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Bård F wrote a review Nov 2018Svolvaer, Norway6 contributions</t>
  </si>
  <si>
    <t>https://www.tripadvisor.co.uk/Hotel_Review-g186338-d1812157-Reviews-or310</t>
  </si>
  <si>
    <t>Hotell situated very good for TheatertravelThe hotel is situated very near most of the theaters in Covent Garden area. 
It is a Place only for sleeping, not relaxing at daytime. But the rooms was 
clean and the breakfast ok. The coffeemachines were very slow.Read 
moreReview collected in partnership with TravelodgeDate of stay: November 
2018HelpfulShareResponse from TravelodgeUK, Ben from the Social Media Team 
at Travelodge London Covent GardenResponded 6 Dec 2018Thank you for taking 
the time to write a review about our London Covent Garden hotel. We are 
pleased to hear that you found your room to be clean, you liked the hotels 
location and that your overall experience was a positive one. Feedback is 
invaluable and our Hotel Managers regularly review their TripAdvisor 
reviews in order to fix any issues raised and pass on feedback to their 
team. Thank you once again and we do hope you will stay with us in the 
future.Read more</t>
  </si>
  <si>
    <t>FarAway57805796219 wrote a review Nov 20181 contribution1 helpful vote</t>
  </si>
  <si>
    <t>Left Luggage!!!!Warm and welcoming on arrival - directed to new extension which was clean , 
tidy and comfortable. Wish i had gone down to the bar /cafe it looked busy 
and buzzing both evening and morning!! No noise from inside and out 
considering such a good central location. FREE Left luggage was a massive 
bonus! manned from 7am-6pm was confident it would be looked after until 
collection.Read moreReview collected in partnership with TravelodgeDate of 
stay: November 20181 Helpful voteHelpfulShare</t>
  </si>
  <si>
    <t>https://www.tripadvisor.co.uk/Hotel_Review-g186338-d193057-Reviews-or1920-Travelodge_London_Covent_Garden-London_England.html#REVIEWS</t>
  </si>
  <si>
    <t>hernandez39 wrote a review Nov 2018Harrogate, United Kingdom29 
contributions24 helpful votes</t>
  </si>
  <si>
    <t>Terrible nights sleepAwful nights sleep in one of their "Super Rooms" which you pay more for. 
Constant noise of running water from a pipe located above the room all 
night. Didn't sleep a wink and reception just said they would "look in to 
it" when providing feedback. Checked in at one building and slept in 
another across the road! Lifts and the general appearance of the hotel look 
tired.Read moreReview collected in partnership with TravelodgeDate of stay: 
November 2018HelpfulShareResponse from TravelodgeUK, Ben from the Social 
Media Team at Travelodge London Covent GardenResponded 3 Dec 2018Thank you 
for taking the time to write a review about our London Covent Garden hotel. 
We are sorry to learn that you did not find your room to be of great value, 
and we are sorry to learn of the disappointment caused by other aspects of 
your stay. Feedback is invaluable and our Hotel Managers regularly review 
their TripAdvisor reviews in order to fix any issues raised and pass on 
feedback to their team. Thank you once again and we do hope you will stay 
with us in the future.Read more</t>
  </si>
  <si>
    <t>SCC_AUG11 wrote a review Nov 2018London, United Kingdom128 contributions41 
helpful votes</t>
  </si>
  <si>
    <t>Well Placed Great LocationReally good hotel well placed I have stayed here before and its ideal for 
what we need. Only small gripe in room carpet was dirty lots of stains 
could do with a deep clean or new carpet. Other than that it was fine for a 
basic hotel.Read moreReview collected in partnership with TravelodgeDate of 
stay: November 2018HelpfulShare</t>
  </si>
  <si>
    <t>JKB59 wrote a review Nov 2018Linlithgow, Scotland514 contributions156 
helpful votes</t>
  </si>
  <si>
    <t>Great location and priceMy wife and I stayed for two nights in one of the new super rooms (632) . 
Great value at £180 in total, given the excellent location and amenities. 
We did not eat breakfast as we knew there were plenty of coffee shops in 
the area.Read moreDate of stay: November 2018HelpfulShare</t>
  </si>
  <si>
    <t>Angie wrote a review Nov 2018Exeter, United Kingdom2 contributions3 helpful 
votes</t>
  </si>
  <si>
    <t>DisappointingWe have stayed here for the last 3 years but won’t be returning again. We 
arrived at 10pm to be told our room wasn’t available so we would have to 
stay in a disabled room for the first night. We changed rooms the next day 
to be given a cold double where the bins hadn’t even been emptied - not 
pleasant. They were so short staffed it would take at least 20 minutes to 
get served at the bar. Much cheaper and nicer places to stay in Covent 
Garden.Read moreReview collected in partnership with TravelodgeDate of 
stay: November 20181 Helpful voteHelpfulShareResponse from TravelodgeUK, 
Shaf from the Social Media Team. at Travelodge London Covent 
GardenResponded 27 Nov 2018Thank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</si>
  <si>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https://www.tripadvisor.co.uk/Hotel_Review-g186338-d193057-Reviews-or1925-Travelodge_London_Covent_Garden-London_England.html#REVIEWS</t>
  </si>
  <si>
    <t>squishymum wrote a review Nov 2018Lowestoft, United Kingdom7 contributions1 
helpful vote</t>
  </si>
  <si>
    <t>Great locationThe hotel is within easy walking distance for seeing a show in the West End 
or visiting Leicester Square and Covent Garden and near tube or bus routes 
if you want to travel further afield. It offers good value.Read moreReview 
collected in partnership with TravelodgeDate of stay: November 
2018HelpfulShare</t>
  </si>
  <si>
    <t>Seniorparty5 wrote a review Nov 2018Inverness, United Kingdom16 
contributions5 helpful votes</t>
  </si>
  <si>
    <t>Met all our needsSpent 3 nights at Travelodge High Holborn with 4 friends enjoying a trip 
which included sightseeing, Theatres, meeting relatives and soaking up the 
London experience. The hotel and its facilities met our needs completely. 
Enjoyed staying and enjoying company of friends in comfortable hotel in the 
middle of London around all it can offer without paying an arm and legRead 
moreDate of stay: November 2018HelpfulShareResponse from TravelodgeUK, 
Charley from the Social Media Team at Travelodge London Covent 
GardenResponded 27 Nov 2018Many thanks for taking the time to write a 
review of our London Covent Garden Travelodge. We are pleased to learn you 
were happy with the Hotel’s location and that your overall experience was a 
positive one. We aim to offer our guests great value stays in comfortable 
surroundings and we are happy to see that this has been achieved. We value 
your feedback and a copy of your comments will be forwarded to the Hotel. 
Thank you once again and we do hope you will stay with us in the 
future.Read more</t>
  </si>
  <si>
    <t>https://www.tripadvisor.co.uk/Hotel_Review-g186338-d193057-Reviews-or1930-Travelodge_London_Covent_Garden-London_England.html#REVIEWS</t>
  </si>
  <si>
    <t>DayTrip58733550854 wrote a review Nov 2018Cardiff, United Kingdom1 
contribution</t>
  </si>
  <si>
    <t>Not the Travelodge of old - very smartReally smart accommodation - very clean and newly decorated. Easy to leave 
baggage before checking in. Staff very helpful. Plenty of space for a 
meeting in lobby/bar area. Tube was just around the corner. Located well. 
Would definitely look to stay again. MUCH better than other Travelodges 
I've stayed in.Read moreReview collected in partnership with TravelodgeDate 
of stay: November 2018HelpfulShare</t>
  </si>
  <si>
    <t>helensuz wrote a review Nov 2018Yorkshire252 contributions115 helpful votes</t>
  </si>
  <si>
    <t>Great location- decent hotel and decent priceI stayed here for a pit stop on Remembrance Sunday on my way down to Poole 
for work on the Monday. I love Covent Garden so the location was great for 
me. It did have a Youth Hostel feel about it (no judgement about Youth 
Hostels- I stay in them regularly). There was an iron and board in the room 
but no hairdryer, although reception were happy to provide one. Check in 
was a long protracted experience but there was a nice buzz about the place 
as I waited. The breakfast was pretty basic, not a great amount of choice 
but simple enough. For a London hotel and value for money this is decent 
enough.Read moreDate of stay: November 2018HelpfulShare</t>
  </si>
  <si>
    <t>UK, young couple wrote a review Nov 2018Lincoln, United Kingdom73 
contributions6 helpful votes</t>
  </si>
  <si>
    <t>Good location, average hotelLocation is ideal for London. It’s within walking distance/a short tube 
ride away from Oxford Street, Covent Garden, Leicester Square, Hyde Park, 
Knightsbridge etc. Room was basic, but did the job. The staff didn’t have 
much time for you and could easily come across being rude. Would recommend 
for a short city break!Read moreDate of stay: November 2018HelpfulShare</t>
  </si>
  <si>
    <t>Robert S wrote a review Nov 2018Stroud, United Kingdom9 contributions3 
helpful votes</t>
  </si>
  <si>
    <t>travelodge covert gardeni stay at this hotel wene i stay in london as it is really close to 
theaters ahd tube stations with in walking distance i have stayed there on 
quite a few occasions and i find the staff very polite and helpfulRead 
moreReview collected in partnership with TravelodgeDate of stay: November 
2018HelpfulShare</t>
  </si>
  <si>
    <t>bigblueshed wrote a review Nov 2018Wilmslow, United Kingdom40 
contributions11 helpful votes</t>
  </si>
  <si>
    <t>Location over QualityThere is no doubt that this hotel is in a really great location especially 
for Covent garden and theatres, and if this is most important factor then a 
good option. Entrance is tricky is you have mobility problems or heavy 
luggage. Check in was ok, staff helpful. It is a bit tired and the 
corridors were shabby. The room was a good size but sparse and functional 
rather than comfy. Little things that would make a difference such as 
decent coffee and reasonable quality toilet rolls are missing. Carpet was 
stained. Breakfast was ok at best, poor quality scrambled eggs, bacon and 
the worlds slowest coffee machine. Staying here is all about the price, get 
a low rate and location is possibly worth it. Not a place to stay and 
relax.Read moreDate of stay: November 2018HelpfulShareResponse from 
TravelodgeUK, Molly from the Social Media Team at Travelodge London Covent 
GardenResponded 25 Nov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</si>
  <si>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https://www.tripadvisor.co.uk/Hotel_Review-g186338-d193057-Reviews-or1935-Travelodge_London_Covent_Garden-London_England.html#REVIEWS</t>
  </si>
  <si>
    <t>Jessbitming wrote a review Nov 20185 contributions2 helpful votes</t>
  </si>
  <si>
    <t>Great location and breakfastStayed on a 1 night business trip, had a pleasant stay and was clean and 
room was great with lots of room. The view was not so good but wasnt 
expecting a room with a view. Staff all really attentive and made sure you 
had everything you needed. Would stay again as its a great location. Thank 
you for a good stay.Read moreDate of stay: November 2018HelpfulShare</t>
  </si>
  <si>
    <t>Mydogsasheep wrote a review Nov 2018Rugby6 contributions8 helpful votes</t>
  </si>
  <si>
    <t>Overbooking is their normal company policy and is matched by their poor 
Customer ServiceWas given a Thames Afternoon Tea Cruise as a Christmas present last year 
and decided to take it in November. Rather than come straight back we 
decided to book a show, have a romantic meal then stay overnight in an 
hotel. The Travelodge London Covent Garden was ideally situated for all 3 
events so 3 months in advance booked a double room for £179, a bit steep 
for a Travelodge but didn't mind due to the convenience. The day went very 
well and at the end of the day we were looking forward to a romantic night 
together. That all came crashing down when we checked in at midnight.... 
The receptionist told us that there were no double rooms left! I told him 
we'd booked one 3 months previously and paid the £179 upfront. He told us 
that to ensure we got one we should have checked in…Read moreDate of stay: 
November 20182 Helpful votesHelpfulShare</t>
  </si>
  <si>
    <t>https://www.tripadvisor.co.uk/Hotel_Review-g186338-d193057-Reviews-or1940-Travelodge_London_Covent_Garden-London_England.html#REVIEWS</t>
  </si>
  <si>
    <t>Kimberley B wrote a review Nov 20183 contributions</t>
  </si>
  <si>
    <t>NoisyOur room was beside the main road, diagonally opposite a construction site 
(8 am until 5 pm 7 days a week), and directly opposite a pub (noisy until 3 
am). No sleep after I had phoned beforehand and asked for a quiet room. 
Travelodge is trying to be like Premier Inn, but although they've upgraded 
the decor they haven't upgraded the customer service - at least at Premier 
Inn if it's rubbish you can claim your money back!Read moreReview collected 
in partnership with TravelodgeDate of stay: November 
2018HelpfulShareResponse from TravelodgeUK, Molly from the Social Media 
Team at Travelodge London Covent GardenResponded 22 Nov 2018Thank you 
taking the time to leave us feedback. We are sorry to learn that your stay 
was affected by external noise. Our more central locations may be noisier 
and wherever possible, we mention on the hotel’s booking page that due to 
the location of the hotel, external noise may be heard. In attempt to 
ensure our guests are comfortable we do provide double or triple glazing 
and we try to work with the local areas and communities. It is regrettable 
to hear this was not enough to guarantee a good night stay for you. We hope 
you will chose to stay with us in the future, where we will endeavour to 
restore your faith in Travelodge.Read more</t>
  </si>
  <si>
    <t>veronpat wrote a review Nov 2018Cork, Ireland7 contributions7 helpful votes</t>
  </si>
  <si>
    <t>short stay for visitLocation is excellent for all of London.As I was out most of the time the 
hotel offered good basic clean accommodation and was very comfortable.There 
was no waiting time or delay for anything.There was a small mix up in terms 
of the room I booked but it wasn't a problem and got sorted.Read moreReview 
collected in partnership with TravelodgeDate of stay: November 
2018HelpfulShare</t>
  </si>
  <si>
    <t>Daniel I wrote a review Nov 2018Higham Ferrers, United Kingdom334 
contributions63 helpful votes</t>
  </si>
  <si>
    <t>Great locationYou get what you pay for. Good location, clean hotel, friendly staff. The 
room we were in was quiet small, but if you are just using it as a place to 
stay overnight then it does the job. Couldn't get heating in the room to 
work, so it was actually very cold.Read moreDate of stay: November 
2018HelpfulShare</t>
  </si>
  <si>
    <t>Culture23009704079 wrote a review Nov 20181 contribution</t>
  </si>
  <si>
    <t>Holborn BuildingPlease be aware when booking that the Covent garden hotel has 2 separate 
buildings and they are separated by a busy road.Also there are steps which 
are not always helpful to the elderly.Clean and comfortable with a decent 
breakfast but still expensive in London.Read moreReview collected in 
partnership with TravelodgeDate of stay: November 2018HelpfulShare</t>
  </si>
  <si>
    <t>sean h wrote a review Nov 2018London4 contributions1 helpful vote</t>
  </si>
  <si>
    <t>A bed and a tvDry relaxing stay but the cleanliness of the shower room was not acceptable 
I filed a complaint and reported to manager but I doubt it will be picked 
up Location is good Bar is good for sports And the room was cleaned but 
this sort of thing with the mould is really a big thing for meRead moreDate 
of stay: November 2018HelpfulShareResponse from TravelodgeUK, Molly from 
the Social Media Team at Travelodge London Covent GardenResponded 22 Nov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</si>
  <si>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https://www.tripadvisor.co.uk/Hotel_Review-g186338-d193057-Reviews-or1945-Travelodge_London_Covent_Garden-London_England.html#REVIEWS</t>
  </si>
  <si>
    <t>Valerie C wrote a review Nov 2018Vancouver, Canada14 contributions3 helpful 
votes</t>
  </si>
  <si>
    <t>Lots of problemsThe staff was very nice but problems with their system. They booked someone 
else into our room and they were trying to use their key to get in our room 
our first night. Internet was down the second night. And our food order 
didn't make it to the kitchen.Read moreReview collected in partnership with 
TravelodgeDate of stay: November 2018HelpfulShareResponse from 
TravelodgeUK, Ben from the Social Media Team at Travelodge London Covent 
GardenResponded 3 Dec 2018Thank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</si>
  <si>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Joan009 wrote a review Nov 2018Bristol46 contributions21 helpful votes</t>
  </si>
  <si>
    <t>Good Location, Value for money hotelThe hotel is not a luxury one but it is in a good location for theatres and 
Covent Garden. We stayed 2 nights and the room was a standard double on the 
third floor. The room was of adequate size but the en suite was a bit small 
but all was clean. The bed was comfortable with fresh linen and there were 
fresh towels. The staff were helpful and friendly. We had breakfast which 
was freshly cooked and a good selection. We had an enjoyable stay and would 
stay there again if we needed a hotel in that area.Read moreReview 
collected in partnership with TravelodgeDate of stay: November 
2018HelpfulShare</t>
  </si>
  <si>
    <t>https://www.tripadvisor.co.uk/Hotel_Review-g186338-d1812157-Reviews-or315</t>
  </si>
  <si>
    <t>Pete wrote a review Nov 201852 contributions11 helpful votes</t>
  </si>
  <si>
    <t>Two days stayDecent hotel. Room was nice and I stayed in the other part of the hotel - a 
2 minute walk away. Everything where it should be in the room and no 
complaints. Despite being next to the main road, room was quiet. Would stay 
again.Read moreDate of stay: November 2018HelpfulShare</t>
  </si>
  <si>
    <t>https://www.tripadvisor.co.uk/Hotel_Review-g186338-d193057-Reviews-or1950-Travelodge_London_Covent_Garden-London_England.html#REVIEWS</t>
  </si>
  <si>
    <t>RelaxedYeovil wrote a review Nov 2018Yeovil6 contributions9 helpful votes</t>
  </si>
  <si>
    <t>ANOTHER EXCELLENT VISIT AND STAY!We and friends always stay in this hotel as it is the right location for 
us, tube access easy, facilities and staff all very efficient and clean. We 
love it and so do other people we have recommended.Read moreReview 
collected in partnership with TravelodgeDate of stay: November 
2018HelpfulShare</t>
  </si>
  <si>
    <t>Emma W wrote a review Nov 201881 contributions21 helpful votes</t>
  </si>
  <si>
    <t>Terrible night stayI stayed 1 night here on a business trip - my company paid for the night - 
bed was rock hard... very basic room - fire alarm went off at around 
21:00-21:30 pm ... so as I was just about to fall asleep as I was up early 
the alarm woke me up... Breakfast not the best... had better in premier 
inn. Staff in the evening (bar staff) very nice very welcoming and great 
customer service. Staff in the morning (breakfast) rude - talking in their 
own language around customers - which I find very rude. Wouldn’t be my 
choice of hotel, only good thing was that it was very close to the 
centre...Read moreDate of stay: November 2018HelpfulShareResponse from 
TravelodgeUK, Molly from the Social Media Team at Travelodge London Covent 
GardenResponded 21 Nov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</si>
  <si>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Chris H wrote a review Nov 2018Morecambe, United Kingdom2 contributions1 
helpful vote</t>
  </si>
  <si>
    <t>Comfortable stay.Great place to stay &amp; convenient for seeing the sights or shows. Very 
comfortable, quiet room &amp; great choice for breakfast. TV would be better 
with more channel choice. Would definitely recommend this hotel.Read 
moreReview collected in partnership with TravelodgeDate of stay: November 
2018HelpfulShare</t>
  </si>
  <si>
    <t>DivaDawnie wrote a review Nov 2018Derby. East Midlands32 contributions26 
helpful votes</t>
  </si>
  <si>
    <t>Frozen food and dangerous shower!I stayed at the Travelodge Drury Lane for 1 night last week. I’ve stayed 
there before and it’s been OK, this time however it wasn’t. I was served a 
vegetable Jalfrezi that had ice crystals in the middle. Unfortunately I 
didn’t realise until I’d half eaten the frozen portion, so there was 
nothing left to send back. It was quite unpleasant, but luckily not as 
dangerous as it would have been if it had been chicken. I told the guy who 
took my plate away that they should check their microwave. His reply was 
‘sorry about that’. Nothing else was done or said. If that wasn’t bad 
enough – I got into the shower in the morning (Room 269) and the very heavy 
shower head fell off and hit my shoulder (just missing my head). I told the 
receptionist about both incidents – he said I should report…Read moreDate 
of stay: November 2018HelpfulShareResponse from TravelodgeUK, Ben from the 
Social Media Team at Travelodge London Covent GardenResponded 20 Nov 
2018Thank you for your feedback. We are really sorry to hear of your 
experience. Please accept our sincerest apologies and we have passed your 
comments onto the hotel manager as this does not reflect Travelodge 
standards. We understand you are currently in touch with our customer 
services team who will be investigate this. Thank you again for reviewing 
our hotel.Read more</t>
  </si>
  <si>
    <t>Sze Y wrote a review Nov 20181 contribution</t>
  </si>
  <si>
    <t>Someone went into our roomMy boyfriend and I stayed here at room 148 for 2 nights, room is average 
but at least its quiet during the night. However, when we went back to our 
room after a day out, we were shocked to see that my boyfriend's luggage 
was on the bed and my shoes were on the table, and the weirdest thing was, 
the room was not even cleaned! The bed was still messy, the rubbish bin has 
not been emptied, and we didn't had a change of new towels. Someone has 
definitely been into our room, and if its the cleaner, why isn't our room 
cleaned? Luckily the both of us have locked our luggages (our passports 
were in there) before going out and didn't leave anything valuable laying 
around. My boyfriend immediately went down to the reception to ask for an 
explanation, but the receptionist couldn't give us…Read moreDate of stay: 
November 2018HelpfulShareResponse from TravelodgeUK, Ben from the Social 
Media Team at Travelodge London Covent GardenResponded 20 Nov 2018Thank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</si>
  <si>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https://www.tripadvisor.co.uk/Hotel_Review-g186338-d193057-Reviews-or1955-Travelodge_London_Covent_Garden-London_England.html#REVIEWS</t>
  </si>
  <si>
    <t>Mandy R wrote a review Nov 2018King's Lynn, United Kingdom6 contributions1 
helpful vote</t>
  </si>
  <si>
    <t>Overnight Stay.The hotel fulfilled what was required. It was easy to get to the heart of 
Covent Garden and so a convenient location. Check in and out was smooth and 
fairly quick. The rooms lacked storage and could have done with a couple of 
"glasses" in the bathroom but for somewhere to lay your head for a quick 
visit to London was good.Read moreDate of stay: November 2018HelpfulShare</t>
  </si>
  <si>
    <t>https://www.tripadvisor.co.uk/Hotel_Review-g186338-d193057-Reviews-or1960-Travelodge_London_Covent_Garden-London_England.html#REVIEWS</t>
  </si>
  <si>
    <t>Derek Ronald H wrote a review Nov 2018London, United Kingdom36 
contributions13 helpful votes</t>
  </si>
  <si>
    <t>UnimpressedPrice was pretty good although as they say you get what you pay for. 'Super 
room ' actually fairly ordinary bed comfortable and very clean bathroom. No 
phone in room so it meant a trip down to reception with any problems. Early 
check in (before 3pm ) an extra £10.00 although check out is noon! Second 
day they forgot to service the room, housekeeping had gone so somebody came 
and replaced towels but not loo rolls or sheets. Position good but it 
doesn't make up for shortcomings - we won't be back .Read moreDate of stay: 
November 2018HelpfulShare</t>
  </si>
  <si>
    <t>jebndelorus wrote a review Nov 2018London, United Kingdom139 
contributions45 helpful votes</t>
  </si>
  <si>
    <t>Bearable.It's okay. The location isn't bad, you're right in the centre of London and 
within easy walking distance of Covent Garden, Holborn or Tottenham Court 
Road tubes. It's just a bit soulless and shabby. Communal areas have the 
air of a youth hostel about them, corridors and lifts all feel like they've 
seen better days. Rooms clean, but well-worn. I've actually had two 
separate stays here in recent weeks, one in the main building and one in 
the Holborn annexe. I'd recommend going for that if you have the choice - 
quieter and larger rooms. Overall, an experience to be endured rather than 
enjoyed, but cheap and central. Bearable.Read moreDate of stay: October 
2018HelpfulShare</t>
  </si>
  <si>
    <t>MrAGuest wrote a review Nov 20185 contributions5 helpful votes</t>
  </si>
  <si>
    <t>GlampingIf you fancy a traditional glamping experience in the centre of London, 
look no further. Room decor: 1980s style double with an overused double bed 
showing many signs of character. Beech effect furniture from MFI closing 
down sale back in 2008. A hideous blue carpet, with blue and red striped 
runner dressing the only “bed” in the room. We booked a triple room. This 
was a double bed, with two single camping beds slung in the corner of the 
room, each only supplied with one pillow and a thin duvet cover in the 
height of winter. I’m giving it a two due to the low cost. However 
splitting the cost with two friends is unfair as one also endures the 
camping bed whilst the other enjoys the luxury of two pillows and a bed big 
enough to roll over during the night without face…Read moreDate of stay: 
November 2018HelpfulShareResponse from TravelodgeUK, Tilly from the Social 
Media Team at Travelodge London Covent GardenResponded 25 Nov 2018Thank you 
for your feedback about our London Covent Garden hotel. We are really sorry 
to hear of your experience. Please accept our sincerest apologies and we 
will pass your comments onto the hotel as this does not reflect Travelodge 
standards. If you wish to contact us directly to give us more feedback, 
please be aware that you can always contact our Customer Services team with 
your review. Thank you again for your feedback.Read more</t>
  </si>
  <si>
    <t>https://www.tripadvisor.co.uk/Hotel_Review-g186338-d193057-Reviews-or1965-Travelodge_London_Covent_Garden-London_England.html#REVIEWS</t>
  </si>
  <si>
    <t>salrob wrote a review Nov 2018Newcastle4 contributions1 helpful vote</t>
  </si>
  <si>
    <t>Pleasant experienceExcellent value for money. We were a little apprehensive after reading some 
reviews, however room was as expected a little tired but not as bad as we 
thought.Clean and comfortable and the tea and coffee in room was a welcome 
after returning back each evening.Read moreReview collected in partnership 
with TravelodgeDate of stay: November 2018HelpfulShare</t>
  </si>
  <si>
    <t>stuhulley wrote a review Nov 2018High Wycombe, United Kingdom24 
contributions9 helpful votes</t>
  </si>
  <si>
    <t>Poor experienceLocation is good. Huge shambolic angry crowds on check in delayed check in 
process for so long our business party was delayed. Room average but shower 
only produced cold water. Not a great experience.Read moreDate of stay: 
November 2018HelpfulShareResponse from TravelodgeUK, Ben from the Social 
Media Team at Travelodge London Covent GardenResponded 3 Dec 2018Thank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</si>
  <si>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Karen S wrote a review Nov 2018North West England, United Kingdom34 
contributions17 helpful votes</t>
  </si>
  <si>
    <t>Goldilocks and the three bears!!!Why Goldilocks and the three bears?.... The first room that we were offered 
was in the basement. The ‘window’ was rows of glass frosted bricks situated 
at pavement level. For obvious reasons the ‘window’ didn’t open. Dark &amp; 
dingy. Was it clean?....don’t know. Even with the light on it was too 
dark!! The second room - a ‘family room’. I feel for any family that’s 
given this room. Very tight on space, even for 2 of us. Also situated on a 
busy main road. Far from ideal. The third, and final room - a ‘double 
room’. That’s better. Plenty of room. Better location. Quite comfortable. 
(Last year we upgraded to a Super room for £15, for the duration of our 
stay. We enquired about an upgrade this time, to be told ‘it’s £15 per 
night’). We’ve stayed at Covent Garden several times now…Read moreDate of 
stay: November 2018HelpfulShare</t>
  </si>
  <si>
    <t>Windymillar06 wrote a review Nov 2018Billinge, United Kingdom7 
contributions2 helpful votes</t>
  </si>
  <si>
    <t>Another great stayAfter staying here last week we decided to return. And once again aftab and 
manager Kate are a pleasure to be around. NOTHING is to much trouble for 
these guys. And not forget Kat behind the bar a true lady in her 
professionRead moreDate of stay: November 2018HelpfulShare</t>
  </si>
  <si>
    <t>123pix wrote a review Nov 2018Falmouth, United Kingdom385 contributions94 
helpful votes</t>
  </si>
  <si>
    <t>Great locationStayed just for one night on a business trip. This Travel lodge has 2 
buildings one on Drury lane and one just 3 minutes away around the corner, 
which i was directed to after I checked in. I had a very clean comfortable 
spacious room, with all you need for one night. There were plenty of 
towels, tea/coffees and extra pillows if needed. Staff were friendly and 
helpful. The location is ideal for the West End with many restaurants to 
choose from.Read moreDate of stay: November 2018HelpfulShare</t>
  </si>
  <si>
    <t>https://www.tripadvisor.co.uk/Hotel_Review-g186338-d193057-Reviews-or1970-Travelodge_London_Covent_Garden-London_England.html#REVIEWS</t>
  </si>
  <si>
    <t>jo and maz wrote a review Nov 2018Southport, United Kingdom90 
contributions2 helpful votes</t>
  </si>
  <si>
    <t>Great little stayFantastic central location, clean rooms and beds.... a great base to 
explore with friendly staff. Bar area comfy and welcoming. Beds really 
comfy, tv and tea and coffee in the room, if you need more milk, tea coffee 
etc there is some in reception for you to help yourselfRead moreReview 
collected in partnership with TravelodgeDate of stay: November 
2018HelpfulShare</t>
  </si>
  <si>
    <t>Ann B wrote a review Nov 2018Chelmsford3 contributions1 helpful vote</t>
  </si>
  <si>
    <t>Great Location and ValueWhat a find. Had everything and was a short walk from Covent Garden and 
Theatres. Rooms were quiet and good tea/coffee making facility. Breakfast 
was a worthwhile extra. The only downside was I was unaware of the 15 steps 
to Reception whilst the sister nearby hotel had no steps to Reception and 
although there was a Ramp it was right at the rear of the hotel. Will use 
this hotel again.Read moreReview collected in partnership with 
TravelodgeDate of stay: November 20181 Helpful voteHelpfulShare</t>
  </si>
  <si>
    <t>Venture56342668290 wrote a review Nov 2018Stratford-upon-Avon, United 
Kingdom1 contribution1 helpful vote</t>
  </si>
  <si>
    <t>https://www.tripadvisor.co.uk/Hotel_Review-g186338-d1812157-Reviews-or320</t>
  </si>
  <si>
    <t>Great service and location!This hotel has super friendly and helpful staff aswell as very good value 
rooms. The breakfast was exceptionally good for the price, with a super 
choice. As for location, couldn’t be better for theatres, the British 
Museum and Covent Garden within easy walking distance too.Read moreReview 
collected in partnership with TravelodgeDate of stay: November 20181 
Helpful voteHelpfulShare</t>
  </si>
  <si>
    <t>https://www.tripadvisor.co.uk/Hotel_Review-g186338-d193057-Reviews-or1975-Travelodge_London_Covent_Garden-London_England.html#REVIEWS</t>
  </si>
  <si>
    <t>susankD1973VD wrote a review Nov 2018Suffolk, United Kingdom5 
contributions1 helpful vote</t>
  </si>
  <si>
    <t>Great location and roomPerfect location for exploring London and the West End. The room was 
comfortable and quite. We had a meal in the bar which was great and healthy 
options available too. I have stayed here many times and never been 
dissapointed.Read moreReview collected in partnership with TravelodgeDate 
of stay: November 2018HelpfulShare</t>
  </si>
  <si>
    <t>jossler wrote a review Nov 2018UK84 contributions40 helpful votes</t>
  </si>
  <si>
    <t>Cheap for location; but really shabbyI’ve stayed here several times this year, as it’s convenient for my work, 
close to Soho/theatre land, and relatively inexpensive. But this will be my 
last stay here. I’m simply fed up of the failing infrastructure - last 
visit it was faulty fire alarms triggering on 2 successive nights; this 
time it was an elevator that left me trapped inside for ‘a long 10 
minutes’, with no means of contacting reception. And, once I’d been 
retrieved, no apology or comment from the staff whatsoever. Add in the 
dirty, untidy communal spaces, utterly awful breakfast and unimaginative, 
under-furnished room, and from now on I’ll choose a nearby Premier Inn. 
Travelodge has been left behind at this location.Read moreDate of stay: 
November 20181 RepostHelpfulShareResponse from TravelodgeUK, Shaf from the 
Social Media Team. at Travelodge London Covent GardenResponded 15 Nov 
2018Thank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</si>
  <si>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PhilWalter wrote a review Nov 2018Eastbourne, United Kingdom25 
contributions20 helpful votes</t>
  </si>
  <si>
    <t>Let down by poor maintenanceWe have stayed many times at this central hotel and have never had any 
cause for concern, however we booked two nights for 10th-11th November to 
allow us to attend the armistice parade, a thank you from the nation, we 
checked in to our room which appeared no different from our other visits, 
however on trying the shower we found it did not work as the hot side did 
not deliver any hot water, as time was getting on we decided to leave the 
complaint until the morning, we complained at reception and the girl said 
they would try and fix it for use on our return or if not fixed we would be 
moved to another room, well on our return we checked the shower and it did 
not work, so down to reception we went and the girl on duty said she would 
take a look, of course it did not work so we…Read moreDate of stay: 
November 2018HelpfulShare</t>
  </si>
  <si>
    <t>https://www.tripadvisor.co.uk/Hotel_Review-g186338-d193057-Reviews-or1980-Travelodge_London_Covent_Garden-London_England.html#REVIEWS</t>
  </si>
  <si>
    <t>gudgem wrote a review Nov 2018Paisley, United Kingdom5 contributions2 
helpful votes</t>
  </si>
  <si>
    <t>Great location ... butGood location however lots of other small-ish items detracted from 
experience. Room was cramped, minimal space for clothes &amp; noisy. Check-in 
queue was long and our card did not open room requiring a second visit to 
reception.Read moreReview collected in partnership with TravelodgeDate of 
stay: November 2018HelpfulShareResponse from TravelodgeUK, Ben from the 
Social Media Team at Travelodge London Covent GardenResponded 3 Dec 
2018Thank you for taking the time to write a review about our London Covent 
Garden hotel. We are pleased to hear that you liked the hotels location 
however are sorry to learn of your disappointment with the room size and 
check in queue. Feedback is invaluable and our Hotel Managers regularly 
review their TripAdvisor reviews in order to fix any issues raised and pass 
on feedback to their team. Thank you once again and we do hope you will 
stay with us in the future.Read more</t>
  </si>
  <si>
    <t>Sunshine44375353383 wrote a review Nov 2018Birmingham, United Kingdom1 
contribution</t>
  </si>
  <si>
    <t>Covent GardenNice clean room, comfortable mattress, but alas no sockets by the bed for 
changing phones, or using electonic devices in bed. And also the shower was 
a little on the small side, maybe just 60cm wide. But good for the price 
for Central London.Read moreReview collected in partnership with 
TravelodgeDate of stay: November 2018HelpfulShare</t>
  </si>
  <si>
    <t>bexythepirate wrote a review Nov 2018Yeovil, United Kingdom311 
contributions114 helpful votes</t>
  </si>
  <si>
    <t>Central to everything and met our needs over a busy weekendWe stayed as a group during the remembrance weekend. This is a large multi 
storey hotel with an annex across the road. The hotel was very busy but the 
staff stayed professional, friendly and helpful throughout. This was our 
third year at this hotel and once again it was perfect for our needs. The 
hotel is well located close to both Covent Gdn and Holborn underground 
stations. It has a cafe bar and the bar stays open very late! The 
restaurant was busy and it took a long time to get breakfast as everything 
kept running out, but then when the hotel is full I suppose that is to be 
expected. Rooms vary from the basic to super rooms depending on what you 
pay for, but all are clean, with hot showers. All in all very satisfactory, 
thank you to all staff for your hard work and see you…Read moreDate of 
stay: November 2018HelpfulShare</t>
  </si>
  <si>
    <t>margaret e wrote a review Nov 2018Gloucester, United Kingdom61 
contributions61 helpful votes</t>
  </si>
  <si>
    <t>Celebration weekendStayed for the armistice weekend and husband's 70th birthday. Lovely and 
clean very good breakfast choices room adequate all we needed clean room 
and very tidy. Hotel staff very helpful and extremely friendly a special 
thanks to Phillip Paul &amp; Raul. Would definitely recommend and won't 
hesitate to stay here again.Read moreDate of stay: November 2018HelpfulShare</t>
  </si>
  <si>
    <t>Kevsja wrote a review Nov 2018Sunderland, United Kingdom39 contributions7 
helpful votes</t>
  </si>
  <si>
    <t>Nice locationNice location, fair hotel. Helpful staff on hand to help as required. 
Slight issue with getting a refund processed but helpful young man 
organised this on the reception desk within a few minutes of being asked, 
it seemed a little too testing for the bar staff. All in all comfortable 
hotel as expected from travelodge.Read moreDate of stay: April 
2018HelpfulShare</t>
  </si>
  <si>
    <t>https://www.tripadvisor.co.uk/Hotel_Review-g186338-d193057-Reviews-or1985-Travelodge_London_Covent_Garden-London_England.html#REVIEWS</t>
  </si>
  <si>
    <t>Judith wrote a review Nov 20183 contributions</t>
  </si>
  <si>
    <t>" Good place for a base "Central positioned Hotel for most things, the food was good value for 
money, in London , and nice early evening deals on drinks, all round great 
value, busy at check in times , could do with a different system ??Read 
moreReview collected in partnership with TravelodgeDate of stay: November 
2018HelpfulShare</t>
  </si>
  <si>
    <t>william B wrote a review Nov 2018Edinburgh, United Kingdom70 
contributions13 helpful votes</t>
  </si>
  <si>
    <t>Nights awayWe stayed three nights here in a superior room.It was very good and had a 
great sleep as the bed was very comfortable.We also had a coffee machine as 
well as a kettle and tea and coffee. Would thoroughly recommendRead 
moreDate of stay: November 2018HelpfulShare</t>
  </si>
  <si>
    <t>Mobile49101131828 wrote a review Nov 2018Canterbury, United Kingdom1 
contribution</t>
  </si>
  <si>
    <t>Lovely comfy hotelHotel was lovely.. We had the new superoom. Very clean and good value for 
money with breakfast included and wifiThe WiFi didn't really work but we 
was on the second to top floor. If lower down it probably works - this 
wasn't really an issue for us but could be for someone on business.Very 
clean and the staff were polite. Very quick and simple check in.. Checked 
in early for an extra £10Read moreReview collected in partnership with 
TravelodgeDate of stay: October 2018HelpfulShare</t>
  </si>
  <si>
    <t>https://www.tripadvisor.co.uk/Hotel_Review-g186338-d193057-Reviews-or1990-Travelodge_London_Covent_Garden-London_England.html#REVIEWS</t>
  </si>
  <si>
    <t>Simon F wrote a review Nov 2018Isle of Portland, United Kingdom21 
contributions23 helpful votes</t>
  </si>
  <si>
    <t>clean and functionaljust had two nights here for a show stopover. booked the Drury Lane hotel 
but got rooms in the High Holborn road site. Good large, clean functional 
room in a well kept hotel. Excellent breakfast and helpful staff. The bar 
lacked atmosphere but I think this is really due to the location and the 
fact it serves theatre land. If it had a decent bar however they may get a 
much better level of bar sales as not everyone wants to walk around town 
after a long journey. We went to the Shaftesbury Theatre so only about a 
100m walk.....result! The White Hart round the corner on Drury Lane was 
also very nice. The hotel is well placed for a stroll to Covent Garden, 
Leicester Square or the Mall. A nice central location. The negatives: only 
one that springs to mind. High Holborn is a busy…Read moreDate of stay: 
November 2018HelpfulShare</t>
  </si>
  <si>
    <t>Andy M wrote a review Nov 2018Penzance, United Kingdom55 contributions11 
helpful votes</t>
  </si>
  <si>
    <t>Good location but some minor issues with the roomGood convenient location but room less comfortable than I had hoped ( or my 
recent stays in Travelodge) ventilation noisy, bed dipping to the centre 
and a couple of minor shower issues.Free wifi period did not work 
correctlyRead moreReview collected in partnership with TravelodgeDate of 
stay: November 2018HelpfulShare</t>
  </si>
  <si>
    <t>marg_hill wrote a review Nov 2018Birmingham, United Kingdom5 contributions</t>
  </si>
  <si>
    <t>Theatre holidaywe had a lovely break at this hotel, near to the theatre and Oxford Street 
for shopping, would definitely go again, great deals on meals..starter and 
main for £12 or main and sweet for £12, the barman was a lovely guy, helped 
us when we got all mixed up, and they have happy hourRead moreReview 
collected in partnership with this hotelDate of stay: October 
2018HelpfulShare</t>
  </si>
  <si>
    <t>Samantha E wrote a review Nov 20181 contribution4 helpful votes</t>
  </si>
  <si>
    <t>Just didn't feel welcome!This hotel is actually 2 hotels, one on the corner of Dryer Lane and one 
over the road on High Holborn. Both locations are very close but as a woman 
with a child,I would have felt much safer in the Drury Lane hotel. We have 
had 2 nights of a 3 night stay and the rating i would give this hotel is 
dropping with each night. Indifferent staff, bordering on rude. very few 
towels in our room and no floor mat which nearly resulted in a nasty 
accident last night as the floor is very slippery when wet. We are on the 
12th floor and should have a great view. However we are having to view it 
through a thick film of dirt so its not so great. I felt particularly let 
down last night when we went to reception to order some food, only to find 
the kitchen was shut! How can you advertise food…Read moreDate of stay: 
November 20182 Helpful votesHelpfulShareResponse from TravelodgeUK, Ben 
from the Social Media Team at Travelodge London Covent GardenResponded 3 
Dec 2018We appreciate the time you have taken to review our London Covent 
Garden hotel. It’s really important to us that our staff provide a 
fantastic service to our customers and remain professional at all times so 
we are sorry to learn that you feel this was not the case on this occasion. 
Feedback is invaluable and our Hotel Managers regularly review their 
TripAdvisor reviews in order to fix any issues raised and pass on feedback 
to their team. Thank you once again and we do hope you will stay with us in 
the future.Read more</t>
  </si>
  <si>
    <t>Karen L wrote a review Nov 20187 contributions2 helpful votes</t>
  </si>
  <si>
    <t>Stress free breakWe had an excellent time during our mother daughter break to London in 
October the staff were very friendly helpful and efficient, the room was 
spacious quiet with good lighting , loved the lavazza machine too would 
definitely recommend and will be backRead moreReview collected in 
partnership with this hotelDate of stay: October 2018HelpfulShare</t>
  </si>
  <si>
    <t>https://www.tripadvisor.co.uk/Hotel_Review-g186338-d193057-Reviews-or1995-Travelodge_London_Covent_Garden-London_England.html#REVIEWS</t>
  </si>
  <si>
    <t>Trevhart2014 wrote a review Nov 2018Dereham, United Kingdom40 
contributions7 helpful votes</t>
  </si>
  <si>
    <t>Ideal Base For City StayBooked this hotel as we had tickets for School of Rock which was 50 metres 
from the hotel, perfect. Very clean and functional, friendly staff, good 
decor. Paid extra for the breakfast which was a buffet which was good, the 
only thing I can fault the hotel on was the hot drinks machine. It took so 
long to make a coffee, 6 people were queuing at one point and the area 
isn’t that big, get rid of it!Read moreReview collected in partnership with 
this hotelDate of stay: October 2018HelpfulShare</t>
  </si>
  <si>
    <t>Trip11331669670 wrote a review Nov 20181 contribution</t>
  </si>
  <si>
    <t>Travelodge Covent GardenExcellent hotel very central and very clean would definitely use again. 
Breakfast were well worth the money too. All staff very friendly and rooms 
were nice and spacious. Easy to get to from the underground and close 
enough the Kings Cross to get taxi or UberRead moreReview collected in 
partnership with this hotelDate of stay: November 2018HelpfulShare</t>
  </si>
  <si>
    <t>Angelaa532 wrote a review Nov 2018Doncaster, United Kingdom16 
contributions5 helpful votes</t>
  </si>
  <si>
    <t>Weekend visit to LondonGreat location. Central to everywhere. Covent garden just a couple minutes 
walk away. Theatres very close. Lots of things to see and do.. Good 
friendly staff very helpfull. Rooms comfortable and warm.Read moreDate of 
stay: October 2018HelpfulShare</t>
  </si>
  <si>
    <t>Jet66205578061 wrote a review Nov 20181 contribution1 helpful vote</t>
  </si>
  <si>
    <t>Poor quality hotelThis hotel was vastly overpriced for the quality it provided. The staff 
were unfriendly and showed no interest when booking us in. The hotel 
corridors were dirty with ill fitting carpets covered in stains. The toilet 
in the room was also heavily stained. We stayed in the family side of the 
hotel but it was very noisy with drunks returning to rooms on our floor at 
02:30am and there was a constant noise of emergency vehicle sirens through 
the night.Read moreReview collected in partnership with TravelodgeDate of 
stay: October 20181 Helpful voteHelpfulShareResponse from TravelodgeUK, 
Tilly from the Social Media Team at Travelodge London Covent 
GardenResponded 25 Nov 2018Many Thanks for submitting your review. We're so 
sorry to hear about your recent stay with us at our London Covent Garden 
hotel and would like to hear more about your experience. Please may we 
kindly request you contact us with your review via the website so we can 
investigate your stay for you. Thank you again for posting your comments 
and we hope to hear from you soon.Read more</t>
  </si>
  <si>
    <t>gerri2016 wrote a review Nov 2018Crossgar, United Kingdom47 contributions17 
helpful votes</t>
  </si>
  <si>
    <t>https://www.tripadvisor.co.uk/Hotel_Review-g186338-d1812157-Reviews-or325</t>
  </si>
  <si>
    <t>London Sight Seeing TripStayed here with 2 kids and my mum in a family room. Room clean, bedding 
clean, bathroom ok. Decent breakfast. Window high up. Quite noisy. Our room 
was actually on Drury Road, and not Covent Garden per say. Tube was 5-10 
min walk. In fact Tottenham Court Rd tube was as close. Not as central as I 
thought. Staff on reception friendly.Read moreDate of stay: October 
2018HelpfulShare</t>
  </si>
  <si>
    <t>https://www.tripadvisor.co.uk/Hotel_Review-g186338-d193057-Reviews-or2000-Travelodge_London_Covent_Garden-London_England.html#REVIEWS</t>
  </si>
  <si>
    <t>fran1dale wrote a review Nov 2018110 contributions58 helpful votes</t>
  </si>
  <si>
    <t>New style room at an excellent price! blimmin excellentFinally Travelodge can compete with the other budget hotels, the new style 
room was excellent, really comfy and perfect for exploration and shopping 
trip. Don't hesitate to book a new room and save yourself some ££££'sRead 
moreDate of stay: October 2018HelpfulShare</t>
  </si>
  <si>
    <t>Di H wrote a review Nov 2018Dorset, United Kingdom14 contributions3 helpful 
votes</t>
  </si>
  <si>
    <t>BrilliantMy daughter and I stayed her on Sunday night good value and excellent 
service. The ladies on reception were lovely. Our room was basic but clean 
and warm. Ideally situated for us. Breakfast was lovely.Read moreDate of 
stay: November 20181 Helpful voteHelpfulShare</t>
  </si>
  <si>
    <t>Katie H wrote a review Nov 2018Braunton, United Kingdom59 contributions21 
helpful votes</t>
  </si>
  <si>
    <t>Great locationStayed here with the girls from work on a girlie weekend. Great location, 
easy to walk to the London dungeon, London Eye, china town etc. Rooms clean 
with everything you need including an iron and ironing board in the room. I 
had the continental breakfast and it was plenty. Eat as much as you want 
for £5.95. Overall a great place to stay in London at a reasonable 
priceRead moreDate of stay: November 2018HelpfulShare</t>
  </si>
  <si>
    <t>https://www.tripadvisor.co.uk/Hotel_Review-g186338-d193057-Reviews-or2005-Travelodge_London_Covent_Garden-London_England.html#REVIEWS</t>
  </si>
  <si>
    <t>Departure59317787085 wrote a review Nov 20181 contribution</t>
  </si>
  <si>
    <t>Excellent staff and serviceStaff excellent great service in restaurant by Caroline thus evening. Room 
clean and well looked after. Great location for business and leisure. Great 
bar staff and well priced fod and drink Well done to allRead moreDate of 
stay: November 2018HelpfulShare</t>
  </si>
  <si>
    <t>Richard M wrote a review Nov 2018San Francisco3 contributions</t>
  </si>
  <si>
    <t>Convenient and comfortableGood location near West End Theatres and shops, handy for the British 
Museum. Covent Garden Travelodge is split between two buildings a short 
walk from one to the other. There are lifts but we found a long wait at 
busy times because we were on the 12th floor. A good place to stay for a 
family trip to London.Read moreReview collected in partnership with 
TravelodgeDate of stay: October 2018HelpfulShare</t>
  </si>
  <si>
    <t>https://www.tripadvisor.co.uk/Hotel_Review-g186338-d193057-Reviews-or2010-Travelodge_London_Covent_Garden-London_England.html#REVIEWS</t>
  </si>
  <si>
    <t>Ms_Fee wrote a review Nov 2018Leeds, United Kingdom49 contributions8 
helpful votes</t>
  </si>
  <si>
    <t>Budget hotel, great locationSo we booked this hotel as we were going to London to see Harry Potter and 
The Cursed Child. The location was ideal for us. It is a 10 min walk to 
Palace Theatre and many other theatres. And it’s also a 13 min walk to 
Leicester Square (cinemas , M&amp;M World etc). The thing to keep in mind is 
that this is not a nice looking hotel at all. It is a basic hotel that gets 
the job done. So don’t expect anything lavish. The staff were friendly. The 
room was relatively clean but the bathroom looked very fun down. The hotel 
needs a revamp. Another funny thing that happened was that on the first 
night we were awoken by the sound of the fire alarm going off. It was very 
early in the morning and we were on the 10th floor. We started making our 
way down the staircase. When we got to the 5th…Read moreDate of stay: 
November 2018HelpfulShare</t>
  </si>
  <si>
    <t>Coastal55314114167 wrote a review Nov 2018Derby, United Kingdom1 
contribution2 helpful votes</t>
  </si>
  <si>
    <t>DirtyThe room wasn’t clean, the bathroom had hair and grime in the hingers of 
the door.Black mould around the bath, limescale over the taps in the bath 
and shower head. The foam hand soap was empty too.The room had a small 
storage heater on the wall but it wasn’t powerful enough to heat the room. 
The room was always cold even with the curtins closed, the lid too the 
kettle didn’t close due too a limescale build up so the kettle wouldn’t 
boil properly.The reception staff when we checked out just took the card 
off us and said nothing too is.We we’re never asked about our stay or if 
there was anything we wanted to feed back too themRead moreReview collected 
in partnership with TravelodgeDate of stay: November 20182 Helpful 
votesHelpfulShareResponse from TravelodgeUK, Molly from the Social Media 
Team at Travelodge London Covent GardenResponded 6 Nov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</si>
  <si>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Allgold78 wrote a review Nov 2018Hereford, United Kingdom184 
contributions48 helpful votes</t>
  </si>
  <si>
    <t>Comfortable room but mixed reviewMixed review for this one. Some positive, some negative. Great location. 
Right on the edge of Covent Garden and just a few minutes walk to the 
market square. Just a 15 minute walk to Trafalgar Square too, and in the 
middle of the west end so not far to go for many tourist attractions and 
lots of theatres. Check in was efficient and handled by the fabulous Chris 
who is the very shining example of a lovely welcome and great customer 
service. The room was comfortable and clean. Basic but exactly what you 
expect from the Travelodge. The bed was super comfy and the bedding and 
pillows were lovely. TV and tea and coffee facilities were really all that 
we needed. The room was free from traffic and pedestrian noise. The 
bathroom was clean and the shower powerful. The problems here?…Read 
moreDate of stay: November 2018HelpfulShare</t>
  </si>
  <si>
    <t>OnAir25583471415 wrote a review Nov 2018Leeds, United Kingdom1 
contribution1 helpful vote</t>
  </si>
  <si>
    <t>hot waterthere was no hot water on a morning this wasn't good for my mum who is 78 
year old a hotel with all them rooms should have the facilities to supply 
the hot water, also chaos when the fire alarm went off not only once but 
twice no explanationRead moreReview collected in partnership with 
TravelodgeDate of stay: October 20181 Helpful voteHelpfulShare</t>
  </si>
  <si>
    <t>https://www.tripadvisor.co.uk/Hotel_Review-g186338-d193057-Reviews-or2015-Travelodge_London_Covent_Garden-London_England.html#REVIEWS</t>
  </si>
  <si>
    <t>Gregory095 wrote a review Nov 2018Derby, United Kingdom33 contributions6 
helpful votes</t>
  </si>
  <si>
    <t>PoorI don’t like writing bad reviews but on checking in we didn’t have any 
water in our room for over 2 hours which with young children was a big 
issue. Fire alarm also went off at 6.45am which we was told was a false 
alarm but the staff didn’t silence the alarm quick enough which lead to a 
full evacuation ! Breakfast was extremely poor and went elsewhere. Such a 
shame as location is brilliant.Read moreReview collected in partnership 
with TravelodgeDate of stay: November 20182 Helpful 
votesHelpfulShareResponse from TravelodgeUK, Charley from the Social Media 
Team at Travelodge London Covent GardenResponded 21 Nov 2018Thank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</si>
  <si>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Jody L wrote a review Nov 20181 contribution1 helpful vote</t>
  </si>
  <si>
    <t>Amazing location but poor service. You get what you pay for. Don’t trust 
the staff.I am a regular to this hotel due to its amazing location and with the price 
you pay for I couldn’t really fault it. I have stayed here for almost all 
my visits to London but this will probably be my last visit to this hotel 
due to the dishonesty from my last visit. I stayed for Halloween from the 
30th to 31st October. I checked in around 9pm just to stay for the night 
and paid a lot more than I normally do (around £160). The rooms aren’t the 
best in terms on cleanliness. The bins weren’t emptied when I got there but 
the beds are well made and comfy. Another factor I hate is the fact that 
the showerheads aren’t detachable which is really inconvenient. I know that 
they are detachable if you’re assigned a room at Drury lane which seems to 
have the better rooms but for this…Read moreDate of stay: October 
2018HelpfulShareResponse from TravelodgeUK, Shaf from the Social Media 
Team. at Travelodge London Covent GardenResponded 4 Nov 2018Thank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</si>
  <si>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Excursion31235202524 wrote a review Nov 20181 contribution</t>
  </si>
  <si>
    <t>matildaclean friendly , great location,close to theatres, and north london.dog 
freindly ,helpfull staff.parking very close and with concession ticket very 
cheep.swimming facility close, for relax.on drury lane 2 min to covent 
garden.Read moreReview collected in partnership with TravelodgeDate of 
stay: October 2018HelpfulShare</t>
  </si>
  <si>
    <t>https://www.tripadvisor.co.uk/Hotel_Review-g186338-d193057-Reviews-or2020-Travelodge_London_Covent_Garden-London_England.html#REVIEWS</t>
  </si>
  <si>
    <t>Deanne M wrote a review Oct 2018Tauranga, New Zealand17 contributions8 
helpful votes</t>
  </si>
  <si>
    <t>Great locationThe only thing this hotel has going for it is the location really. Our room 
smelt like vomit and the service from the reception staff was really poor. 
They were very disinterested. The breakfast was fine and the restaurant 
staff were good. It was good to have left baggage facilitiesRead moreDate 
of stay: September 2018HelpfulShare</t>
  </si>
  <si>
    <t>BimblingA1 wrote a review Oct 2018Chobham, United Kingdom218 
contributions106 helpful votes</t>
  </si>
  <si>
    <t>Great value for an overnight stay in central LondonCheaper than an Uber or cab home, this hotel was surprisingly good for its 
price given its location. Right on Drury Lane it's great for an overnight 
stay if your main priority is a bed to sleep in. If you want frills and 
thrills from a hotel then you you could find those elsewhere but, whilst 
basic, this hotel has everything you need for a decent sleep. Comfy beds 
and a decent shower - that just about covers it! Didn't eat breakfast here 
but there are loads of places around so you won't go hungry.Read moreDate 
of stay: October 2018HelpfulShare</t>
  </si>
  <si>
    <t>Maxwell7474 wrote a review Oct 2018East Grinstead, United Kingdom55 
contributions27 helpful votes</t>
  </si>
  <si>
    <t>Great value overnight stopI wasnt sure what to expect as the building looks a bit concretey from the 
outside. The reception was clean and simple. Our room was superb and I want 
one of those showers at home. The staff were terrific. Caroline working on 
the bar on Sunday night deserves special thanks for her happy approach and 
her friendly way. I would definitely go backRead moreReview collected in 
partnership with TravelodgeDate of stay: October 2018HelpfulShare</t>
  </si>
  <si>
    <t>TwoFlower wrote a review Oct 2018Edinburgh, United Kingdom67 contributions7 
helpful votes</t>
  </si>
  <si>
    <t>Great Location but Very BasicOn the plus side the location is very good. Covent Garden, Theatre Land, 
the British Museum and much more are within easy walking distance. However, 
the rooms are small and very basic. The shower curtain was quite 
unpleasant. The general impression was that a refurbishment was required 
Not great value for money.Read moreDate of stay: October 2018HelpfulShare</t>
  </si>
  <si>
    <t>494katieh wrote a review Oct 2018Shaw, United Kingdom80 contributions35 
helpful votes</t>
  </si>
  <si>
    <t>Fantastic location, lovely stay.For those seeking a show, this Travelodge is absolutely perfect! You are 
truly in the heart of the West End! Our show was Harry Potter and the 
Cursed Child at the Palace Theatre, which literally took a few minutes 
walk. The cherry on top for location? A couple of minutes walk from the 
Covent Garden tube station! (Or, if you didn't fancy taking the tube with 
your heavy luggage on check in/out, taxi prices are fairly reasonable from 
London Euston station.) We were checked in promptly by one of the managers, 
who was so friendly and happy to help. His name was Ori! Our room on the 
first floor was at the perfect temperature and very clean. The beds were 
very comfy; we slept like logs for both nights! The shower temperature 
warmed up quickly and had great pressure. Unlimited…Read moreDate of stay: 
October 2018HelpfulShare</t>
  </si>
  <si>
    <t>https://www.tripadvisor.co.uk/Hotel_Review-g186338-d193057-Reviews-or2025-Travelodge_London_Covent_Garden-London_England.html#REVIEWS</t>
  </si>
  <si>
    <t>Mario M wrote a review Oct 20182 contributions3 helpful votes</t>
  </si>
  <si>
    <t>Unbeatable locationIt's a simple but modern and efficient hotel located in the very best 
leisure area of London. The rooms are not big but they are comfortable and 
their facilities seem new. Very good atmosphere and excellent service. Just 
missed a wardrobe in the room.Read moreReview collected in partnership with 
TravelodgeDate of stay: October 2018HelpfulShare</t>
  </si>
  <si>
    <t>mjduck40 wrote a review Oct 2018Accrington, United Kingdom28 
contributions30 helpful votes</t>
  </si>
  <si>
    <t>Lack of organisationStayed for 2 nights, good point is the location, great for the theatres and 
sightseeing. Room ok. Breakfast was terrible, huge wait on the first 
morning and had to go across the road to the other hotel were it was just 
as busy. One lift not working and and the others always were full, got fit 
walking up the stairs though, 6th floor! Went for a drink before going out 
in the evening and no bar staff, stood 10 minutes and was totally ignored. 
I know it is a budget chain but still a level of service is expected and I 
will not staying again even though the location is great, too many other 
factors let it down.Read moreDate of stay: October 2018HelpfulShareResponse 
from TravelodgeUK, Molly from the Social Media Team at Travelodge London 
Covent GardenResponded 30 Oct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</si>
  <si>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Matthew j wrote a review Oct 20181 contribution1 helpful vote</t>
  </si>
  <si>
    <t>Terrible value for moneyRoom was filthy with toilet roll blocking up the bath and sink, unpleasant 
stains throughout the bathroom, broken/missing tiles. No phone in the room 
to contact reception, so when i needed to get my pregnant wife a cup of tea 
early hours of the morning i had to travel five floors to reception. When 
raising my query i was bluntly told by receptionist " well this is a budget 
hotel!" for £170 per night im sure you should receive a better standard 
than this!Read moreReview collected in partnership with TravelodgeDate of 
stay: October 20181 Helpful voteHelpfulShareResponse from TravelodgeUK, 
Tilly from the Social Media Team at Travelodge London Covent 
GardenResponded 12 Nov 2018Many Thanks for submitting your review. We're so 
sorry to hear about your recent stay with us at our Travelodge London 
Covent Garden hotel and would like to hear more about your experience. 
Please may we kindly request you contact us with your review via the 
website so we can investigate your stay for you. Thank you again for 
posting your comments and we hope to hear from you soon.Read more</t>
  </si>
  <si>
    <t>https://www.tripadvisor.co.uk/Hotel_Review-g186338-d193057-Reviews-or2030-Travelodge_London_Covent_Garden-London_England.html#REVIEWS</t>
  </si>
  <si>
    <t>richardbam4th wrote a review Oct 20181 contribution</t>
  </si>
  <si>
    <t>Sub-standardWe booked to stay in London Central Covent Garden, NOT realizing there were 
actually two hotels approximately 80m apart. We arrived at the main 
reception where there were available staff on the reception, only to be 
sent to the other sister hotel where we were then kept waiting to check 
in.Breakfast was busy with long queues so the sister hotel staff were 
suggesting customers walked across and down the road to the main hotel for 
breakfast. This occurred on both mornings. You don't expect to have to wear 
a coat to go for breakfast! Even our children thought it was a joke. Then 
on the day we checked out.....we checked out of the sister hotel, but then 
had to go back to the main hotel to leave our case. If you get to stay in 
the main hotel, i'm sure you'll have a nice stay, if…Read moreReview 
collected in partnership with TravelodgeDate of stay: October 
2018HelpfulShareResponse from TravelodgeUK, Tilly from the Social Media 
Team at Travelodge London Covent GardenResponded 12 Nov 2018Thank you for 
submitting your review of our London Covent Garden.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</si>
  <si>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https://www.tripadvisor.co.uk/Hotel_Review-g186338-d1812157-Reviews-or330</t>
  </si>
  <si>
    <t>dippydoo10 wrote a review Oct 2018Liverpool, United Kingdom104 
contributions44 helpful votes</t>
  </si>
  <si>
    <t>PerfectFrom start to finish everything was just great, the location is great for 
all the sights. Close to Covent Garden Tube it was easy to get 
everywhere.The hotel was very nice inside and the room was just great with 
great views of the City.I haven't stayed in a Travelodge for some time and 
this was just perfect for what we needed.....a bed to stay in a central 
location at a good price.It certainly deliveredRead moreReview collected in 
partnership with this hotelDate of stay: October 2018HelpfulShare</t>
  </si>
  <si>
    <t>571nielm wrote a review Oct 2018Newcastle, Australia3 contributions</t>
  </si>
  <si>
    <t>Centrally Located nice HotelLocation, Location, Location. The place screams of these words. So 
centrally located that visiting London becomes easy. The British Museum is 
just a 5 minutes walk. The Holborn and the Covent Garden Underground is 
just a short walk away to go to anywhere else in London. The Covent Garden 
market which is a 2 minute walk is a very good place to spend the 
evenings.Read moreReview collected in partnership with TravelodgeDate of 
stay: October 2018HelpfulShare</t>
  </si>
  <si>
    <t>https://www.tripadvisor.co.uk/Hotel_Review-g186338-d193057-Reviews-or2035-Travelodge_London_Covent_Garden-London_England.html#REVIEWS</t>
  </si>
  <si>
    <t>Steve J wrote a review Oct 2018Carlisle, United Kingdom37 contributions13 
helpful votes</t>
  </si>
  <si>
    <t>Wont be staying here againStayed here on 21st October 2018 for business. I was a bit apprehensive 
given the poor reviews on this site. The reception was very modern and 
swish and the staff very helpful however on entering my room I found the 
toilet in the bathroom was blocked and solid matter/paper was floating 
around in the bowl, truly vomit inducing. Fair play to the staff though as 
they sorted the problem out promptly. The room was tired looking and in 
need of renovation and I found a few suspicious pubic hairs on one of the 
pillows. The bed was comfy and I had a great nights sleep. I will be 
staying in Travelodge's again but not this one.Read moreDate of stay: 
October 20181 Helpful voteHelpfulShareResponse from TravelodgeUK, Ben from 
the Social Media Team at Travelodge London Covent GardenResponded 11 Nov 
2018Thank you for taking the time to write a review about our London Covent 
Garden hotel. We are pleased to hear that the hotel team were helpful 
during your stay however we are sorry to learn of the problems with the 
toilet and room standards. Travelodge have an ongoing refurbishment program 
and, while we cannot refurbish every hotel simultaneously, we are working 
to make sure that hotels are refurbished regularly. Feedback is invaluable 
and our Hotel Managers regularly review their TripAdvisor reviews in order 
to fix any issues raised and pass on feedback to their team. Thank you once 
again and we do hope you will stay with us in the future.Read more</t>
  </si>
  <si>
    <t>traveldee14 wrote a review Oct 2018Chippenham, United Kingdom69 
contributions39 helpful votes</t>
  </si>
  <si>
    <t>Great option for West End shows!The Covent Garden Travelodge is a great place to stay if you’re looking for 
a good place to stay to be near the West End. You get a nice clean, 
comfortable well maintained room ( it looks recently refurbished), with 
everything you need when you come back from a show. If a luxury hotel 
experience in the area is part of the enjoyment of your London break, then 
look elsewhere, but for a good hotel at an excellent price, l would 
certainly recommend it! We’ll definitely be staying again!Read moreReview 
collected in partnership with TravelodgeDate of stay: October 
2018HelpfulShare</t>
  </si>
  <si>
    <t>Allan W wrote a review Oct 2018Stenhousemuir, United Kingdom128 
contributions23 helpful votes</t>
  </si>
  <si>
    <t>Returned again and agsinOur family used this hotel four times this year and each time the rooms and 
service we received were brilliant. Sure it’s a basic budget hotel but the 
beds were clean and comfy and the breakfasts were tasty. We stayed at both 
sites and both were great. Also the location is perfect for lots of central 
attractions. Will definitely be back.Read moreDate of stay: July 
2018HelpfulShare</t>
  </si>
  <si>
    <t>https://www.tripadvisor.co.uk/Hotel_Review-g186338-d193057-Reviews-or2040-Travelodge_London_Covent_Garden-London_England.html#REVIEWS</t>
  </si>
  <si>
    <t>bramleys9 wrote a review Oct 2018Gloucester, United Kingdom3 contributions</t>
  </si>
  <si>
    <t>Brilliant value for moneyLovely spacious room, great breakfast, great location, clean and tidy, the 
free bag drop of was brilliant. Three adults sharing was fine, comfy beds 
all good. I can't fault this stay except one of the lofts wasn't working, 
apart from that brilliantRead moreReview collected in partnership with 
TravelodgeDate of stay: October 2018HelpfulShare</t>
  </si>
  <si>
    <t>amywoodley10 wrote a review Oct 2018Lincoln, United Kingdom22 
contributions6 helpful votes</t>
  </si>
  <si>
    <t>H.P weekendStayed here for a family hol to watch Harry Potter cursed child. The room 
was plenty big enough for 4 of us with comfy beds and an adequate bathroom. 
First morming down the que was very long for breakfast however we were 
accommodated to a table of 4 in no time and the staff were very polite, 
particularly PHILLIP who had stayed on shift longer than he was suppose to 
and still had a big smile on his face. The breakfast was very nice and of a 
good standard even under busy pressure. Very well run. Thank you 
Travelodge.Read moreDate of stay: October 20181 Helpful voteHelpfulShare</t>
  </si>
  <si>
    <t>HWood wrote a review Oct 2018Greater Manchester, United Kingdom55 
contributions22 helpful votes</t>
  </si>
  <si>
    <t>Good basic hotelWe had a clean room where I was able to have a good nights sleep despite 
the rooms not being very sound proof so I was woken once or twice by 
outside noises so if your a light sleeper maybe this is not for you. The 
hotel and room is very simple, the most basic you can imagine. I found the 
bed and pillows comfy. The hotel is split in 2 and I was on the side 
junction with museum road, there are lots of road and building works at the 
moment right outside the hotel so it’s not the prettiest location. I found 
this was a good central London location. In our building there was an 
extremely long queue for breakfast the 2nd morning but we were able to go 
over to the other building where we were seated straight away. The 
breakfast in each buildings were the same, again basic with a…Read moreDate 
of stay: October 2018HelpfulShare</t>
  </si>
  <si>
    <t>wenbaz2015 wrote a review Oct 2018Manchester, United Kingdom54 
contributions19 helpful votes</t>
  </si>
  <si>
    <t>Not the best Travelodge - poor valueStayed in a few Travelodges for work purpose and this is the worst I have 
stayed in. Be aware there are 2 parts to the Travelodge Covent Garden. I 
was in the one with the entrance on Drury lane with steps up to the main 
reception. Initial impression was good with the bar, dining area and 
breakfast area were fine. My room was an accessible adapted one on the 
first floor although I had no need of these. The window attempted to be 
double glazed but really needs at least triple glazing to be effective 
against noise. It was made worse as the handle of one of the windows was 
barely hanging on, which meant it didn’t close properly. Not a problem as 
needed the ventilation as it was warm for October but if left it will be a 
problem. Room overlooked by a block of flats so close you see…Read moreDate 
of stay: October 20181 Helpful voteHelpfulShare</t>
  </si>
  <si>
    <t>Jason L wrote a review Oct 201817 contributions11 helpful votes</t>
  </si>
  <si>
    <t>Perfect for a London showIf you are looking for a affordable hotel for a London show this is 
definitely worth a look. The rooms are clean and spacey enough for a short 
stay. Only a short walk from most top London shows and some nice bars and 
restaurants. The staff are really friendly and helpful.Read moreDate of 
stay: October 2018HelpfulShare</t>
  </si>
  <si>
    <t>https://www.tripadvisor.co.uk/Hotel_Review-g186338-d193057-Reviews-or2045-Travelodge_London_Covent_Garden-London_England.html#REVIEWS</t>
  </si>
  <si>
    <t>emma40357 wrote a review Oct 2018Devon, United Kingdom2 contributions</t>
  </si>
  <si>
    <t>London 2018Excellent location, room was fairly clean and tidy, very spacious family 
room. Staff very helpful although we had an incident where fire alarm went 
off and we had to vacate but had no communication from anyone! We were on 
the 10th floor and made our way down the stairs, got to 5th floor and alarm 
stopped!! Asked passing staff if we still needed to vacate but unsure if 
they could speak English as they looked very blank and walked straight 
past! Waited outside for 10/15 mins and then we were allowed back in. 
Unsure if it was a test or a proper incident?Would defo stay here 
again!Read moreReview collected in partnership with TravelodgeDate of stay: 
October 2018HelpfulShare</t>
  </si>
  <si>
    <t>Moyra A wrote a review Oct 2018Isle of Man121 contributions34 helpful votes</t>
  </si>
  <si>
    <t>Excellent LocationWe stayed here for three nights and were very satisfied. An excellent 
location for theatreland and also for shopping and sightseeing. We used the 
left luggage service which worked very well. Our room was clean and 
comfortable. No frills. It was also very quiet. Breakfast was great, plenty 
of choice. The staff were very pleasant. Would stay again.Read moreDate of 
stay: October 20181 Helpful voteHelpfulShare</t>
  </si>
  <si>
    <t>https://www.tripadvisor.co.uk/Hotel_Review-g186338-d193057-Reviews-or2050-Travelodge_London_Covent_Garden-London_England.html#REVIEWS</t>
  </si>
  <si>
    <t>Nerissa N wrote a review Oct 2018Cumbria, United Kingdom1 contribution</t>
  </si>
  <si>
    <t>Mixed viewsThe hotel is conveniently situated for theatre visits &amp; shopping. Our room 
was a great size &amp; the hotel had everything we needed but it was quite 
shabby &amp; worn in places, especially carpets. There was plenty of coffee &amp; 
milk in the room, much better than in a premier inn. Bed was comfortable. 
It was quite noisy from building work going on outside. Biggest issue was 
that you had to go across the busy road to the other hotel to leave 
luggage, up a lot of steps &amp; through the hotel. The system for left luggage 
was not very well organised. Would have been much better if we could have 
left luggage in the actual hotel we were staying in. We also had a long 
wait for lifts when checking out. We had paid for WiFi but couldn’t connect 
to it. All in all, this could be a great hotel with…Read moreReview 
collected in partnership with TravelodgeDate of stay: October 
2018HelpfulShare</t>
  </si>
  <si>
    <t>Graham3942015 wrote a review Oct 2018Ormskirk, United Kingdom5 
contributions2 helpful votes</t>
  </si>
  <si>
    <t>Excellent locationVery good overall, excellent location friendly staff. Breakfast good value. 
WiFi fine £3 a day for 2 devices False fire alarm a bit worrying one 
morning, in view of recent events did give our young family a fright, but 
no cladding on exterior of building. Apart from this an excellent stay 
would recommend, large family room.Read moreReview collected in partnership 
with TravelodgeDate of stay: October 2018HelpfulShare</t>
  </si>
  <si>
    <t>HellsBells30 wrote a review Oct 2018Dubai, United Arab Emirates114 
contributions29 helpful votes</t>
  </si>
  <si>
    <t>Good location but tired hotelWe chose this hotel directly to it's proximity to theatres. We stayed in a 
family room for a single night. The good points to consider for this hotel 
are it's excellent location, reasonable price and friendly, helpful staff. 
They also had an ironing board and iron in the room. The bad points are 
that it compares unfavourably to similarly Premier Inns in several ways: 
the decor was tired, the bathrooms were dark and depressing, the breakfast 
buffet was poor in comparison (baked beans served in a vat!), a limit of 
two devices per room for free WiFi, no hairdryer in our room and no hot 
water! The staff managed to find us another room to shower in thankfully. 
In fact if it wasn't for the staff I would have little positive to say for 
the place. For a single night on a theatre trip…Read moreDate of stay: 
October 2018HelpfulShare</t>
  </si>
  <si>
    <t>Alastair W wrote a review Oct 2018Norwich, United Kingdom184 
contributions48 helpful votes</t>
  </si>
  <si>
    <t>Great value for staying after the theatreIf you want to stay the night in London after theatre to avoid a late rush 
home this is an excellent choice. The rooms have air con and are a 
reasonable size and are very quiet. No frills but straightforward in a good 
way. Good value for money by London standards as well.Read moreDate of 
stay: October 2018HelpfulShare</t>
  </si>
  <si>
    <t>https://www.tripadvisor.co.uk/Hotel_Review-g186338-d193057-Reviews-or2055-Travelodge_London_Covent_Garden-London_England.html#REVIEWS</t>
  </si>
  <si>
    <t>Kayla wrote a review Oct 2018Ulverston, United Kingdom199 contributions32 
helpful votes</t>
  </si>
  <si>
    <t>Very friendly staffChecked in on Drury lane but as we was in a family room we was shown across 
the road to the other Travelodge we would be staying in, explaining that 
this part is for families which I thinks a great idea. (No rowdy party's 
disruptions) The room was clean on arrival, one big double bed and two camp 
beds pushed together, as it was my two children and my mum, my mum and son 
had the double bed and me and my daughter had the camp beds so she could 
sleep next to the wall and not fall out. Unfortunately for me these camp 
beds are not comfortable in the slightest, it also had a heater on the wall 
were our heads were, I sleep with my arm under the pillow under my head and 
couldn't coz I'd have my hand on the cold heater and when I moved down the 
bed my feet hung out the bottom and I'm…Read moreDate of stay: October 
2018HelpfulShare</t>
  </si>
  <si>
    <t>https://www.tripadvisor.co.uk/Hotel_Review-g186338-d193057-Reviews-or2060-Travelodge_London_Covent_Garden-London_England.html#REVIEWS</t>
  </si>
  <si>
    <t>https://www.tripadvisor.co.uk/Hotel_Review-g186338-d1812157-Reviews-or335</t>
  </si>
  <si>
    <t>Elly C wrote a review Oct 2018Dublin, Dublin, Ireland9 contributions3 
helpful votes</t>
  </si>
  <si>
    <t>central locationGreat location,close to covent garden,british museum, theatres, leicester 
square and restaurants, able to walk to a lot of tourist sites.Friendly 
staff, quiet, clean and tidy, the left luggage room a bonus.Read moreDate 
of stay: October 2018HelpfulShare</t>
  </si>
  <si>
    <t>cmp701 wrote a review Oct 2018Shoreham-by-Sea, United Kingdom4 
contributions1 helpful vote</t>
  </si>
  <si>
    <t>Not in Drury’s LaneTried to check into Travelodge in Druys Lane - first impressions was clean 
and modern. Only to be told that as we booked a family room this was the 
Travelodge adjacent off High Holborn. First impression, tired looking but 
clean. Rooms very basic and cold, very small electric wall radioater that 
wasn’t sufficient to warm the room. Bathroom very small and needing update. 
Breakfast - absulote mayhem. Not enough tables or room around the food 
area. Had to wait a fair time to be seated but it was a free for all to get 
your food. Good location but was expecting more from Travelodge and the 
photos they postRead moreDate of stay: October 2018HelpfulShareResponse 
from TravelodgeUK, Molly from the Social Media Team at Travelodge London 
Covent GardenResponded 25 Oct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</si>
  <si>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awmwatson wrote a review Oct 2018Worthing, United Kingdom1 contribution</t>
  </si>
  <si>
    <t>Get what you pay for and lessIn need of a major refurbishment. No catering. Even vending machine broken. 
Strange smell in bedroom. WiFi didn't work (payed extra for this service), 
Reception blamed it on my devise, fobbed off with helpline phone number. 
Okay for quick not thrills stopover. Bad for holiday/tourist trip.Read 
moreDate of stay: October 2018HelpfulShareResponse from TravelodgeUK, Shaf 
from the Social media Team. at Travelodge London Covent GardenResponded 25 
Oct 2018Thank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</si>
  <si>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dannytaylor934 wrote a review Oct 2018Portsmouth, United Kingdom1 
contribution</t>
  </si>
  <si>
    <t>Overnight stayGreat value for money, room was very tidy and clean, staff were very polite 
and helpful. Found it was also in a prime location as just around the 
corner of oxford street. Would highly recommend here..Read moreDate of 
stay: October 2018HelpfulShare</t>
  </si>
  <si>
    <t>Sheila P wrote a review Oct 2018Norwich, United Kingdom19 contributions6 
helpful votes</t>
  </si>
  <si>
    <t>Travel Lodge Covent GardenPerfect place to stay when visiting London. Clean, tidy and comfortable. 
Have stayed here several times and booked long in advance and at last 
minute however, have never succeeded in getting a 'special offer rate' as 
often advertised.Read moreReview collected in partnership with 
TravelodgeDate of stay: October 2018HelpfulShare</t>
  </si>
  <si>
    <t>https://www.tripadvisor.co.uk/Hotel_Review-g186338-d193057-Reviews-or2065-Travelodge_London_Covent_Garden-London_England.html#REVIEWS</t>
  </si>
  <si>
    <t>Caroline A wrote a review Oct 20181 contribution</t>
  </si>
  <si>
    <t>Visiting a West End showHotel ideally located to visit the many theatres around Drury Lane. Clean, 
tidy and accommodating. Added advantage of a Travelodge with a restaurant 
and bar offering a decent choice of food and drinks at competitive prices. 
The evening meal was so good we decided to stay for breakfast as well. 
Happy smiling staff made us feel welcome. Would definitely recommend this 
hotel.Read moreDate of stay: October 2018HelpfulShare</t>
  </si>
  <si>
    <t>Rokerman73 wrote a review Oct 2018Milton Keynes, United Kingdom49 
contributions51 helpful votes</t>
  </si>
  <si>
    <t>Loved the new superroomsHaving stayed in this hotel before I new it was in an excellent position 
for Covent Garden and the West End. I had booked a super room for the first 
time and was so pleased I did. We managed to get a room on the 8th floor 
and had a great room. I always try and book early for a great deal and this 
was no exception. The new rooms have a nice coffee machine, flat screen tv, 
small but decent shower room. For a budget hotel this did not disappoint. 
We ate out so we did not use the restaurant so I can't comment on this 
facility. All in all a good stay.Read moreReview collected in partnership 
with TravelodgeDate of stay: October 2018HelpfulShare</t>
  </si>
  <si>
    <t>arlenemay16 wrote a review Oct 2018Vancouver, Canada5 contributions</t>
  </si>
  <si>
    <t>Location, location, location!!!We’ve stayed at Travelodge Covent Garden at 10 Drury Lane, London. It’s in 
the bustling location in London. Close to both Covent Garden and Holborn 
tube stations. Walking distance to Trafalgar Square, Chinatown, and variery 
of cafes and restaurants around it. The room is fairly good size. We were 
given the “Super room”, with pirculator, coffee maker, which makes very 
good foamy espresso. With supplies of coffee pods, tea bags, and chocolate 
drink. Very clean room and good sized bathroom, a lot bigger than in 
Europe’s standard.Read moreDate of stay: October 2018HelpfulShare</t>
  </si>
  <si>
    <t>https://www.tripadvisor.co.uk/Hotel_Review-g186338-d193057-Reviews-or2070-Travelodge_London_Covent_Garden-London_England.html#REVIEWS</t>
  </si>
  <si>
    <t>Julie wrote a review Oct 2018221 contributions34 helpful votes</t>
  </si>
  <si>
    <t>Location food but so noisyWe were in a family room so in the second location around the corner. It 
was great for being handy for the theatres but even though we were on the 
8th floor it sounded like we were above a bar. The windows have zero noise 
insulation and you gear every car, siren and person passing underneath as 
if you are on the ground floor.Read moreDate of stay: October 
2018HelpfulShare</t>
  </si>
  <si>
    <t>Ben W wrote a review Oct 2018Newbury, United Kingdom1,317 contributions124 
helpful votes</t>
  </si>
  <si>
    <t>Cheap(ish) accommodation in central LondonWas in London for work commitments with a number of colleagues and the 
Travel Lodge in Covent Garden was an affordable place to stay given London 
prices. We paid £164 per person per night (inc breakfast). The room I had 
was at the back of the property on the ground floor and although a little 
dark was quiet, clean and comfortable. A colleague was staying at the front 
of the hotel on the ground floor and found it very noisy so I’d recommend 
asking for a room at the back. Breakfast offered a good spread of different 
choices and a buffet where you can eat as much as you like. Overall a safe 
bet for affordable accommodation in a great location. Nothing flash but 
does the job.Read moreDate of stay: October 2018HelpfulShare</t>
  </si>
  <si>
    <t>MiladyUK wrote a review Oct 2018Leeds, United Kingdom95 contributions32 
helpful votes</t>
  </si>
  <si>
    <t>Great value, great locationStayed here in business with colleagues. This is a huge hotel, but has nice 
rooms and is very clean. Breakfast was good and plentiful. Immediately 
outside the hotel is an array of restaurants and bars, and it’s right on 
the doorstep of Theatreland. Taxi to Regent Street - £8. Taxi to Euston 
£12. A great place to stay in Centre London.Read moreReview collected in 
partnership with TravelodgeDate of stay: October 2018HelpfulShare</t>
  </si>
  <si>
    <t>Travelynn_13 wrote a review Oct 2018Perth, United Kingdom12 contributions3 
helpful votes</t>
  </si>
  <si>
    <t>Well located for theatresWe chose this hotel for its convenient location, within walking distance of 
theatres we were going to. The room was clean but small &amp; the bathroom 
lighting was very dim. We stayed 2 nights &amp; I had to ask (twice) for dry 
towels on the second day, as the room had not been serviced &amp; there was no 
heated towel rail to dry wet towels. The breakfast was good - a fair choice 
of hot &amp; cold choices - and the staff were assiduous at keeping the 
breakfast room clean &amp; tidy. Would I stay here again? Perhaps if going to a 
show but otherwise no.Read moreDate of stay: October 2018HelpfulShare</t>
  </si>
  <si>
    <t>https://www.tripadvisor.co.uk/Hotel_Review-g186338-d193057-Reviews-or2075-Travelodge_London_Covent_Garden-London_England.html#REVIEWS</t>
  </si>
  <si>
    <t>Maria_Spath wrote a review Oct 2018Athens, Greece55 contributions23 helpful 
votes</t>
  </si>
  <si>
    <t>Excellent value for money!I stayed in this hotel for five days and I was very satisfied! I stayed in 
a super room, which was spacious and very clean with many amenities. The 
location was really convenient, just a few minutes walk from Holborn 
station. The hotel staff was great and happy to help. The breakfast was 
average and the breakfast room too busy, it should be more spacious for 
such a big hotel. Yet, overall I would definitely stay again at this 
hotel!Read moreDate of stay: August 20181 Helpful voteHelpfulShare</t>
  </si>
  <si>
    <t>Rachel B wrote a review Oct 2018Newcastle upon Tyne, United Kingdom70 
contributions20 helpful votes</t>
  </si>
  <si>
    <t>Stayed in a “superior” roomI’ve stayed in this hotel so many times before on business so knew how well 
located this hotel is. This time travelling with my partner as we were 
going to see a show at the theatre so it was in a great location! The 
reason we opted for superior was for the lavazza coffee machine in the room 
however there wasn’t enough milk to use all the coffees :( the one cup I 
had tasted lovely though! I also knew that the “superior” rooms were on the 
recently refurbished 7th floor so would be clean and tidy! I’ve never had 
any issues with noise (other than one time when I stayed on the street 
level facing the main road) here before and didn’t this time either. Check 
in was busy but it was around 4pm mid week so can’t really complain 
considering it’s very popular amongst business…Read moreDate of stay: 
October 2018HelpfulShare</t>
  </si>
  <si>
    <t>socalledscreenname wrote a review Oct 2018Cheltenham, United Kingdom6 
contributions2 helpful votes</t>
  </si>
  <si>
    <t>Travelogue Covent GardenClean and comfortable and a good location, though expensive for a plasticy 
so called ‘super’ room, where the coffee machine leaked and was not fixed 
after my complaint. We had very noisy neighbours who were running between 
rooms and shouting until midnight - not the hotel’s fault.Read moreReview 
collected in partnership with TravelodgeDate of stay: October 
2018HelpfulShare</t>
  </si>
  <si>
    <t>chorusgirl13 wrote a review Oct 2018Edinburgh, United Kingdom90 
contributions35 helpful votes</t>
  </si>
  <si>
    <t>return visitCentral location, everything you would expect for this standard of 
accommodation. Staff attentive and nothing was too much trouble for them. 
Our twin beds on the fourth floor were slightly lumpy would be my only 
negative comment.Read moreDate of stay: September 2018HelpfulShare</t>
  </si>
  <si>
    <t>Voyage687746 wrote a review Oct 20181 contribution2 helpful votes</t>
  </si>
  <si>
    <t>Appalling unsafe bathroom.My girlfriend and I stayed at the hotel on Wednesday night as we travelled 
down from Newcastle for the evening for her birthday.And I have to say 
we’re really disappointed with the room we stayed in and how little was 
done to amend the issues.Firstly the bedroom itself was nice and we have no 
complaints about this, however the bathroom was dreadful.The shower head 
was completely broken, firing water out the top and side of the shower 
head. Not only did this flood the floor but even worse the entire shelf 
behind the sink where our toiletries bags were were drenched. All our 
belongings including and electric razor (which has had to be binned), 
aftershaves, makeup the lot have been ruined.We came down to reception to 
complain and were simply told the maintenance team would look at…Read 
moreReview collected in partnership with TravelodgeDate of stay: October 
2018HelpfulShareResponse from TravelodgeUK, Charley from the Social Media 
Team at Travelodge London Covent GardenResponded 19 Oct 2018Thank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</si>
  <si>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https://www.tripadvisor.co.uk/Hotel_Review-g186338-d193057-Reviews-or2080-Travelodge_London_Covent_Garden-London_England.html#REVIEWS</t>
  </si>
  <si>
    <t>stetst . wrote a review Oct 2018Geelong, Australia2 contributions</t>
  </si>
  <si>
    <t>Covent Gardens Travelodge StayGreat location and comfortable rooms. Needs improvement on front desk 
attitude and assistance. They provided conflicting information over 2 
shifts when asked to reserve a taxi for departure. They were also blaze 
about providing assistance. Having said that, the rooms are comfortable and 
clean. No telephone if you need to make outside calls or ring 
reception.Read moreReview collected in partnership with TravelodgeDate of 
stay: September 2018HelpfulShare</t>
  </si>
  <si>
    <t>bay_of_naples_1801 wrote a review Oct 2018Carmarthenshire, United Kingdom27 
contributions22 helpful votes</t>
  </si>
  <si>
    <t>WORTH EVERY PENNYWithout doubt the best Travelodge I’ve stayed at and I’ve stayed at a fair 
few over the years! This one has it all. Superb location in a popular part 
of London with so much to explore within walking distance. The hotel staff 
are great...friendly and efficient. A special word of praise for the 
Assistant Manager Ori and the young waitress Vanessa. Great food too - a 
plentiful breakfast and a good value for money dinner menu. I recommend the 
Chicken Tikka Massala and the Steak &amp; Ale Pudding. My room on the 7th floor 
had a superb view from the window of the local London skyline...The London 
Eye in particular. Will definitely return.Read moreDate of stay: October 
2018HelpfulShare</t>
  </si>
  <si>
    <t>kuehnstefan wrote a review Oct 20181 contribution</t>
  </si>
  <si>
    <t>best located hotel with fair pricesthe hotel is very good located near covent garden. piccadilly, trafalgar 
... in a few minutes by feetroom was very clean and comfortablereception- 
team is very nice und helpfulbreakfast was goodsee you next time...Read 
moreReview collected in partnership with TravelodgeDate of stay: October 
2018HelpfulShare</t>
  </si>
  <si>
    <t>joneda1 wrote a review Oct 2018Province of Florence, Italy10 contributions</t>
  </si>
  <si>
    <t>A bit more budget than expected for a budget hotelHot water barely lukewarm on arrival, only a bit hotter after Maintenance. 
No air conditioning and no fridge but to be fair the booking didn't specify 
either. The positive side, all staff were friendly and helpful and a 
maintenance person attended to the shower the same day.Read moreReview 
collected in partnership with TravelodgeDate of stay: October 
2018HelpfulShareResponse from TravelodgeUK, Ben from the Social Media Team 
at Travelodge London Covent GardenResponded 7 Nov 2018Thank you for taking 
the time to write a review about our London Covent Garden hotel. We are 
pleased to hear that the hotel team were helpful and friendly however are 
sorry to learn of the problems with the hot water.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</si>
  <si>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https://www.tripadvisor.co.uk/Hotel_Review-g186338-d193057-Reviews-or2085-Travelodge_London_Covent_Garden-London_England.html#REVIEWS</t>
  </si>
  <si>
    <t>Rebekka B wrote a review Oct 20189 contributions3 helpful votes</t>
  </si>
  <si>
    <t>Terribly unorganized and scammed meI had to call from the hotels desk phone to book a room for my return from 
Mykonos . I had stayed here a week before. I spoke directly with 
reservations from their phone at their desk . When I returned and checked 
in I reiterated my check out date then got an email on my phone showing a 
check out a day earlier than booked . Obviously they had made a mistake - 
fair enough, but I asked repeatedly to settle the issue (for two days) and 
got all sorts of excuses- systems down, managers unavailable , blah blah. 
Long story short they FINALLY PRESENTED A BILL FOR My LAST NIGHT THEY 
MISSED AND IT WAS MORE THAN DOUBLE THE HIGHEST RATE ID BEEN QUOTED AND SEEN 
ON YHE INTERNET . Essentially it’s 4pm at this time , I’m tired and had an 
options then to wander London trying to find another room…Read moreDate of 
stay: October 20181 Helpful voteHelpfulShare</t>
  </si>
  <si>
    <t>MoBigs wrote a review Oct 2018Chard, United Kingdom7 contributions52 
helpful votes</t>
  </si>
  <si>
    <t>Well positioned near to Covent GardenWe had an outstandingly helpful service from a lady called Renata at this 
hotel who could not do enough for us. The rooms are basic but comfortable 
but they do not provide any little extras such as soap, shampoo etc. And 
you need to ask if you want a hairdryer as there is not one in the room. We 
found the area for dining extremely cold as it is situated very close to 
the front doors which are opening and closing constantly. The food is OK. 
We enjoyed their beef bourgignon one evening and the breakfast is very 
varied but, like most buffets, the hot food is never really hot enough. All 
in all a reasonable place to stay in London.Read moreDate of stay: October 
2018HelpfulShare</t>
  </si>
  <si>
    <t>sallyann42018 wrote a review Oct 2018Bexleyheath, United Kingdom1 
contribution</t>
  </si>
  <si>
    <t>Not worth the moneyWe were given the key to someone else's room. The duvet was wafer thin and 
not big enough for the bed. Breakfast was a free for all with inadequate 
control over seating. Shower head was dirty and no mat to step out of the 
shower on to. No glass for teeth cleaning. Shabby uninviting decor and less 
than helpful desk staff.Read moreReview collected in partnership with 
TravelodgeDate of stay: October 2018HelpfulShareResponse from TravelodgeUK, 
Ben from the Social Media Team at Travelodge London Covent GardenResponded 
7 Nov 2018Thank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</si>
  <si>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gwensis wrote a review Oct 2018Caernarfon, United Kingdom4 contributions8 
helpful votes</t>
  </si>
  <si>
    <t>Great hotel in a great locationFab location, central to Covent Garden, close to Leicester Square and 
Piccadilly Circus. Great breakfast. Clean and tidy rooms, warm - but not 
too warm! Reception staff were great, very welcoming and helpful. Would 
definitely stay here again in the future.Read moreReview collected in 
partnership with TravelodgeDate of stay: October 2018HelpfulShare</t>
  </si>
  <si>
    <t>Romina P wrote a review Oct 20181 contribution</t>
  </si>
  <si>
    <t>https://www.tripadvisor.co.uk/Hotel_Review-g186338-d1812157-Reviews-or340</t>
  </si>
  <si>
    <t>Right straight in the center of LondonWith my wife and son (3 adults) we stayed for 11 nights on the Travelodge 
located in 166 High Holborn, we booked the Super Family Room.The hotel is 
located in the heart of Covent Garden so you have access to everything you 
need in London in seconds.A quiet and comfortable place recommended for any 
kind of visit in London.We booked directly in the homepage of the hotel in 
a minute in a quick and secure way.In case we come back to London sometime 
we will stay in this hotel for sure.Read moreReview collected in 
partnership with TravelodgeDate of stay: October 2018HelpfulShare</t>
  </si>
  <si>
    <t>https://www.tripadvisor.co.uk/Hotel_Review-g186338-d193057-Reviews-or2090-Travelodge_London_Covent_Garden-London_England.html#REVIEWS</t>
  </si>
  <si>
    <t>Bexs186402 wrote a review Oct 2018Birmingham, United Kingdom72 
contributions26 helpful votes</t>
  </si>
  <si>
    <t>Excellent LocationWhen I booked this hotel I didn't realise there are two buildings however 
we were allocated a room in the main building where reception is located. 
In terms of value for money the hotel is great. It is close to the 
theatres, restaurants and shops. The breakfast area was extremely busy in 
the morning but it was a weekend so it is to be expected. We decided to 
have breakfast elsewhere in a more relaxed environment plus there is lots 
of choice of cafes etc nearby. The room wasn't as clean as other 
Travelodges I have stayed at but not to the extent that it spoilt our stay. 
A good budget hotel in a great location.Read moreDate of stay: October 
2018HelpfulShare</t>
  </si>
  <si>
    <t>Noorie19 wrote a review Oct 2018Greater London, United Kingdom2 
contributions</t>
  </si>
  <si>
    <t>Horrible &amp; Nasty Smelly RoomsStayed in Travelodge Drury lane they assigned me a room with very strong 
pee odour. Found it later in the night that I'm actually sleeping on a wet 
mattress...Yes the mattress had a wet pee patch...(see pic). Award goes to 
the cleaner and management. Next morning woke up to NO water In the 
building till 13:30. When spoke to management I got no apology infact 
rudeness. Best example of a very poor cutomer services... Avoid this 
premises people.Read moreDate of stay: October 2018HelpfulShareResponse 
from TravelodgeUK, Tilly from The Social Media Team at Travelodge London 
Covent GardenResponded 29 Oct 2018Thank you for taking the time to write a 
review with regards to our London Covent Garden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</si>
  <si>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Carole-Anne B wrote a review Oct 2018Teignmouth, United Kingdom5 
contributions</t>
  </si>
  <si>
    <t>Faults at the TravelodgeMy room was large and I had a very comfortable bed. However, there was no 
soap in the dispenser and the sink was cracked making it unsightly and 
unhygienic. I also feel that paying for Wifi is unacceptable in this day 
and ageRead moreReview collected in partnership with TravelodgeDate of 
stay: October 2018HelpfulShare</t>
  </si>
  <si>
    <t>Clare L wrote a review Oct 2018Nottingham, United Kingdom6 contributions1 
helpful vote</t>
  </si>
  <si>
    <t>Wonderful locationThis was my second stay at the Travel lodge in Covent Garden and the 
difference was noticeable.We had a super room which was lovely, clean and 
comfortable.It was definitely worth spending that little bit more on the 
super room.The breakfast was fantastic and the staff very helpful and 
friendly. Will certainly stay here again as the location was incredible for 
the theater and for the attractions of London.Read moreDate of stay: 
October 2018HelpfulShare</t>
  </si>
  <si>
    <t>Shane D wrote a review Oct 2018Lowestoft, United Kingdom15 contributions13 
helpful votes</t>
  </si>
  <si>
    <t>Great location.....great hotelThis hotel was booked due to an almost flying visit to the capital. It is 
situated within a five minute walk to Covent Garden Underground Station and 
therefore perfectly ideal for our overnight needs. We upgraded to a 
SuperRoom which I felt was well worth the extra......overall a great hotel 
with great staff and I would certainly book this Travelodge again.Read 
moreReview collected in partnership with TravelodgeDate of stay: October 
20181 Helpful voteHelpfulShare</t>
  </si>
  <si>
    <t>https://www.tripadvisor.co.uk/Hotel_Review-g186338-d193057-Reviews-or2095-Travelodge_London_Covent_Garden-London_England.html#REVIEWS</t>
  </si>
  <si>
    <t>Julie E wrote a review Oct 2018Seville, Spain8 contributions5 helpful votes</t>
  </si>
  <si>
    <t>Really good experienceWe stayed here for our anniversary weekend. We were greeted by extremely 
friendly and professional staff which got things off to a good start. Our 
room was quiet and comfortable and clean. Breakfast was also good. The 
hotel is in a fabulous location, close to Covent Garden and the Theatres - 
really can't fault i.Read moreReview collected in partnership with 
TravelodgeDate of stay: October 2018HelpfulShare</t>
  </si>
  <si>
    <t>John D wrote a review Oct 2018New York City, New York3 contributions</t>
  </si>
  <si>
    <t>MrOn a recent visit to London we stayed in this hotel with friends we have to 
say that the rooms were nice and clean all as should be ... very nice and 
friendly staff . We would stay here again and highly recommend this 
hotelRead moreDate of stay: October 2018HelpfulShare</t>
  </si>
  <si>
    <t>LightPacker584059 wrote a review Oct 20181 contribution</t>
  </si>
  <si>
    <t>DisappointingI didn’t have high expectations as it was one of the cheapest travel 
options. I knew it would be basic but it was also quite dirty and 
tarnished. There were hairs all over the bedroom carpet and the plug holes 
were stained yellow where they hadn’t been cleaned properly in ages. We 
only needed a place to lay our heads when seeing a concert and were only 
there for one night so it didn’t matter too much but I wouldn’t want to 
spend much time there.Read moreReview collected in partnership with 
TravelodgeDate of stay: October 2018HelpfulShare</t>
  </si>
  <si>
    <t>kihju wrote a review Oct 2018Birmingham, United Kingdom1 contribution1 
helpful vote</t>
  </si>
  <si>
    <t>Abhorrent stains on bed linen and towels in room!!Extremely unpleasant and unsatisfactory stay. We stayed at the Travelodge 
at the end of September 2018 for two nights and wish I had booked another 
hotel. Whilst the location may be fantastic the cleanliness and comfort was 
well below a reasonable standard. We found ourselves with a 15x15cm blood 
stain on the mattress which you could see through the bed linen placed on 
the bed as well as further distressing stains on both sides of the mattress 
as well as shocking stains on the quilt covers and towels in the room. 
Completely unsatisfactory and appalling that rooms would be offered to 
paying guests in the state they were in. Will not be returning in a hurry 
and will not be recommending to anyone!!Read moreDate of stay: September 
2018HelpfulShareResponse from TravelodgeUK, Charley from the Social Media 
Team at Travelodge London Covent GardenResponded 28 Oct 2018Thank you for 
submitting your review of our London Covent Garden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</si>
  <si>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https://www.tripadvisor.co.uk/Hotel_Review-g186338-d193057-Reviews-or2100-Travelodge_London_Covent_Garden-London_England.html#REVIEWS</t>
  </si>
  <si>
    <t>Shane C wrote a review Oct 2018Tandragee, United Kingdom7 contributions3 
helpful votes</t>
  </si>
  <si>
    <t>Excellent LocationSpent 3 nights to attend some West End performances. Hotel was ideally 
situated for this. Room was clean and comfortable. Staff were friendly. 
Breakfast was good. Couldn't find accessible entrance and steps might pose 
a problem for anyone with mobility difficulties.Read moreReview collected 
in partnership with TravelodgeDate of stay: October 2018HelpfulShare</t>
  </si>
  <si>
    <t>Nessy wrote a review Oct 20186 contributions9 helpful votes</t>
  </si>
  <si>
    <t>Fantastic location and staff.What more can I add?! Stayed a Sunday night, which was great value for 
money. The lovely Covent Garden on the doorstep. Staff were very friendly 
and helpful. And the pizza from the bar was not bad either!!Read moreReview 
collected in partnership with TravelodgeDate of stay: October 
2018HelpfulShare</t>
  </si>
  <si>
    <t>Carole D wrote a review Oct 2018Leeds, United Kingdom12 contributions11 
helpful votes</t>
  </si>
  <si>
    <t>Girls weekend awayFrom the minute we arrived we had a good stay. The young man who checked us 
in was very friendly and helpful. He asked if we needed a hairdryer but 
we'd taken one. Breakfast staff were very friendly and breakfast was good. 
We had a slight hiccup with happy hour but it was sorted next morning with 
a smile. Nothing was too much trouble.Read moreReview collected in 
partnership with this hotelDate of stay: September 2018HelpfulShare</t>
  </si>
  <si>
    <t>https://www.tripadvisor.co.uk/Hotel_Review-g186338-d193057-Reviews-or2105-Travelodge_London_Covent_Garden-London_England.html#REVIEWS</t>
  </si>
  <si>
    <t>suzylee2018 wrote a review Oct 2018Philadelphia, Pennsylvania1 contribution</t>
  </si>
  <si>
    <t>Room outdated, not well equippedRoom is outdated, bathroom is dirty. Room doesn’t have facial tissues, no 
hand towels, no hair dryer (had to ask for one), shampoo/body wash mix was 
bad. But good location, room not too small. Staff is not bad.Read 
moreReview collected in partnership with TravelodgeDate of stay: September 
2018HelpfulShareResponse from TravelodgeUK, Ben from the Social Media team 
at Travelodge London Covent GardenResponded 13 Oct 2018Thank you for taking 
the time to write a review about our London Covent Garden hotel. We are 
pleased to hear that you liked the hotels location however are sorry to 
learn that you felt the room was outdated and for your disappointment with 
the facilities provided. Travelodge have an ongoing refurbishment program 
and, while we cannot refurbish every hotel simultaneously, we are working 
to make sure that hotels are refurbished regularly. Feedback is invaluable 
and our Hotel Managers regularly review their TripAdvisor reviews in order 
to fix any issues raised and pass on feedback to their team. Thank you once 
again and we do hope you will stay with us in the future.Read more</t>
  </si>
  <si>
    <t>judyd09 wrote a review Oct 2018Birmingham, United Kingdom9 contributions5 
helpful votes</t>
  </si>
  <si>
    <t>70th Birthday celebrationsI treated my husband to a trip to London to see Lion King and stay over for 
a spot of sightseeing. We stayed at the Travelodge London Covent Garden and 
it was great. The room was lovely and clean and well equipped and the staff 
were very hospitable and attentive. The only disappointment was that we 
decided to see if we could extend our trip but weren`t able to in the end - 
for personal reasons, nothing to do with the hotel.Read moreDate of stay: 
October 2018HelpfulShare</t>
  </si>
  <si>
    <t>mtb1979 wrote a review Oct 2018Falmouth, United Kingdom60 contributions30 
helpful votes</t>
  </si>
  <si>
    <t>Staff were so friendly and welcomingExcellent location - the accommodation simply provides the basics but you 
know that when you book. The staff were very friendly and welcoming and 
made our stay more pleasurable. The breakfast was good value for £8.95 and 
set us up for the day. The bar was also useful for a drink before we went 
out for the evening and on our return. There also seemed to be a reasonable 
food menu. Lastly we availed ourselves of the left luggage facility.Read 
moreDate of stay: October 2018HelpfulShare</t>
  </si>
  <si>
    <t>699loz wrote a review Oct 2018Durham, United Kingdom1 contribution1 helpful 
vote</t>
  </si>
  <si>
    <t>Not so super roomThought id treat myself to a super room,a nice air conditioned room with a 
coffee machine, a luxurious 3 jet shower, a choice of firm or soft pillows. 
Stepping out of the lift on the top floor the view of London was amazing 
only to walk into the room to be greeted with a view of a massive silver 
pipe. cost a little more than a standard room for the little extras 
mentioned above but really I paid more for a broken coffee machine air con 
that smelled like something had died inside of it, pillows made of rocks 
and a dirty shower which '3 jets' was a button that did nothing. To make it 
even better woke up on the morning to notice there wasnt even any water to 
power this incredibly disappointing shower. You would think they would of 
informed their guests that theyre doing work on the…Read moreDate of stay: 
October 2018HelpfulShareResponse from TravelodgeUK, Ben from the Social 
Media Team at Travelodge London Covent GardenResponded 9 Oct 2018Thank you 
for taking the time to write a review about our London Covent Garden hotel. 
We are pleased to hear that you fund the bed comfortable and the bar team 
friendly however we are sorry to learn of the problems with the facilities 
in the room and the hot water. Could we kindly ask you to contact one of 
our Customer Services Advisors via our website help form with a copy of 
your review to look into this more thoroughly. Thank you once again and we 
do hope you will stay with us in the future.Read more</t>
  </si>
  <si>
    <t>MrJohnW T wrote a review Oct 2018York25 contributions35 helpful votes</t>
  </si>
  <si>
    <t>SECURITY BREACHAnother customer had access to our room. We were on the bed at the time the 
customer entered. We were locked out of our room twice. The bathroom floor 
gets flooded as the shower curtain is inadequate. The bed mattress is 
uncomfortable. The windows were not opened as the noise outside is far too 
loud.Read moreReview collected in partnership with TravelodgeDate of stay: 
October 20181 Helpful voteHelpfulShareResponse from TravelodgeUK, Shaf from 
the Social Media Team. at Travelodge London Covent GardenResponded 9 Oct 
2018Thank you for submitting your review of our London Covent Garden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</si>
  <si>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https://www.tripadvisor.co.uk/Hotel_Review-g186338-d193057-Reviews-or2110-Travelodge_London_Covent_Garden-London_England.html#REVIEWS</t>
  </si>
  <si>
    <t>BobnShe wrote a review Oct 2018Warrington24 contributions23 helpful votes</t>
  </si>
  <si>
    <t>Just about perfect.Stayed one night at the Covent Garden Travelodge. Instant check-in (a bit 
early - thanks!). Clean comfortable room. Sparkling clean bathroom. 
Everything worked, except the heating seemed to please itself when it came 
on. Super comfy bed, good bed linen. Great breakfast. Pleasant staff.Read 
moreReview collected in partnership with TravelodgeDate of stay: October 
2018HelpfulShare</t>
  </si>
  <si>
    <t>Ko948 wrote a review Oct 2018Toronto, Canada115 contributions19 helpful 
votes</t>
  </si>
  <si>
    <t>An affordable hotel in the heart of LondonThe hotel is located in the busy Covent Garden area in the heart of London. 
The room was spacious and comfortable. The staff were friendly and 
efficient. It is very close to restaurants and other amenities. There was 
free WiFi in the room, but was limited to 30 minutes use per day only. 
These days, unlimited free WiFi access should be provided free.Read 
moreDate of stay: September 2018HelpfulShare</t>
  </si>
  <si>
    <t>https://www.tripadvisor.co.uk/Hotel_Review-g186338-d193057-Reviews-or2115-Travelodge_London_Covent_Garden-London_England.html#REVIEWS</t>
  </si>
  <si>
    <t>makemsUk wrote a review Oct 2018UK11 contributions5 helpful votes</t>
  </si>
  <si>
    <t>Handy for Covent Garden and West End TheatresRooms clean and comfortable although our Ground floor room suffered a 
little from traffic noise. Not enough to keep us awake though. Staff are 
very pleasant and helpful. Breakfast is excellent, plenty of choice, cooked 
items constantly refreshed, eat all you want - whats not to like? Its not a 
five star hotel, but its clean, comfortable and well located.Read moreDate 
of stay: October 2018HelpfulShare</t>
  </si>
  <si>
    <t>AlisonS815 wrote a review Oct 2018Crickhowell93 contributions38 helpful 
votes</t>
  </si>
  <si>
    <t>Well located hotel, comfortable and cleanThe Travelodge is conveniently located. Entrance is up a steep flight of 
steps, disabled access is a long ramp and into the back of the hotel. The 
room was clean and fresh. There was an iron and board provided - a plus 
point, but hairdryers had to be requested from Reception. The bathroom had 
bath and shower, but economies that have led to no bathmat and a nylon 
shower curtain are regrettable. TV and drinks were supplied. Staff were 
friendly and the hotel is popular - judging by the long queue to check in. 
A more than adequate place to stay for a short break in London.Read 
moreReview collected in partnership with TravelodgeDate of stay: October 
2018HelpfulShare</t>
  </si>
  <si>
    <t>Ian S wrote a review Oct 2018Calgary, Canada4 contributions1 helpful vote</t>
  </si>
  <si>
    <t>https://www.tripadvisor.co.uk/Hotel_Review-g186338-d1812157-Reviews-or345</t>
  </si>
  <si>
    <t>Plenty of Nicer Places to StayAt the recommendation of a friend, I stayed here for two nights near the 
end of September, 2018. I assume she is mad at me for something I'm not 
even aware of, because I wouldn't recommend this place to you, unless you 
mistreated my dog, or called my mom some nasty names. First off, all said 
and done, for two nights this hotel cost me $815.48 after converting to 
Canadian dollars. What did I get for $407.74 per night you ask, well, let's 
explore the experience. I was able to check in early, for a fee, which was 
great because my flight landed at 10:30 AM and it gave us a place to ditch 
our bags and go out and explore the city. I also got an excellent location 
in the city of London. It was close to a lot of key points of interest, and 
to the transit system (which is amazing by…Read moreDate of stay: September 
20181 Helpful voteHelpfulShareResponse from TravelodgeUK, Ben from the 
Social Media Team at Travelodge London Covent GardenResponded 14 Oct 
2018Thank you for taking the time to write a review about our London Covent 
Garden hotel. We are pleased to hear that you liked the hotels location and 
were pleased with the early check in option however we are sorry to learn 
that you did not find your room to be of great value, and we are sorry to 
learn of the disappointment caused by other aspects of your stay. Feedback 
is invaluable and our Hotel Managers regularly review their TripAdvisor 
reviews in order to fix any issues raised and pass on feedback to their 
team. Thank you once again and we do hope you will stay with us in the 
future.Read more</t>
  </si>
  <si>
    <t>Katy D wrote a review Oct 2018Manchester, United Kingdom26 contributions26 
helpful votes</t>
  </si>
  <si>
    <t>Good location and good breakfast but basic roomGood location close to Covent garden and reasonably priced for London. Room 
in the second building on the first floor was noisy as by the road. Room 
was basic but clean enough. Breakfast was fairly good for a travel lodge. 
Good hot food but fairly simple continental breakfast.Read moreDate of 
stay: October 2018HelpfulShare</t>
  </si>
  <si>
    <t>https://www.tripadvisor.co.uk/Hotel_Review-g186338-d193057-Reviews-or2120-Travelodge_London_Covent_Garden-London_England.html#REVIEWS</t>
  </si>
  <si>
    <t>Vivien3560 wrote a review Oct 2018Northampton, United Kingdom25 
contributions16 helpful votes</t>
  </si>
  <si>
    <t>Very good position of hotelWell positioned hotel in London, we’ve stayed there many years. Have tried 
the new super rooms but find the standard rooms just fine also cheaper. 
Started staying there when grandchildren were small &amp; introduced them to 
the theatre also London where 2 of them now work &amp; live.Read moreReview 
collected in partnership with this hotelDate of stay: September 
2018HelpfulShare</t>
  </si>
  <si>
    <t>jamaicangirl wrote a review Oct 2018scotland30 contributions9 helpful votes</t>
  </si>
  <si>
    <t>Fantastic accommodation close to everything!Love this hotel! Travel to London for work every 6/8 weeks and wouldn’t 
stay anywhere else! A few minutes walk to Pineapple Dance Studios, the 
theatres, restaurants, the underground and everything I need for my 
trip!Read moreReview collected in partnership with this hotelDate of stay: 
September 2018HelpfulShare</t>
  </si>
  <si>
    <t>Inverness1 wrote a review Oct 2018South Shields, United Kingdom50 
contributions11 helpful votes</t>
  </si>
  <si>
    <t>Everything was as expected ��Just popped down to London for an overnight stop, lovely clean room 317, 
paid £112 for the pair of us which included as much as you can eat 
breakfast. Very comfortable bed, great TV and the usual coffee and Tea in 
the rooms. Air con worked fine. Bath was a bit small but then again I’m no 
skinny anorexic supermodel! Would definitely go and stay again. ��Read 
moreDate of stay: October 2018HelpfulShare</t>
  </si>
  <si>
    <t>Lisa S wrote a review Oct 2018Washington, United Kingdom38 contributions18 
helpful votes</t>
  </si>
  <si>
    <t>NoisyArrived at 1pm and asked if we could check in a little earlier as we had 
matinee theatre tickets &amp; the theatre was unable to take large bags. Was 
charged £10.00 (I understand we could have left our bags at reception 
between 9am-6pm but as we were not returning to the hotel until approx 11pm 
it was unclear as to whether we would be able to retrieve them). Room 
perfectly acceptable but noise from the construction site &amp; traffic on the 
East side of the hotel was very loud, this is not something that will go 
away in a hurry. In addition a large group of young people appeared to be 
located very close to us in maybe three or four rooms and whilst I 
appreciate my family are now adults I felt this was a little inconsiderate 
given the hotel was not at full capacity. Hotel located a few…Read moreDate 
of stay: October 2018HelpfulShare</t>
  </si>
  <si>
    <t>PnJinSpain wrote a review Oct 2018Spain61 contributions6 helpful votes</t>
  </si>
  <si>
    <t>Flying London visitStayed here for two nights. Good sized room and comfortable bed. The well 
advertised each as much as you like breakfast was a big disappointment. 
Bacon you couldn’t get a knife through, sausages they use rely on the 
Cumberland herbs for flavour , scrambled eggs completely without flavour. 
They can’t mess up the b beans using the world most popular but the sauce 
to bean ratio was too high for my liking. On the plus side a good fresh 
fruit salad and again world leading cereals. Better of wondering down the 
road and dropping into any number of places for a fresh cooked, cheaper 
breakfast. Would probably stay again for a low end short stay in London as 
it is well placed for west end.Read moreDate of stay: October 
2018HelpfulShare</t>
  </si>
  <si>
    <t>https://www.tripadvisor.co.uk/Hotel_Review-g186338-d193057-Reviews-or2125-Travelodge_London_Covent_Garden-London_England.html#REVIEWS</t>
  </si>
  <si>
    <t>CockneyRebel99 wrote a review Oct 2018Pembrokeshire112 contributions40 
helpful votes</t>
  </si>
  <si>
    <t>Great location, fair price, no frillsI stayed with an Australian friend who was distinctly underwhelmed by the 
Travelodge experience but our Queen superior room was clean &amp; perfectly 
adequate. Toiletries &amp; coffee/tea &amp; biscuits were supplied as opposed to 
the bare minimum in a standard room. The breakfast was slightly 
disappointing but there was plenty of choice. The staff were helpful but we 
were told they were not able to receive a parcel delivery which was a bit 
strange so entailed loitering at the entrance during the one hour delivery 
slot. The location is great- midway between Covent Garden &amp; Holborn tube 
stations &amp; close to the West End, Covent Garden and theatre land - all 
within walking distance.Read moreDate of stay: September 2018HelpfulShare</t>
  </si>
  <si>
    <t>chrisbob wrote a review Oct 2018uk40 contributions2 helpful votes</t>
  </si>
  <si>
    <t>travel lodge covent garden londonThe location was very good and the room clean and tidy. A big improvement 
would be free Wi Fi. Although it cost £3 for 24 hours I think it is 
ridiculous in modern times to have to pay extra for an essential 
service.Read moreReview collected in partnership with TravelodgeDate of 
stay: October 2018HelpfulShare</t>
  </si>
  <si>
    <t>GrantJHughes999 wrote a review Oct 201819 contributions8 helpful votes</t>
  </si>
  <si>
    <t>Great value for moneyStayed at this hotel a couple of times whilst on business. The rooms were 
very clean and bed really comfortable. Staff are very polite and always 
helpful. The food was delightful, cooked to a high standard with a great 
choice to choose from off the menu. Certainly will stay here again When I 
am down in London. Great visit and thank you.Read moreDate of stay: 
September 2018HelpfulShare</t>
  </si>
  <si>
    <t>PETER R wrote a review Oct 2018Guernsey, United Kingdom8 contributions12 
helpful votes</t>
  </si>
  <si>
    <t>Great location. Brilliant staffWe stayed here for a last minute stay in London . The location is great 
being less than a 5 minute walk from Covent Garden. The check in staff were 
very friendly and helpful at a busy time of day. The room was fairly 
standard with no surprises. We did not eat or drink in the hotel at night. 
The bed was comfortable and the room very quiet considering the location. 
Breakfast was the only disappointment. The selection was excellent , coffee 
from the the machine surprisingly good. Unfortunately the food was not hot 
enough especially the beans. At check out the staff were again very 
friendly and at the left luggage yet another great member of staff. I would 
recommend this hotel and just hope that the poor breakfast was just a 
blip.Read moreDate of stay: September 2018HelpfulShare</t>
  </si>
  <si>
    <t>https://www.tripadvisor.co.uk/Hotel_Review-g186338-d193057-Reviews-or2130-Travelodge_London_Covent_Garden-London_England.html#REVIEWS</t>
  </si>
  <si>
    <t>trassy1 wrote a review Oct 2018Mansfield, United Kingdom13 contributions10 
helpful votes</t>
  </si>
  <si>
    <t>Great locationWe have stayed several times here and previously had no complaints. The 
location is fab, rooms comfortable and most of the staff great. What 
disappointed us last weekend was the attitude of the young man on reception 
on Saturday evening. Constantly rolling his eyes, huffing and puffing and 
actually very rude. I work on a busy reception desk and if I thought 
members of my staff were being spoken to in this way, I would be appalled. 
Urgent customer training is needed for this young man. I also witnessed him 
being rude to another lady, Australian if I recall, very unprofessional. If 
we hadn’t have been short on time I would have asked to see the manager, 
although we did try the following morning but he was unavailable. So, to 
the manager, more customer focused training for…Read moreDate of stay: 
September 2018HelpfulShare</t>
  </si>
  <si>
    <t>Chris W wrote a review Oct 2018Harrogate, United Kingdom183 contributions51 
helpful votes</t>
  </si>
  <si>
    <t>Good and badA fairly average Travelodge. Perfectly nice but nothing that makes it 
better than any other. Despite the name it's not in what most people would 
call Covent Garden. Holborn is the nearest tube about a 5 minute walk away 
though Covent Garden is probably about 10 minutes away on foot. Still very 
central though. Check in was friendly and efficient. I assume they were 
busy as I booked into a disabled room though I didn't need it. The bathroom 
was fine. The double bed was two singles pushed together and made up 
separately. Although I didn't notice it to start with, I got cold overnight 
and 'stole' the duvet from the other bed. The bar and restaurant are down 
points. The bar is tiny with nothing on tap, only cans and bottles, bit 
they still charge central London prices. I…Read moreDate of stay: October 
2018HelpfulShare</t>
  </si>
  <si>
    <t>Rob R wrote a review Oct 2018York, United Kingdom10 contributions8 helpful 
votes</t>
  </si>
  <si>
    <t>Clean and tidy...but definitely 3 starWe stayed here as we wanted to be local to Covent Garden so it was very 
handy. The room was fine. Comfy bed...clean and tidy...air con was good... 
We had breakfast which was OK. The main thing that could be improved is the 
coffee/tea facilities. They are slow and to be honest poor taste wise. 
There are not enough people clearing tables and when they do they are doing 
it in front of you on the bar top. Unfortunately my wife left her glasses. 
We called to try to get them back and we got a one star service in this 
respect. The lady on the line could not speak very good english and all she 
could say was we have lots of glasses in a box. Can you call in to have a 
look. WE LIVE IN YORK!!! NOT GOOD?!??!Read moreDate of stay: September 
2018HelpfulShareResponse from TravelodgeUK, Ben from the Social Media Team 
at Travelodge London Covent GardenResponded 14 Oct 2018Thank you for taking 
the time to write a review about our London Covent Garden hotel. We are 
pleased to learn that the bed was comfortable and your room was clean and 
tidy however we are sorry to learn of the problems experienced when 
contacting the hotel about lost property. Feedback is invaluable and our 
Hotel Managers regularly review their TripAdvisor reviews in order to fix 
any issues raised and pass on feedback to their team however if you wish to 
contact us directly to give us more feedback, please be aware that you can 
always contact our Customer Services team via our website. Thank you once 
again and we do hope you will stay with us in the future.Read more</t>
  </si>
  <si>
    <t>Michael L wrote a review Oct 20182 contributions</t>
  </si>
  <si>
    <t>A Hotel Stay For BeginnersWas it horrible? No. But I would recommend it more for those who need 
simple, basic no frills accommodation. "Everyone" has a cell phone but with 
no phone in the room, the only way to contact the front desk is to leave 
your room and go to the front desk! You could try calling the front desk on 
your cell phone I suppose but be sure you have a local number to the 
property or you may be charged by the minute for their customer service 
line. There are no safes in the rooms and checking our valuables into the 
"safe" (not sure if it was a safe or a cabinet) at the front desk became a 
tedious daily procedure - with forms to fill out - and staff sometimes 
asked around for where the keys to it (the "safe") were located. Yikes!!Be 
aware that there are fees for various things: Wish to…Read moreReview 
collected in partnership with TravelodgeDate of stay: September 
2018HelpfulShareResponse from TravelodgeUK, Ben from the Social Media Team 
at Travelodge London Covent GardenResponded 14 Oct 2018Thank you for taking 
the time to write a review about our London Covent Garden hotel. We are 
sorry to learn of your disappointment with the facilities provided by our 
hotels. As we are a budget hotel we are unable to provide extras to try and 
keep costs as low as possible so we can pass these savings onto our guests. 
Feedback is invaluable and our Hotel Managers regularly review their 
TripAdvisor reviews in order to fix any issues raised and pass on feedback 
to their team. Thank you once again and we do hope you will stay with us in 
the future.Read more</t>
  </si>
  <si>
    <t>Gina M wrote a review Oct 2018Norfolk, United Kingdom26 contributions4 
helpful votes</t>
  </si>
  <si>
    <t>Excellent sevice from Travelodge, Covent GardenWhen I arrived at this hotel I was allocated a room on the Ground floor, 
whilst Reception, the Bar and Dining area, as well as the hotel exit were 
on the 1st floor, which was 2 flights of stairs up and no lift. As I have 
Osteoarthritis in my knees it wasn't very convenient so I returned to 
reception to ask for a change of room. The receptionist was extremely 
helpful, as was the Manager of this hotel. I was given a lovely room on the 
5th floor, with a lovely view over London and also had easy lift access. 
This was all done by happy, smiling people who couldn't have been more 
helpful. Thank you Travelodge, Covent Garden for you wonderful service. The 
breakfasts were pretty amazing too.Read moreDate of stay: September 
2018HelpfulShare</t>
  </si>
  <si>
    <t>https://www.tripadvisor.co.uk/Hotel_Review-g186338-d193057-Reviews-or2135-Travelodge_London_Covent_Garden-London_England.html#REVIEWS</t>
  </si>
  <si>
    <t>comfycosy wrote a review Oct 2018Essex, United Kingdom3 contributions1 
helpful vote</t>
  </si>
  <si>
    <t>Lovley stayHad a lovley stay near to everything and breakfast was great even do a 
midnight pizza room clean and tidy and perfect for any weekend in London , 
Covent Garden just round corner and lots of great restaurants near by 
xxRead moreDate of stay: September 2018HelpfulShare</t>
  </si>
  <si>
    <t>Freedom95250 wrote a review Oct 20181 contribution</t>
  </si>
  <si>
    <t>You can do betterGOOD: reception and dining staff excellent, location superb. Beds 
comfortable, wifi good. and the noise level was fine (3rd floor) BAD: 
stayed 6 nights. No dresser, so lived out of suitcase on the floor, not 
even fold-out to elevate the suitcase. Ridiculous inconvenience. No basic 
niceties like washcloths and facial tissues. Hairdryer only from front 
desk. Yes, London is humid and damp, but the spots of mold around the 
shower, specifically on the ceiling, need to be removed, disgusting. 
Rubbish can by desk was never emptied, despite pizza boxes and pulling it 
into clear sight. Dishes outside neighboring room weren't removed for 48 
hours, so ignored by cleaning staff. No room safe for valuables or hotel 
basic exercise room either. For the price (£910) I expected much 
better.Read moreDate of stay: September 2018HelpfulShare</t>
  </si>
  <si>
    <t>Tina R wrote a review Oct 2018Christchurch, United Kingdom10 contributions8 
helpful votes</t>
  </si>
  <si>
    <t>A little gem in theatre land.The perfect location for theatre and everywhere else you would want to go 
to while in London. The hotel is basic but very clean and all of the staff 
are friendly and helpful. Take your own toiletries and hairdryer. We felt 
safe in the area which is essential for females and will stay again.Read 
moreDate of stay: September 20181 Helpful voteHelpfulShare</t>
  </si>
  <si>
    <t>Barbara S wrote a review Oct 201849 contributions22 helpful votes</t>
  </si>
  <si>
    <t>Location, LocationExcellent location within Covent Graden area and handy for theatres and 
shoping. Very glad that we booked a Superior Room which although very small 
was comfortable and clean. Others in our group were not so fortunate.Staff 
were friendly and helpful.Read moreReview collected in partnership with 
TravelodgeDate of stay: September 2018HelpfulShare</t>
  </si>
  <si>
    <t>https://www.tripadvisor.co.uk/Hotel_Review-g186338-d193057-Reviews-or2140-Travelodge_London_Covent_Garden-London_England.html#REVIEWS</t>
  </si>
  <si>
    <t>nmuwildcat wrote a review Oct 2018Tallinn, Estonia28 contributions8 helpful 
votes</t>
  </si>
  <si>
    <t>Location, location, location,About what you can expect from a Travelodge. We had one of the older rooms, 
and it was clean but getting a bit dated. We didn't spend much time in the 
hotel however so it didn't matter quite so much. Minor annoyances include 
needing to ask the front desk for a hairdryer (typical for Travelodge) 
forgetting to refill our hand soap. The location is the best part about 
this place. You can easily walk to Covent Garden, Soho, Trafalgar Square, 
etc. Also, there are two tube stops within walking distance in case you 
want to venture further. Avoid the breakfast and instead, walk across the 
street to one of the busy cafes where you can get a much better deal 
compared to the buffet. I recommend a cafe called Drury 188-189. If you 
want a decent room in a great location in central…Read moreDate of stay: 
September 2018HelpfulShare</t>
  </si>
  <si>
    <t>https://www.tripadvisor.co.uk/Hotel_Review-g186338-d1812157-Reviews-or350</t>
  </si>
  <si>
    <t>mrs malls wrote a review Oct 201816 contributions3 helpful votes</t>
  </si>
  <si>
    <t>201 was noisyI've stayed a few times at this Travelodge due to its great location near 
the theatres. I haven't had any previous complaints but this time I was 
given room 201 for two nights. The cables for the lifts are in the wall and 
they are noisy all day and night! If I was only staying one night or my 
intended stay in London involved a few drinks it might have gone unnoticed 
but two nights with disturbed sleep ruined my overall stay. The hotel was 
busy but understaffed so the bar queues were long and the food was luke 
warm and lacked quality.Read moreReview collected in partnership with 
TravelodgeDate of stay: October 2018HelpfulShare</t>
  </si>
  <si>
    <t>zoe m wrote a review Oct 2018Brighton, United Kingdom6 contributions1 
helpful vote</t>
  </si>
  <si>
    <t>Super convenient city breakRoom was clean and tidy, we were on the 9th floor, so great views and not 
too much street noise. Hotel it's self was very quiet, not what you'd 
expect from a Friday night in Soho!For a small extra fee we were allowed to 
bring our dog, all the staff were pleased to see him and made a real fuss 
of him whenever he was in reception. So lovely to wander back to your room 
after the theatre, rather than brave public transport.Read moreReview 
collected in partnership with TravelodgeDate of stay: September 
2018HelpfulShare</t>
  </si>
  <si>
    <t>Laura G wrote a review Oct 20184 contributions2 helpful votes</t>
  </si>
  <si>
    <t>Ok For 1 Night BreakLocation wise is great, right near Covent Garden and Leicester Square and 
the facility to hold your luggage before check in and after check out was 
extremely handy. The rooms are small - which didn't bother us - there were 
some hairs in the shower and also it didn't look to have been hoovered as 
there were blonde hairs on the floor (we are both dark haired). A bit dusty 
and the TV looked like it was about to fall off its brackets, so some 
general maintenance and cleaning improvements could be done. The bed was 
firm but this was fine with us. The room itself was quiet, we was on the 
3rd floor, however we both were exhausted so this could be why we didn't 
hear any outside noise. The hotel staff were quite miserable and didn't 
seem to want to help. On our return in the evening,…Read moreDate of stay: 
September 2018HelpfulShare</t>
  </si>
  <si>
    <t>https://www.tripadvisor.co.uk/Hotel_Review-g186338-d1812157-Reviews-or355</t>
  </si>
  <si>
    <t>https://www.tripadvisor.co.uk/Hotel_Review-g186338-d1812157-Reviews-or360</t>
  </si>
  <si>
    <t>https://www.tripadvisor.co.uk/Hotel_Review-g186338-d1812157-Reviews-or365</t>
  </si>
  <si>
    <t>Megan wrote a review Apr 20201 contribution</t>
  </si>
  <si>
    <t>Appalling customer service at all levelsBooked to stay the night prior to a very important interview. Initial room 
had shaved hairs in the shower and at 22:30 a noise started outside our 
room from the corridor which didn't stop. At 00:30 my boyfriend went to 
reception to complain and they didn't understand why it was a problem. He 
was asked if anyone else was in the room and he said yes. The reply was why 
did they not come down with you? I was trying to sleep! The whole reason we 
booked to stay was to remove the stress of travelling a long distance on 
the day. We should have taken our chances with the trains. Reception then 
put us in another room where the springs were comimg out of the matters. As 
you can imagine we got no sleep all night. We complained about the 
experience to the mornings receptionist who couldn't seem less interested. 
We were offered a free breakfast, but didn't have due to said interview. 
Emailed customer service and over two weeks later got a reply. They said 
training had been issued to solve the problems. They told me, without me 
even agreeing, that they had given me an e-voucher for half the price of 
the room. I replied saying I did not agree to this and I wanted a cash 
refund. They believed an appropriate response had been reached. Every email 
said they hoped I had not been deterred. I have stayed at different travel 
lodges previously and did not have this problem. I will never book with 
Travelodge again. A waste of money and a more stressful experience than the 
interview itself.…Read moreDate of stay: March 2020Trip type: Travelled as 
a coupleHelpfulShareResponse from TravelodgeUK, Ben from the Social Media 
Team at Travelodge London Kings Cross Royal ScotResponded 2 weeks agoThank 
you for taking the time to write a review about our London Kings Cross 
Royal Scot hotel. We are sorry to learn of the problems during your stay 
and of your disappointment with the response from the hotel team and 
customer services. It’s really important to us that our teams provide a 
fantastic service to our guests and remain professional at all times so we 
are sorry to learn that you feel this was not the case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</si>
  <si>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willieramblers wrote a review Mar 2020Enniskillen, United Kingdom1 
contribution</t>
  </si>
  <si>
    <t>TGreat hotel and very helpful and friendly staff who went that extra bit to 
help you.The hotel is well placed for getting about London as it is close 
to kings cross station.The price for central London is Great and rooms are 
very good I would highly recommend and would stay againRead moreReview 
collected in partnership with this hotelDate of stay: March 2020HelpfulShare</t>
  </si>
  <si>
    <t>philwalsall wrote a review Mar 20201 contribution</t>
  </si>
  <si>
    <t>Comfortable night. Value for money.Stayed overnight on sightseeing round London. Well maintained and clean 
hotel, staff pleasant and polite. Room was clean and tidy, only problem was 
water pressure for the shower and bath but we were on the 5th floor. Free 
bag storage upon checkout was a bonus as our train home was not till I'm at 
night, saved us carrying bags around all day. Payed for Internet which was 
restricted to 2 devices per room , which my sister and partner found 
disappointing as they had phone and tab each. Only weak point the customer 
toilets by the bar need a bit of maintenance. The gents toilet seat broke 
and a paint job would not hurt it eitherRead moreReview collected in 
partnership with TravelodgeDate of stay: March 
2020ValueRoomsLocationCleanlinessServiceSleep QualityHelpfulShare</t>
  </si>
  <si>
    <t>joannanjala wrote a review Mar 2020Nairobi, Kenya2 contributions1 helpful 
vote</t>
  </si>
  <si>
    <t>convenientStayed for a weekend. I liked the proximity to the underground. The staff 
were helpful and polite. The only thing I never liked was the check in at 3 
pm. I think they need to give options for early check in especially when 
one has just landed.Read moreDate of stay: February 2020ValueServiceSleep 
QualityTrip type: Travelled on businessHelpfulShare</t>
  </si>
  <si>
    <t>https://www.tripadvisor.co.uk/Hotel_Review-g186338-d243667-Reviews-or5-Travelodge_London_Kings_Cross_Royal_Scot-London_England.html#REVIEWS</t>
  </si>
  <si>
    <t>Lkindo wrote a review Mar 202022 contributions</t>
  </si>
  <si>
    <t>Very basic budget hotelReception quite modern but the rest of hotel needs some money spending on 
it. Needs general update of furniture in rooms and doors. Rooms small and 
bathroom really small. If you were a large person with some weight issues 
then you would find it difficult manoeuvring in and out of bathroomRead 
moreDate of stay: March 2020HelpfulShare</t>
  </si>
  <si>
    <t>Beth wrote a review Mar 2020Wakefield, United Kingdom4 contributions1 
helpful vote</t>
  </si>
  <si>
    <t>Basic but goodI stayed here for a long weekend, the staff are extremely friendly upon 
check in. The rooms are very basic and could do with being modernised, the 
bed is wooden and creaks when you move, the doors essentially need to be 
‘slammed’ to close properly making a fair bit of noise. The flooring is 
carpet, which isn’t the best. However the hotel is in a great location as 
it is a 5-10 minute walk from Kings Cross station. Ideal for a few nights 
stay as we were only in the room to sleep.Read moreDate of stay: March 
2020HelpfulShare</t>
  </si>
  <si>
    <t>https://www.tripadvisor.co.uk/Hotel_Review-g186338-d243667-Reviews-or10-Travelodge_London_Kings_Cross_Royal_Scot-London_England.html#REVIEWS</t>
  </si>
  <si>
    <t>DayTrip822300 wrote a review Mar 20206 contributions</t>
  </si>
  <si>
    <t>Two days in LondonI went for a couple of days with my daughter to London. The hotel shows 
perfectly that should go on maintenance works, In the bathroom, the sink 
was broken, the bath was old and looked dirty, the water pressure was too 
strong. The room was not bad but hardly could sleep due to the roads noise 
caused by a weak windows system. Staff was welcoming and friendly.Read 
moreReview collected in partnership with this hotelDate of stay: March 
2020HelpfulShare</t>
  </si>
  <si>
    <t>julialitwiller wrote a review Mar 20202 contributions</t>
  </si>
  <si>
    <t>Perfect for a trip to London.Well comunicated, specially St Pancras-Luton. Kings Cross underground is 
only 10 min walking from the hotel. Clean, warm, silent rooms and great 
staff. 24 hour reception and good pizza at midnight! I recomend 
Travelodge!Read moreReview collected in partnership with TravelodgeDate of 
stay: March 2020HelpfulShare</t>
  </si>
  <si>
    <t>Laurence B wrote a review Mar 2020Stafford, United Kingdom26 contributions7 
helpful votes</t>
  </si>
  <si>
    <t>Great value, great staffStayed one night on business. Reception staff Uber friendly and helpful 
special mention to Ayan, great ambassador for the hotel. Basic but clean 
and 24 hour bar and food. Great location would certainly stay again.Read 
moreDate of stay: March 2020HelpfulShare</t>
  </si>
  <si>
    <t>Adamparrish20 wrote a review Mar 20201 contribution</t>
  </si>
  <si>
    <t>Great stayClean, great value for money and excellent location - within a 10 minute 
walk of London St Pancras. This is my ‘go to’ property when working in 
London. WiFi always works well when I have visited and it’s good to have 
breakfast as an option if needed.Read moreReview collected in partnership 
with TravelodgeDate of stay: March 2020HelpfulShare</t>
  </si>
  <si>
    <t>https://www.tripadvisor.co.uk/Hotel_Review-g186338-d243667-Reviews-or15-Travelodge_London_Kings_Cross_Royal_Scot-London_England.html#REVIEWS</t>
  </si>
  <si>
    <t>psamson2020 wrote a review Mar 20201 contribution</t>
  </si>
  <si>
    <t>convenient and cost effectiveThe hotel was clean and staff friendly. Breakfast was basic but well 
prepared and wifi was fast. I was there for business and only needed the 
room after work and it was comfortable. The location was ideal as it is 
walking distance to the business design centerRead moreReview collected in 
partnership with TravelodgeDate of stay: March 2020HelpfulShare</t>
  </si>
  <si>
    <t>Morten75 wrote a review Mar 2020Stjordal, Norway188 contributions70 helpful 
votes</t>
  </si>
  <si>
    <t>A decent budget hotelHotels in London are generally poor value for money. The average hotel 
standard is probably among the worst in the western world, and budget 
hotels are the worst. In that sense, this Travelodge deliver betters than 
most. I paid 63 for a night, and although the room and the hotel generally 
could use some TLC, I’m fairly happy with my stay. Ok for one night or max 
two, but I probably wouldn’t want to stay here for longer than that.Read 
moreDate of stay: February 2020HelpfulShareResponse from TravelodgeUK, Niki 
from The Social Media Team at Travelodge London Kings Cross Royal 
ScotResponded 10 Mar 2020Thank you so much for your feedback by giving us 
the positive and negative aspects of your stay at our London Kings Cross 
Royal Scot with us. We have taken note of it all and will be concentrating 
on improving the negative aspects you mentioned as we aim to provide an 
enjoyable stay to all of our guests. Thank you again for your review and we 
hope to have the chance to welcome you back again soon.Read more</t>
  </si>
  <si>
    <t>https://www.tripadvisor.co.uk/Hotel_Review-g186338-d243667-Reviews-or20-Travelodge_London_Kings_Cross_Royal_Scot-London_England.html#REVIEWS</t>
  </si>
  <si>
    <t>trainbob wrote a review Mar 2020cornwall252 contributions82 helpful votes</t>
  </si>
  <si>
    <t>good visit to Londona good travelodge does exactly what it says on the tin the only down side 
is the doors have to be slammed to shut so anyone leaving early will awaken 
other residents which is inconvenient and is a built in complaintRead 
moreDate of stay: March 2020HelpfulShare</t>
  </si>
  <si>
    <t>emsgran08 wrote a review Mar 2020North Wales, United Kingdom6 
contributions5 helpful votes</t>
  </si>
  <si>
    <t>Good locationWe stayed here recently during our trip to London. It is what it is -a 
Travelodge- so you know what you are going to get. Probably needs a bit of 
decorating but this is only to be expected as turnover is so high and not 
everyone looks after things as they should. Travelodge (the company) 
probably has some sort of decorating schedule but maybe this one needs to 
move up the list a bit! Having said that it is clean, warm, comfortable, 
not too far from Kings Cross station and all the staff are great and very 
friendly. Food was a bit hit &amp; miss though - I think it depends on who is 
cooking. Only thing we didn't like was the restaurant was directly off the 
reception area and got a bit chilly whenever the doors opened. Probably ok 
in summer but we went at a particularly cold…Read moreDate of stay: March 
2020HelpfulShare</t>
  </si>
  <si>
    <t>PaulB wrote a review Mar 2020Berkshire, United Kingdom12 contributions1 
helpful vote</t>
  </si>
  <si>
    <t>One night valuePresent staff, great location of you know your way around London and are 
Mobile. So the rooms are basic and I had the smallest single bed I have 
seen for a while but I was In London to see live music not to stay inside 
the Travelodge. Room was way to hot. Needed window open all night. Great 
value.Read moreDate of stay: March 2020HelpfulShare</t>
  </si>
  <si>
    <t>https://www.tripadvisor.co.uk/Hotel_Review-g186338-d243667-Reviews-or25-Travelodge_London_Kings_Cross_Royal_Scot-London_England.html#REVIEWS</t>
  </si>
  <si>
    <t>Sophie M wrote a review Mar 20201 contribution</t>
  </si>
  <si>
    <t>Great customer serviceWe stayed in this hotel for 2 nights. Clean and good location. I left my 
samung galaxy buds in the room when i left. Excellent customer sevice, i 
phoned, they found them and sent them out recorded delivery, good 
communication also. ThanksRead moreDate of stay: March 2020HelpfulShare</t>
  </si>
  <si>
    <t>Robert wrote a review Mar 2020Durham, United Kingdom2 contributions</t>
  </si>
  <si>
    <t>Great hotelStopped here many times over the years. A bit of a walk from the train 
station but not too long. Clean, good price and very accommodating staff. 
Will be staying here again many times in the future. Thank you.Read 
moreDate of stay: August 2019HelpfulShare</t>
  </si>
  <si>
    <t>dreamingoflindos wrote a review Mar 2020Dumfries, United Kingdom7 
contributions3 helpful votes</t>
  </si>
  <si>
    <t>Great customer serviceWe stayed 3 nights at the hotel and enjoyed a relaxing time. The staff at 
check-in were very friendly and helpful, the breakfasts were ample and 
tasty, the wi-fi had a strong signal throughout and the room was clean.Read 
moreReview collected in partnership with this hotelDate of stay: February 
2020HelpfulShare</t>
  </si>
  <si>
    <t>shirleytiminey wrote a review Mar 20201 contribution</t>
  </si>
  <si>
    <t>Trip to Royal ScotStaff were friendly and helpful and the hotel was conveniently situated 
near station and bus routes and also restaurants and pubs were nearby. The 
room was quiet and tidy and the bar not too expensive.Read moreReview 
collected in partnership with this hotelDate of stay: February 
2020HelpfulShare</t>
  </si>
  <si>
    <t>art_explorer wrote a review Mar 2020Liverpool3 contributions</t>
  </si>
  <si>
    <t>Budget room for budget priceGreat location and a really good price, also a surprisingly good shower. 
Room could do with a new carpet and a good hoover down the wall side of the 
bed, but was mainly disappointed that there was no bedside table - putting 
things on the floor next to the bed felt extremely basic! It was also 
impossible to sit up in bed because the lamp is placed directly where your 
head would rest on the wall, so not comfortable at all. Curtains let a lot 
of light in so recommend eye mask and ear plugs.Read moreReview collected 
in partnership with this hotelDate of stay: March 2020HelpfulShare</t>
  </si>
  <si>
    <t>https://www.tripadvisor.co.uk/Hotel_Review-g186338-d243667-Reviews-or30-Travelodge_London_Kings_Cross_Royal_Scot-London_England.html#REVIEWS</t>
  </si>
  <si>
    <t>Ally2505 wrote a review Mar 20201 contribution</t>
  </si>
  <si>
    <t>Excellent serviceThe hotel rooms are a bit tired and in need of a makeover but the staff 
more than made up for that they were very hard working and extremely 
helpful and friendly. We are coming back for an overnight stay in March and 
have no problem with that as i said staff extremely helpfull, and the hotel 
is in a prefect location.Read moreReview collected in partnership with this 
hotelDate of stay: February 2020HelpfulShare</t>
  </si>
  <si>
    <t>https://www.tripadvisor.co.uk/Hotel_Review-g186338-d1812157-Reviews-or370</t>
  </si>
  <si>
    <t>Caroleanne10 wrote a review Mar 20201 contribution</t>
  </si>
  <si>
    <t>Lovely staffMy 15yr old daughter and I, first stay for a girly weekend in London. 
Problems with prepaid WiFi but Diane at reception very helpful and went out 
of her way to get us connected. The guy at their telephone customer 
service- not so much. He was rude aggressive and patronising, not the 
welcome I'd hoped for. Thank goodness the front line staff are absolute 
gems.Read moreReview collected in partnership with this hotelDate of stay: 
March 2020HelpfulShare</t>
  </si>
  <si>
    <t>barbsaund wrote a review Mar 2020Milton-under-Wychwood, United Kingdom1 
contribution</t>
  </si>
  <si>
    <t>Two nights in LondonThis was by far one of the best places I've stayed recently. The location 
was perfect--walked just about everywhere but really good underground 
connections for when I was just too knackered! I can't say enough good 
about the staff--so friendly, accommodating and very professional at all 
times. Will highly recommend.Read moreReview collected in partnership with 
this hotelDate of stay: February 2020HelpfulShare</t>
  </si>
  <si>
    <t>https://www.tripadvisor.co.uk/Hotel_Review-g186338-d243667-Reviews-or35-Travelodge_London_Kings_Cross_Royal_Scot-London_England.html#REVIEWS</t>
  </si>
  <si>
    <t>CInkeiTh wrote a review Mar 2020Bridgwater, United Kingdom7 contributions1 
helpful vote</t>
  </si>
  <si>
    <t>Lovely staffHad a good stay the staff were very helpful. Breakfast was good and lots of 
choice, except on both days we were waiting around for cutlery. Basin in 
bathroom was cracked and water dripped on the floor! We did report it.Read 
moreReview collected in partnership with this hotelDate of stay: February 
2020HelpfulShare</t>
  </si>
  <si>
    <t>Julien Brodin wrote a review Mar 2020Meaux, France1 contribution</t>
  </si>
  <si>
    <t>PerfectA perfect hotel for a perfect travelling. Nice breakfast, nice chamber, 
nice team, just perfect for a romantic week end :) Thanks you Rosa for all 
If you want to visit London, take this hotel, he's just perfect.Read 
moreDate of stay: February 2020HelpfulShare</t>
  </si>
  <si>
    <t>Andrea N wrote a review Feb 2020Bridlington, United Kingdom52 
contributions6 helpful votes</t>
  </si>
  <si>
    <t>Great timeThe travelodge was clean and tidy and was what we paid for. The staff were 
lovely and friendly and were very helpful at all times. Close enough to 
walk from train station n tube. Great pub across the road and had a great 3 
nights hereRead moreDate of stay: February 2020HelpfulShare</t>
  </si>
  <si>
    <t>Pedro747474 wrote a review Feb 2020Clydebank, United Kingdom1 contribution</t>
  </si>
  <si>
    <t>A glorified hostel....Firstly, the staff, to a person, are outstanding, kind, friendly, welcoming 
with a smile to greet you. I am also of the opinion they deserve a better 
building to compliment their approach to hospitality. Plenty of tea, coffee 
and milk to help oneself to, and the breakfast is a godsend, but the decor 
is in need of a major revamp- to say it is more of a glorified hostel would 
be accurate. We had (currently HAVE) room 331, on the corner facing the 
back of the hotel, and the secondary glazing latch is coming away from the 
glass. When I told the receptionist she was almost fearful...I said I was 
only informing them to fix it for the next customers. The bathroom is tiny 
and again in bad need of a revamp. I would give it 5 stars only for the 
staff...c'mon Travelodge, give…Read moreReview collected in partnership 
with TravelodgeDate of stay: February 2020HelpfulShareResponse from 
TravelodgeUK, Ben from the Social Media Team at Travelodge London Kings 
Cross Royal ScotResponded 1 Mar 2020Thank you for taking the time to write 
a review about our London Kings Cross Royal Scot hotel. We're pleased to 
hear that you found the hotel team to be friendly and welcoming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</si>
  <si>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https://www.tripadvisor.co.uk/Hotel_Review-g186338-d243667-Reviews-or40-Travelodge_London_Kings_Cross_Royal_Scot-London_England.html#REVIEWS</t>
  </si>
  <si>
    <t>R_wallace977 wrote a review Feb 2020Edinburgh, United Kingdom23 
contributions7 helpful votes</t>
  </si>
  <si>
    <t>Reasonable cost for a London hotelSpent two nights here while attending concert and for short visit. Hotel 
room was clean and comfortable and basic facilities were adequate. Would 
recommend if you are looking for basic accommodation at a reasonable cost. 
The hotel is a 13 minute walk from the station so if lots of luggage would 
recommend a taxi!Read moreReview collected in partnership with this 
hotelDate of stay: February 2020HelpfulShare</t>
  </si>
  <si>
    <t>Dawn E wrote a review Feb 2020Wednesbury, United Kingdom48 contributions28 
helpful votes</t>
  </si>
  <si>
    <t>My regular hotel by choiceAs I work in London 3 days a week I need to stay over. I have stayed in 
many Travelodges but this is by far my favourite. I request to stay in here 
every week why... The staff are all so super friendly and cant do enough to 
accomodate reasonable requests. Its reasonably priced and close to 
amenities and station (5 min walk) The breakfast buffet although pricey 
covers most tastes and no one should leave hungry. Rooms are clean and 
serve the purpose, its for sleeping and showering. At the end of the day 
its a Travelodge so basic but does what it says on the tin, if you want 
4/5* treatment go to a 4/5* hotel and take a mortgage out to do it in 
London!! I will be returning most weeks while in London ��Read moreDate of 
stay: February 2020HelpfulShare</t>
  </si>
  <si>
    <t>anneericketts wrote a review Feb 2020Beaulieu, United Kingdom7 
contributions1 helpful vote</t>
  </si>
  <si>
    <t>Grotty bedroom and bathroomCarpet was sticky, stained, well worn and not vacuumed properly. 
Cleanliness was poor with awful stains in the toilet, dirty tiles under the 
sink, stains around sink plug hole, stained grouting and no blind in the 
bathroom window. The curtains were hanging off in the bedrrom, the room was 
cold when ariived and the bathroom was freezing as no heating in there at 
all. There were stains on the towels and pillowcase. Surface of kettle was 
dirty and signs of hard water staining inside it. Overall made me feel as 
though there was little care and would rate as a 1 to 2 star at best based 
on the room.Read moreReview collected in partnership with TravelodgeDate of 
stay: February 2020HelpfulShareResponse from TravelodgeUK, James from the 
Social Media Team at Travelodge London Kings Cross Royal ScotResponded 1 
Mar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</si>
  <si>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Martin G wrote a review Feb 2020Leicester, United Kingdom23 contributions6 
helpful votes</t>
  </si>
  <si>
    <t>Good location, reasonably priced and exceptionally polite and friendly 
staff.The hotel is just down the road from Kings Cross and a 30 minute walk to 
the river and St Paul's district. Although on a main road, it is quiet at 
night and the comfortable beds ensure a good night's sleep. The rooms are 
spotlessly clean and are more than adequate for a few nights stay. The 
self-service breakfast is good value for money and there is plenty of 
choice. The staff are all exceptionally friendly and professional. I'd 
especially like to thank Martin and Bella on reception for their efficiency 
and helpfulness. Also Kerry, who gave us a big smile and cheerful welcome 
at breakfast, which was a great way to start the day.Read moreDate of stay: 
February 2020HelpfulShare</t>
  </si>
  <si>
    <t>https://www.tripadvisor.co.uk/Hotel_Review-g186338-d243667-Reviews-or45-Travelodge_London_Kings_Cross_Royal_Scot-London_England.html#REVIEWS</t>
  </si>
  <si>
    <t>robinleaver wrote a review Feb 2020Newcastle upon Tyne, United Kingdom1 
contribution1 helpful vote</t>
  </si>
  <si>
    <t>Shocking hotel!A very old hotel, not in good condition, cold rooms, uncomfortable beds, 
poor duvets, horrible pillows. Staff were attentive and helpful but this 
did not make up for the awful nights sleep. In future I will pay the extra 
to stay in a premier inn!Read moreReview collected in partnership with this 
hotelDate of stay: February 20201 Helpful voteHelpfulShareResponse from 
TravelodgeUK, James from the Social Media Team at Travelodge London Kings 
Cross Royal ScotResponded 27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</si>
  <si>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greenplanetcommu2020 wrote a review Feb 2020Bury St Edmunds, United 
Kingdom1 contribution</t>
  </si>
  <si>
    <t>Shabby room with missing furnitureWhile the reception are is welcoming and the staff very friendly at this 
place, upstairs this hotel is incredibly shabby - it's unlike any other 
Travelodge I've stayed in (and there have been many). My room was gloomy - 
and had hardly any furniture. There were missing bedside tables (big gaps 
where they were supposed to have been!) and just a very uncomfortable bed. 
The bathroom was fitted out with old, clearly repaired fittings and had 
paint peeling from the walls. I complained ab out the missing furniture and 
was told it shoud not be like that and would be rectified. It was not. DO 
NOT stay at the Travelodge - the rooms are more like a poor, shabby 
hostel.Read moreReview collected in partnership with TravelodgeDate of 
stay: February 2020HelpfulShareResponse from TravelodgeUK, James from the 
Social Media Team at Travelodge London Kings Cross Royal ScotResponded 27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</si>
  <si>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Hk30121989 wrote a review Feb 2020Barnsley, United Kingdom63 
contributions29 helpful votes</t>
  </si>
  <si>
    <t>Average TravelodgeStayed here for a few days this week, booked for the location. Ideally 
situated close to Kings Cross St. Pancras station. 24hr bar and pizza, 
friendly staff. Not the cleanest of hotels. Relatively spacious rooms.Read 
moreDate of stay: February 2020HelpfulShareResponse from TravelodgeUK, 
James from the Social Media Team at Travelodge London Kings Cross Royal 
ScotResponded 27 Feb 2020Thank you for reviewing our Travelodge London 
Kings Cross Royal Scot Hotel. We're happy to hear you were pleased with the 
location of the hotel during this stay with us as well as with the service 
from the hotel's team but we're sorry to hear of the cleanliness issues 
experienced. Please rest assured the hotel managers check Tripadvisor 
reviews of their hotels so your comments will be reviewed by the hotel's 
team. Thank you again for leaving this review and we do hope that you 
choose to stay with us again in the future.Read more</t>
  </si>
  <si>
    <t>yannito68 wrote a review Feb 2020Guebwiller, France1 contribution</t>
  </si>
  <si>
    <t>Good hotel and very friendly staffVery good welcome from the team for my first stay in England. Very good 
value for money due to the location of the hotel, near bus stops and 
proximity to King Cross / St Pancrass station (5 mins walk).Read moreReview 
collected in partnership with TravelodgeDate of stay: February 
2020HelpfulShare</t>
  </si>
  <si>
    <t>https://www.tripadvisor.co.uk/Hotel_Review-g186338-d243667-Reviews-or50-Travelodge_London_Kings_Cross_Royal_Scot-London_England.html#REVIEWS</t>
  </si>
  <si>
    <t>Hector E wrote a review Feb 2020Zaragoza6 contributions</t>
  </si>
  <si>
    <t>Good value for money, friendly staffOur hotel was well located and connected, near metro (Kings Cross) and bus 
stops (only 2´walk). The neighbourhood is friendly, there are shops, pubs 
and a supermarket nearby. About the hotel, the room is nice and clean room, 
with kettle and supplies (this is a really point in favor), and the staff 
was really helpful and friendly, so in the check in as well as for check 
out. They also kept our luggage after check out for the morning. I would 
absolutely recommend it!Read moreReview collected in partnership with 
TravelodgeDate of stay: February 2020HelpfulShare</t>
  </si>
  <si>
    <t>MisterSmithSussex wrote a review Feb 2020Eastbourne, United Kingdom1 
contribution</t>
  </si>
  <si>
    <t>ReasonableThis hotel was cheaper than other Travelodges, but it was a bit 
disappointing. The bedroom door didn't fully fit the doorway so light and a 
lot of noise were coming through. Some staff were welcoming, others 
couldn't have cared less.Read moreReview collected in partnership with 
TravelodgeDate of stay: February 2020HelpfulShareResponse from 
TravelodgeUK, James from the Social Media Team at Travelodge London Kings 
Cross Royal ScotResponded 27 Feb 2020Thank you for reviewing our Travelodge 
London Kings Cross Royal Scot Hotel. We're happy to hear you were pleased 
with the value of the hotel during this stay with us but we're very sorry 
to hear of the issues with internal noise. Please rest assured the hotel 
managers check Tripadvisor reviews of their hotels so your comments will be 
reviewed by the hotel's team. Thank you again for leaving this review and 
we do hope that you choose to stay with us again in the future.Read more</t>
  </si>
  <si>
    <t>BrummieGromit wrote a review Feb 2020Brummie14 contributions13 helpful votes</t>
  </si>
  <si>
    <t>Cheap and cheerfulStayed here one Sunday night. Location ok not far from Tube and Euston 
Station. Room very basic, did not even have bedside tables. Clean but tired 
looking. Breakfast a disaster no plates, glasses, cutlery and food and 
drink constantly running out. Staff cheerful despite pressure. If you are 
in a rush like we were get breakfast elsewhere. Check in staff were lovely. 
Check out rather miserable like the weather..!!Read moreReview collected in 
partnership with this hotelDate of stay: February 2020HelpfulShareResponse 
from TravelodgeUK, James from the Social Media Team at Travelodge London 
Kings Cross Royal ScotResponded 27 Feb 2020Thank you for reviewing our 
Travelodge London Kings Cross Royal Scot Hotel. We're happy to hear you 
were pleased with the location of the hotel during this stay as well as 
with it's cleanliness but we're very sorry to hear of the issues 
experienced at breakfast. Please rest assured the hotel managers check 
Tripadvisor reviews of their hotels so your comments will be reviewed by 
the hotel's team. Thank you again for leaving this review and we do hope 
that you choose to stay with us again in the future.Read more</t>
  </si>
  <si>
    <t>HarrogateDenise wrote a review Feb 2020Harrogate, United Kingdom48 
contributions17 helpful votes</t>
  </si>
  <si>
    <t>Excellent StaffStayed here 19 Feb 2020. Easy check in with friendly staff. 10 mins walk 
from Kings Cross Station and really easy to find. Comfy beds and nice and 
clean. Only downside was the furniture has seen better days but still 
functional. Left some luggage for free in the luggage room. Had to rush 
back for it as we hadn’t realised the time, only had 10 mins to catch the 
train. The receptionist that was on that evening could see we were in a 
rush and hurried to help us. If it hadn’t been for her we would have missed 
our train. Excellent service all round. Loved our breakfast. We will be 
back. Thankyou team!Read moreDate of stay: February 2020HelpfulShare</t>
  </si>
  <si>
    <t>https://www.tripadvisor.co.uk/Hotel_Review-g186338-d243667-Reviews-or55-Travelodge_London_Kings_Cross_Royal_Scot-London_England.html#REVIEWS</t>
  </si>
  <si>
    <t>Larissa H wrote a review Feb 2020Bury, United Kingdom88 contributions14 
helpful votes</t>
  </si>
  <si>
    <t>Very good price for central londonI would definitely recommend this travelodge if staying in central London. 
Only a 7 minute walk from kings cross and good bus access right outside. 
Friendly staff and good price for centre of London, breakfast and bar 
available.Read moreReview collected in partnership with TravelodgeDate of 
stay: February 2020HelpfulShare</t>
  </si>
  <si>
    <t>Babsstockport wrote a review Feb 2020Stockport, United Kingdom626 
contributions600 helpful votes</t>
  </si>
  <si>
    <t>Lovely staff but rooms could do with a makeoverWe stayed here two nights during a trip to London. We wrongly went to 2 
other Travelodge hotels in Kings Cross so make sure that you check the 
directions beforehand. It is not the one nearest the station. Inside the 
reception is modern and the staff are very friendly and welcoming. We had a 
room on the third floor and although it is on a busy road it is not noisy 
and the bed is very comfortable and clean. You can get lots of extra coffee 
and tea downstairs if there is not enough in the room. My only criticism is 
that the bathroom is very old fashioned and our room did not get refreshed 
for the second day despite our putting the notice on the door. We had to 
ask for clean towels. We also reported faulty bedside lights which did not 
get replaced by day 2 which indicates poor…Read moreDate of stay: February 
2020HelpfulShare</t>
  </si>
  <si>
    <t>Pete M wrote a review Feb 2020York, United Kingdom3 contributions5 helpful 
votes</t>
  </si>
  <si>
    <t>https://www.tripadvisor.co.uk/Hotel_Review-g186338-d1812157-Reviews-or375</t>
  </si>
  <si>
    <t>FeedbackNo waiting. Got registered straightaway. Our luggage was kindly stored at 
no charge. Reception people were really efficient and engaging. Room was 
very good value having booked it over a month before. We even were allowed 
to leave luggage on checkout free to pick up laterRead moreReview collected 
in partnership with this hotelDate of stay: February 2020HelpfulShare</t>
  </si>
  <si>
    <t>Callan C wrote a review Feb 2020Kingston-upon-Hull, United Kingdom5 
contributions</t>
  </si>
  <si>
    <t>AyanAyan wins this hotel 5*, no question about it, she is a fantastic credit to 
the team here and any minor issues that would've usually been mentioned 
here were quickly rectified by the staff. Good Central location too if 
you're planning to go to Europe via the Eurostar with KGX and St Pancras 
being within a ten minute walk.Read moreDate of stay: February 
2020HelpfulShare</t>
  </si>
  <si>
    <t>https://www.tripadvisor.co.uk/Hotel_Review-g186338-d243667-Reviews-or60-Travelodge_London_Kings_Cross_Royal_Scot-London_England.html#REVIEWS</t>
  </si>
  <si>
    <t>B1gals wrote a review Feb 2020Sunderland, United Kingdom1 contribution1 
helpful vote</t>
  </si>
  <si>
    <t>Ok.Friendly and helpful staff but the rooms are desperately in need of 
refurbishment. Serves the purpose of somewhere to sleep within a certain 
budget. Only 5 minutes walk from kings cross and local shopsRead moreReview 
collected in partnership with TravelodgeDate of stay: February 
2020HelpfulShareResponse from TravelodgeUK, James from the Social Media 
Team at Travelodge London Kings Cross Royal ScotResponded 26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</si>
  <si>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abbienewing1996 wrote a review Feb 20201 contribution</t>
  </si>
  <si>
    <t>Kings Cross Royal Scot Stay ReviewI booked a room at this hotel and it was great value for money; would 
definitely book again. The hotel gave great quality at no-fuss for a low 
price, which was great; lovely room and nice breakfast. London hotels are 
normally very expensive, so this made a really nice change and the central 
location was really handy.Read moreReview collected in partnership with 
this hotelDate of stay: February 2020HelpfulShare</t>
  </si>
  <si>
    <t>rosiesmitham wrote a review Feb 2020Swansea, United Kingdom3 contributions1 
helpful vote</t>
  </si>
  <si>
    <t>Nightmare Travel lodge.Awful standard of room, will not be staying again. Not only was the 
standard poor, the staff were unaccommodating and the noise levels within 
this hotel result in no sleep. Avoid this hotel at all costs, it is not 
worth the £30 a night.Read moreReview collected in partnership with 
TravelodgeDate of stay: February 2020HelpfulShareResponse from 
TravelodgeUK, James from the Social Media Team at Travelodge London Kings 
Cross Royal ScotResponded 26 Feb 2020Thanks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</si>
  <si>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https://www.tripadvisor.co.uk/Hotel_Review-g186338-d243667-Reviews-or65-Travelodge_London_Kings_Cross_Royal_Scot-London_England.html#REVIEWS</t>
  </si>
  <si>
    <t>amp1 wrote a review Feb 2020Grantham, United Kingdom114 contributions72 
helpful votes</t>
  </si>
  <si>
    <t>Not nice - won’t go backWe stayed overnight on Sunday 23rd February 2020 . Needed a good clean 
comfortable base near to kings cross station as we were attending a family 
party in central London . Really wished I hadn’t booked this hotel . We use 
travelodge a lot for business stays - but this must be the very worse in 
their chain . The building is old and the bathrooms are so grim you don’t 
want to use them. The toilet just wouldn’t flush toilet paper ... gross . 
Our room had a tiny double bed - it was so small you had to get out of bed 
to switch the bedside lights out ! The bed was comfortable but the pillows 
not great . We needed to use an iron . It was filthy with a burnt bottom , 
just not on . The vending machines are broken . The coffee machine in the 
breakfast room is also broken . The…Read moreDate of stay: February 
2020HelpfulShareResponse from TravelodgeUK, Hannah from The Social Media 
Team at Travelodge London Kings Cross Royal ScotResponded 25 Feb 2020Thank 
you for taking the time to share your experience with us. We are sorry to 
learn of your disappointment with our hotel facilities. As a budget hotel 
brand we aim to provide a comfortable stay for value and we are currently 
refreshing our refurbishment scheme to improve our hotels. We would like to 
thank you for your feedback, which we will certainly take on board. We hope 
to consistently provide a high standard of cleanliness within our rooms and 
throughout our hotels, and we apologise if this was not displayed during 
your stay. We will certainly address this with the Hotel Team to reiterate 
the importance of attention to detail when servicing the rooms. We hope you 
will chose to stay with us in the future, where we will endeavour to 
restore your faith in Travelodge.Read more</t>
  </si>
  <si>
    <t>Gareth N wrote a review Feb 2020Cleckheaton, United Kingdom10 
contributions3 helpful votes</t>
  </si>
  <si>
    <t>Shabby accommodation, poor food, fantastic staffThe hotel staff are extremely friendly and welcoming. If only the place 
itself was as good. Rooms are very basic and the breakfasts are unpleasant 
at best. The mushrooms especially were either overdone or just old. No 
fried eggs just scrambled. After the first morning I just had croissants. 
The place needs a makeover, the bathroom needed renewing and was dirty. We 
were very disappointed with the general poor quality of the room and the 
food.Read moreDate of stay: February 2020HelpfulShareResponse from 
TravelodgeUK, Hannah from The Social Media Team at Travelodge London Kings 
Cross Royal ScotResponded 25 Feb 2020Thank you for taking the time to share 
your experience with us. We are sorry to learn of your disappointment with 
our hotel facilities. As a budget hotel brand we aim to provide a 
comfortable stay for value and we are currently refreshing our 
refurbishment scheme to improve our hotels. We would like to thank you for 
your feedback, which we will certainly take on board. We are sorry to learn 
of your disappointment with the food in our Bar Cafe. We hope to only serve 
food of good quality, cooked and presented to an acceptable, high standard. 
Where this is not the case, we would kindly advise raising this with the 
Team on site so that they can offer a resolution. However, We will 
certainly pass your comments on to the Management Team to ensure that we 
consistently provide good service within our Bar Cafes. We hope you will 
chose to stay with us in the future, where we will endeavour to restore 
your faith in Travelodge.Read more</t>
  </si>
  <si>
    <t>Boris K wrote a review Feb 2020Kingston upon Thames, United Kingdom10 
contributions</t>
  </si>
  <si>
    <t>Stuff missing from my room. Room undone and a mess on second day of stayI had a room booked for 2 days. After I got back on second day of my stay 
after a long day at work at 10pm, my room was undone and my personal things 
MISSING -1x toothbrush, 1x hair shampoo, 1x pair of fresh underwear! Shift 
manager gave me another room and paid for replacement shampoo after I had 
spent long 1hour of resolving the matter. I had to leave hotel at 6am which 
shortened my needed rest! I asked for full compensation,manager replied he 
cannot do much about it.Read moreReview collected in partnership with 
TravelodgeDate of stay: February 2020HelpfulShareResponse from 
TravelodgeUK, James from the Social Media Team at Travelodge London Kings 
Cross Royal ScotResponded 24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</si>
  <si>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https://www.tripadvisor.co.uk/Hotel_Review-g186338-d243667-Reviews-or70-Travelodge_London_Kings_Cross_Royal_Scot-London_England.html#REVIEWS</t>
  </si>
  <si>
    <t>fjn49 wrote a review Feb 2020Doncaster, United Kingdom1 contribution</t>
  </si>
  <si>
    <t>Great staff. Serviceable roomI cannot praise the staff at this hotel highly enough - without exception, 
all were friendly and welcoming. Kyle, in particular, went the extra mile. 
The rooms were fairly basic, but contained everything needed. They were a 
little worn, but bedding was pristine.Read moreReview collected in 
partnership with this hotelDate of stay: February 2020HelpfulShareResponse 
from TravelodgeUK, Niki from The Social Media Team at Travelodge London 
Kings Cross Royal ScotResponded 23 Feb 2020Thank you for sharing your 
experience with us. It is great to hear, that you have enjoyed your stay 
with us at our London Kings Cross Royal Scot hotel. Rest ensured, that we 
will take your comments for further encouragement within the hotel team to 
ensure a friendly welcome and a comfortable stay is provided again for your 
next visit with us. Thank you again for taking the time to share your 
experience and we hope to have the chance to welcome you back soon.Read more</t>
  </si>
  <si>
    <t>Nic H wrote a review Feb 2020Hartlepool, England, United Kingdom83 
contributions61 helpful votes</t>
  </si>
  <si>
    <t>Very basic dated hotelStayed Here 2 nights, hotel is dated and basic. Rooms are in need of an 
upgrade, lots Marks on the walls and paint marks on bath and taps. No 
toilet brush available? Some plugs in the room were unusable. No plugs near 
bed and No bedside tables We were staying on the 5th floor roadside and it 
was very noisy on a night with traffic. Staff were not friendly apart from 
one server on an evening in the bar (lady with the dreadlocks - didn’t 
catch her name) Food menu basic, no kids menu available. Food was bland, 
breakfast consisted of cereal or toast or croissants, hot options were 
bacon, sausage, beans, hash brown, tomato, mushroom. 2 juice machines - 
orange/apple/water 2 coffee/hot water machines - one out of order during 
our stay which caused queues at breakfast time. I…Read moreDate of stay: 
February 2020HelpfulShareResponse from TravelodgeUK, James from the Social 
Media Team at Travelodge London Kings Cross Royal ScotResponded 23 Feb 
2020Thank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</si>
  <si>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Suncat4321 wrote a review Feb 2020South Shields, United Kingdom11 
contributions19 helpful votes</t>
  </si>
  <si>
    <t>Staff appalling, corridors and rooms very dated.Stayed as a group of four for business. On arrival at reception we were 
ignored whilst the receptionist messed on with the computer. Eventually we 
were checked in and allocated an incorrect room (double rather than twin). 
This was blamed on the system, no apology. When we returned later in the 
evening we decided to take a drink in the bar. After around 15 mins 2 
security guards approached us and asked if we were residents. We produced 
room keys and gave our numbers to be aggressively confronted. I produced 
the invoice on my phone and still told I wasnt on his sheet. He said you 
must come to reception to sort this out now. Naturally we refused and told 
him to bring a manager over to us. Awful horrible staff, no courtesy or 
manners.Read moreReview collected in partnership with TravelodgeDate of 
stay: February 20201 Helpful voteHelpfulShareResponse from TravelodgeUK, 
Ben from the Social Media Team at Travelodge London Kings Cross Royal 
ScotResponded 21 Feb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</si>
  <si>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https://www.tripadvisor.co.uk/Hotel_Review-g186338-d243667-Reviews-or75-Travelodge_London_Kings_Cross_Royal_Scot-London_England.html#REVIEWS</t>
  </si>
  <si>
    <t>fabienmerciere wrote a review Feb 20201 contribution</t>
  </si>
  <si>
    <t>Great HotelAmazing service and breakfast! Great value for money! The staff were lovely 
and polite, the room was super clean as well as the bathroom. Impressive 
service. I would definitely recommend this hotel to absolutely anyone 
whether coming for business or leisure. The full English breakfast was 
decent quality and all of that for less than 60 a night is cheap as 
chips.Read moreReview collected in partnership with this hotelDate of stay: 
February 2020HelpfulShare</t>
  </si>
  <si>
    <t>Catherine R wrote a review Feb 2020Birmingham, United Kingdom59 
contributions17 helpful votes</t>
  </si>
  <si>
    <t>Everything we needed, good value for money.This hotel is 15 minutes walk from kings cross. It's basic. Rooms are 
compact. Ensuite bath and shower over. Double glazed. Tv. Clean and not 
shabby. We were very happy we got value for money. Friendly, helpful 
staff.Read moreDate of stay: February 2020HelpfulShare</t>
  </si>
  <si>
    <t>Barbara S wrote a review Feb 2020Leeds, United Kingdom1 contribution</t>
  </si>
  <si>
    <t>Lovely staffStaff as I booked in (Dione) was lovely and helpful. At checkout - and 
hairdryer loan - Bella was also really pleasant and helpful. The room was 
clean and all was fine. Comfortable bed.TV worked fine. It's a good 
location and I always feel safe walking around the area.Read moreReview 
collected in partnership with this hotelDate of stay: February 
2020HelpfulShare</t>
  </si>
  <si>
    <t>https://www.tripadvisor.co.uk/Hotel_Review-g186338-d243667-Reviews-or80-Travelodge_London_Kings_Cross_Royal_Scot-London_England.html#REVIEWS</t>
  </si>
  <si>
    <t>Spett2014 wrote a review Feb 2020Huntingdon, United Kingdom5 contributions1 
helpful vote</t>
  </si>
  <si>
    <t>DisappointedI found the staff very welcoming and efficient. The bed was freshly 
laundered and the toilet was clean.Close to Kings Cross and places to eat. 
Unfortunately that's where the praise finishes. The room was very tired and 
in desperate need of an overhaul, stained carpets, marked walls, bedside 
light switches not close enough from the bed to be to reached easily, no 
plugs on bed side or USB ports. Bathroom was dirty and dusty. The bath area 
was awful - numerous previous holes in the tiles where things have been 
moved. All chrome from the shower curtain rail to taps and shower was very 
rusty. Son had room next door and same problems with his room except his 
lights not work properly either. We were very disappointed in this room as 
we have stayed in many Travelodges over the years…Read moreReview collected 
in partnership with this hotelDate of stay: February 
2020HelpfulShareResponse from TravelodgeUK, Zack from The Social Media Team 
at Travelodge London Kings Cross Royal ScotResponded 20 Feb 2020Thank you 
for leaving your review of our London Kings Cross Royal Scot hotel. We are 
pleased to hear that you found the staff to be welcoming and helpful during 
your stay, and that you found the location of the hotel to be great, 
however we are sorry to hear of the cleanliness issues you experienced 
during your stay. We will be sure to provide your feedback to the hotel 
management team so we are able to improve the service we offer to our 
guests. Thank you again for leaving your review of our hotel and we do hope 
that you choose to stay with us again in the future.Read more</t>
  </si>
  <si>
    <t>Jeremy P wrote a review Feb 2020Totnes90 contributions33 helpful votes</t>
  </si>
  <si>
    <t>What's not to like?This is 10 minutes walk from Kings Cross. You don't hear much noise from 
the outside, it's clean, everything works, the bed's comfortable but the 
decor is a bit dated. The staff were friendly and helpful, but they don't 
wait on you hand and foot, and yes it's all a bit corporate and impersonal, 
and I wouldn't want to linger in the room for too long. But then, you don't 
come to London to linger in a room, do you? We booked up a while in advance 
for a quiet time and it seemed unbelievably cheap for central London. We'll 
certainly consider it next time we stay in London.Read moreReview collected 
in partnership with this hotelDate of stay: February 2020HelpfulShare</t>
  </si>
  <si>
    <t>Charlene C wrote a review Feb 2020Mansfield, United Kingdom9 contributions2 
helpful votes</t>
  </si>
  <si>
    <t>Rooms bit oldStaff good . Room old bits missing . No soap Bar staff not very helpful 
Room not cleaned very well. Outside dirty. Reception staff very good. Not 
too far from kings cross And tubes. Food and bar open 24 hourRead 
moreReview collected in partnership with TravelodgeDate of stay: February 
2020HelpfulShare</t>
  </si>
  <si>
    <t>tmwmanning wrote a review Feb 2020Ramsgate, United Kingdom1 contribution</t>
  </si>
  <si>
    <t>Not terrible, but not great eitherThis Travelodge was well-priced and the location is decent if you don't 
mind a walk. The plumbing was very noisy though and carried on throughout 
the night, it was difficult to sleep. I stay at a lot of Travelodges, 
usually just for a night at a time when I come to London. My stay wasn't 
terrible, but it didn't stand out either. Out of the Travelodges I have 
stayed at, this was probably the least enjoyable. Based on price alone 
though it is okRead moreReview collected in partnership with TravelodgeDate 
of stay: February 2020HelpfulShare</t>
  </si>
  <si>
    <t>JosephBD_01 wrote a review Feb 2020Leeds, United Kingdom4 contributions1 
helpful vote</t>
  </si>
  <si>
    <t>Lovely staff, rooms slightly outdated thoughI had a 2 night stay at this hotel. The hotel is ageing and the decor 
inside might need a bit of a refurb. But the stay was still really nice, 
the staff were always smiling and so helpful and I couldn't fault then one 
bit. We had a repeated problem of other customers trying to access our 
room, I was told this was because the staff member may have accidentally 
wrote the number of the room in a similar way to our room. But it was still 
quite worrying knowing someone was trying to open the door, of course it 
isn't the customers fault. On top of this, the room key had to be changed a 
few times which was quite inconvenient. However the staff were very 
understanding and apologetic and this made the issue much easier to handle. 
Overall I would recommend anyone to stay at the hotel,…Read moreDate of 
stay: February 2020HelpfulShare</t>
  </si>
  <si>
    <t>https://www.tripadvisor.co.uk/Hotel_Review-g186338-d243667-Reviews-or85-Travelodge_London_Kings_Cross_Royal_Scot-London_England.html#REVIEWS</t>
  </si>
  <si>
    <t>Zupca wrote a review Feb 20201 contribution</t>
  </si>
  <si>
    <t>poor hotelrooms should be renovated, bathroom door of our room was in terrible 
condition, English breakfast, well choice was not so huge so i would call 
it "Eng break" (just "half" of an average English breakfast (one sort of 
toast bread, exactly the same breakfast all 3 days, no variety at all, eggs 
sunny side up not possible (even not if you would like to pay extra... etc 
etc). NO i was not really satisfied, it is not what Travelodge hotel chain 
quality that i would expect...Read moreReview collected in partnership with 
TravelodgeDate of stay: February 2020HelpfulShareResponse from 
TravelodgeUK, James from the Social Media Team at Travelodge London Kings 
Cross Royal ScotResponded 19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</si>
  <si>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DenizDiana wrote a review Feb 2020London, United Kingdom1 contribution</t>
  </si>
  <si>
    <t>good servis in travelodgeservis was good. very carefull and helpfull staff. the lady in reception 
called Michelle was very kind and nice to me. location is amaizing. close 
to everywhere i needed. rooms a bit small, but for middle class hotel quite 
good enough.Read moreDate of stay: February 2020HelpfulShare</t>
  </si>
  <si>
    <t>rosaliaalvarenga wrote a review Feb 2020Sao Luis, MA74 contributions9 
helpful votes</t>
  </si>
  <si>
    <t>Perfect serviceI’m a Brazilian group leader who stayed with a group of students in 
Travelodge, last week. The location is very convenient, the hotel and rooms 
are clean and tidy, the breakfast was very good and the service PERFECT. 
Since the check in, everything we needed, there was an attentive employee 
to help us. I surely recommend it.Read moreDate of stay: February 
2020HelpfulShare</t>
  </si>
  <si>
    <t>IzzyS0701 wrote a review Feb 2020Stuttgart, Germany1 contribution</t>
  </si>
  <si>
    <t>Definitely would come backWell the price is very nice for London and it's fairly well located. Staff 
was amazing and the guy who checked us in (Martin) was exceptionally 
friendly, competent and always had a smile on his face whenever we saw him 
- Give this guy a raise! The room was spotless but very small and the hotel 
itself as well as the room could use renovations. The walls are cracking 
and the decor is kinda outdated. Bathroom is small but clean. The 
nightstands were tiny (my phone barely fit) it's nice that you can open 
windows to let in some air but because of no or bad isolation the windows 
kept banging all night and that was very loud sometimes. All in all would 
definitely come back.Read moreReview collected in partnership with 
TravelodgeDate of stay: February 2020HelpfulShare</t>
  </si>
  <si>
    <t>https://www.tripadvisor.co.uk/Hotel_Review-g186338-d243667-Reviews-or90-Travelodge_London_Kings_Cross_Royal_Scot-London_England.html#REVIEWS</t>
  </si>
  <si>
    <t>Rosie E wrote a review Feb 20201 contribution</t>
  </si>
  <si>
    <t>Work visitReally fun bar team who were welcoming and friendly! Bar had a decent 
selection and the bar staff were really welcoming when we arrived and 
drinks weren't London expensive! All over enjoyed the team on the bar the 
night we were staying, thanks Maria and Marta!Read moreDate of stay: 
February 2020HelpfulShare</t>
  </si>
  <si>
    <t>Ian M wrote a review Feb 2020Shirley, United Kingdom2 contributions1 
helpful vote</t>
  </si>
  <si>
    <t>Avoid this companyI had booked the Travelodge Kings Cross on the Sunday 9th February which 
unfortunately coincided with storm Ciara. I couldn’t travel as the trains 
were cancelled. I contacted them for a refund because of the exceptional 
circumstances but was told I couldn’t have one quoting their “term and 
conditions” . I find their attitude absolutely pathetic and will never use 
Travelodge again. Only wish I could give a zero rating.Read moreDate of 
stay: February 20201 Helpful voteHelpfulShareResponse from TravelodgeUK, 
Zack from The Social Media Team at Travelodge London Kings Cross Royal 
ScotResponded 18 Feb 2020Thank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</si>
  <si>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Rebecca B wrote a review Feb 20202 contributions6 helpful votes</t>
  </si>
  <si>
    <t>https://www.tripadvisor.co.uk/Hotel_Review-g186338-d1812157-Reviews-or380</t>
  </si>
  <si>
    <t>Very DisappointedThe hotel needs alot of work as the rooms are very dated and tired, 
especially the bathroom. The ceiling in our room looked as if it recently 
had a water leak. Unfortunately upon coming back to our room, hoping it had 
been cleaned this time. Our towels were taken along with our teaspoons and 
not replaced, leaving the rest of the room how it was. It was as of the 
shift had finished during the cleaning of our room. On a positive note, the 
staff were very polite and friendly.Read moreDate of stay: February 
2020HelpfulShareResponse from TravelodgeUK, Niki from The Social Media Team 
at Travelodge London Kings Cross Royal ScotResponded 18 Feb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</si>
  <si>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https://www.tripadvisor.co.uk/Hotel_Review-g186338-d243667-Reviews-or95-Travelodge_London_Kings_Cross_Royal_Scot-London_England.html#REVIEWS</t>
  </si>
  <si>
    <t>Vanessa B wrote a review Feb 20204 contributions</t>
  </si>
  <si>
    <t>Haunted roomMe and my friend stayed in this hotel because our train was cancelled so it 
was cheap and convenient, the room was very old we heard noises scratches 
room felt very cold we couldn't wait to leave definitely hauntedRead 
moreDate of stay: February 2020HelpfulShare</t>
  </si>
  <si>
    <t>janeevans2 wrote a review Feb 2020Leighton Buzzard, United Kingdom1 
contribution1 helpful vote</t>
  </si>
  <si>
    <t>Not worth the money at all!the room was dirty, there was a sanitary towl wrapper left by the toilet, 
the mirror was filthy, there was a stain on the sheet abd the bath curtain 
was disgusting. the staff were very welcoming but overall i was extremely 
unimpressed with the hotel room and would not recommend to anyone!Read 
moreReview collected in partnership with this hotelDate of stay: February 
20201 Helpful voteHelpfulShareResponse from TravelodgeUK, Zack from The 
Social Media Team at Travelodge London Kings Cross Royal ScotResponded 17 
Feb 2020Thank you for leaving your review of our London Kings Cross Royal 
Scot hotel. We are pleased to hear that you found our hotel team to be 
welcoming and friendly, however we are sorry to hear of your disappointment 
with the cleanliness of the hotel.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</si>
  <si>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tonibate wrote a review Feb 20201 contribution</t>
  </si>
  <si>
    <t>London stayRoom was clean - but quite 'old' looking Minimal in decor - could have had 
another table Basic and OK for the money spent - didn't expect much and 
didn't get much outside of basic. Would recommend for a cheap and unfussy 
stay.Read moreReview collected in partnership with this hotelDate of stay: 
February 2020HelpfulShareResponse from TravelodgeUK, James from the Social 
Media Team at Travelodge London Kings Cross Royal ScotResponded 17 Feb 
2020Thank you for reviewing our Travelodge London Kings Cross Royal Scot 
Hotel. We're happy to hear you were pleased with the cleanliness of the 
hotel during this stay with us but we're sorry to hear you felt the decor 
was minimal. Please rest assured the hotel managers check Tripadvisor 
reviews of their hotels so your comments will be reviewed by the hotel's 
team. Thank you again for leaving this review and we do hope that you 
choose to stay with us again in the future.Read more</t>
  </si>
  <si>
    <t>jennyeass0n wrote a review Feb 2020Dundee, United Kingdom1 contribution</t>
  </si>
  <si>
    <t>Met all my accustomed expectationsHaving been several times before, I know what to expect and it did not 
fail. I also find it in the right place for coming off the train at King's 
Cross and going on to my usual destinations either in Islington or 
Waterloo, to which I can walk (in good weather!) straight down King's Cross 
Road and over Blackfriars Bridge.Read moreReview collected in partnership 
with this hotelDate of stay: February 2020HelpfulShare</t>
  </si>
  <si>
    <t>Melllymoo wrote a review Feb 2020Cardiff, United Kingdom84 contributions50 
helpful votes</t>
  </si>
  <si>
    <t>Quick stopThis hotel is always good for a quick stop in London. Staff are super 
friendly and rooms really clean although very dated now. Would be nice to 
have a usb charging port ( forgot this hotel doesn’t have them and was left 
without a charger )Read moreReview collected in partnership with this 
hotelDate of stay: February 20201 Helpful voteHelpfulShare</t>
  </si>
  <si>
    <t>https://www.tripadvisor.co.uk/Hotel_Review-g186338-d243667-Reviews-or100-Travelodge_London_Kings_Cross_Royal_Scot-London_England.html#REVIEWS</t>
  </si>
  <si>
    <t>beckyinit wrote a review Feb 2020Manchester, United Kingdom36 
contributions16 helpful votes</t>
  </si>
  <si>
    <t>DecentDecent hotel room, no real problems with the room other than it being a bit 
outdated (old fire bell in bathroom, some rust on shower railing, etc) but 
nothing major. The receptionist (Bella I think) was very helpful and kind 
to us. Breakfast is decent but wouldn't pay more than £7 for it. Location 
is great as it's about 5 mins from kings cross and theres lots of food 
places near by (five guys, mcdonalds, Burger King, etc) and some nice 
looking restaurants (we didn't go in them).Read moreDate of stay: February 
2020HelpfulShareResponse from TravelodgeUK, James from the Social Media 
Team at Travelodge London Kings Cross Royal ScotResponded 17 Feb 2020Thank 
you for reviewing our Travelodge London Kings Cross Royal Scot Hotel. We're 
happy to hear you were pleased with your room as well as the service from 
the hotel's team and the hotel's location during this stay with us but 
we're very sorry to hear you thought there was some wear and tear within 
the building. Please rest assured the hotel managers check Tripadvisor 
reviews of their hotels so your comments will be reviewed by the hotel's 
team. Thank you again for leaving this review and we do hope that you 
choose to stay with us again in the future.Read more</t>
  </si>
  <si>
    <t>Flyer621724985111 wrote a review Feb 20201 contribution</t>
  </si>
  <si>
    <t>Nice little break.Nice hotel located close to train station. Shower was abit dodgey, the 
temperature fluctuated a lot. Was nice, we could keep having more coffee 
and tea from by the reception. Staff were friendly and room clean.Read 
moreReview collected in partnership with this hotelDate of stay: February 
2020HelpfulShare</t>
  </si>
  <si>
    <t>n27793 wrote a review Feb 2020London, United Kingdom2 contributions</t>
  </si>
  <si>
    <t>Awful experienceThis hotel is in dire need of renovations and a new cleaner. We spent £91 
for a night here and the bare minimum you expect is cleanliness. The mirror 
was filthy, the dressing table was sticky, the bathroom floor was quite 
clearly mopped with dirty black water and left a disgusting residue behind, 
the limescale on the taps were horrifying and the carpet disgusting. We 
were staying for a wedding and when we arrived past midnight we had to 
change rooms due to the unacceptable state. The next room was slightly 
better and cleaner but no way near worth that money spent. I will never be 
staying in a Travelodge after this, I feel robbed. Inside needs to be 
gutted and professional cleaners employed. The hotel is proof of London 
greed and the prices they can charge for being in Central…Read moreDate of 
stay: February 2020HelpfulShareResponse from TravelodgeUK, Zack from The 
Social Media Team at Travelodge London Kings Cross Royal ScotResponded 17 
Feb 2020Thank you for taking the time to review our hotel. We are really 
sorry to hear that you encountered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</si>
  <si>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https://www.tripadvisor.co.uk/Hotel_Review-g186338-d243667-Reviews-or105-Travelodge_London_Kings_Cross_Royal_Scot-London_England.html#REVIEWS</t>
  </si>
  <si>
    <t>Jemmo70 wrote a review Feb 2020Bournemouth, United Kingdom127 
contributions57 helpful votes</t>
  </si>
  <si>
    <t>DifferentI have stayed in many Travelodges over the years and this is certainly 
different! The reception team are very polite and efficient but I think 
they have to be otherwise you would probably take one look and walk out. 
The reception area has a sort of budget/YMCA feel to it. Take a lift to the 
rooms and it is not until you step out of the lift you feel as if you have 
gone back in time. It’s what I imagine travelling on a 1800’s paddle 
steamer would have been like! As with any of these chains, once in your 
room you could be anywhere in the world. However, this hotel is obviously 
an old hotel and most of the old fittings remain. It’s very worn out! The 
doors and the wardrobe doors are totally stripped and the carpets are old. 
To summarise, we paid £49.95 for a room at Kings Cross…Read moreDate of 
stay: February 2020HelpfulShare</t>
  </si>
  <si>
    <t>yuhin987 wrote a review Feb 2020Hong Kong, China2 contributions</t>
  </si>
  <si>
    <t>Haunted room 2019spider net, dark, broken closet, far away from lift and reception please DO 
NOT use ROOM 2019, where need to arrive thru backstair from level 3 I 
immediate request change room after entering that haunted roomRead 
moreReview collected in partnership with TravelodgeDate of stay: February 
2020HelpfulShareResponse from TravelodgeUK, James from the Social Media 
Team at Travelodge London Kings Cross Royal ScotResponded 16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</si>
  <si>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jeni60 wrote a review Feb 2020NW England14 contributions4 helpful votes</t>
  </si>
  <si>
    <t>Excellent hotelExcellent Travelodge, a short walk from Kings Cross and Euston stations. 
Clean and comfortable. Good "all you can eat" breakfast, though it was not 
very hot. Central for tube services into London. In a fairly quiet area. 
Friendly, helpful staff. Will stay here again.Read moreReview collected in 
partnership with TravelodgeDate of stay: February 2020HelpfulShare</t>
  </si>
  <si>
    <t>raysoutham wrote a review Feb 2020Southampton, United Kingdom1 contribution</t>
  </si>
  <si>
    <t>Worst Travelodge in London - Travelodge Should be Ashamed of having this as 
part of their portfolio. Demolish!!This is the second time we’ve stayed here, should have learnt from the 
first. For the price of the stay I would have thought they’d have had a 
refurb. It’s a VERY dated room with damaged furniture and no character. 
There are no sockets near the bed and only one bedside cabinet. The Ed was 
smaller than the usual found in a Travelodge. Then We come to the Bathroom, 
I’m not sure it had ever had a proper clean, the shower and taos were full 
of Limescale, the toilet was brown around the rim and under the sink there 
were numerous exposed cables and pipe work which should have been 
concealed. Also it’s the smallest Bathroom I’ve ever been in, very 
clostrophobic. The only saving grace was the reception Staff who were some 
of the nicest we’ve ever experienced, however this review is…Read 
moreReview collected in partnership with this hotelDate of stay: February 
2020HelpfulShareResponse from TravelodgeUK, James from the Social Media 
Team at Travelodge London Kings Cross Royal ScotResponded 16 Feb 2020Thank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</si>
  <si>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Brian C wrote a review Feb 2020Nottingham, United Kingdom17 contributions2 
helpful votes</t>
  </si>
  <si>
    <t>Disappointing stayI have stayed here once or twice a year for many years. The location is 
excellent and the staff are great. This time round I stayed for 4 nights 
and had a room at the back of the hotel. It was quieter but also VERY 
dated. The room was ok but the carpet was tired as was the mirror (needed 
replacing). The worst thing was the bathroom, the taps were old and 
stained, some tiles cracked, mirror dated, walls had cracks in, and the 
door frame was old and warped. In desperate need of a refurbishment.Read 
moreDate of stay: February 20201 Helpful voteHelpfulShareResponse from 
TravelodgeUK, Zack from The Social Media Team at Travelodge London Kings 
Cross Royal ScotResponded 13 Feb 2020Thank you for taking the time to share 
your experience with us. We are happy to learn you were pleased with the 
Hotels location, however we are sorry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</si>
  <si>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https://www.tripadvisor.co.uk/Hotel_Review-g186338-d243667-Reviews-or110-Travelodge_London_Kings_Cross_Royal_Scot-London_England.html#REVIEWS</t>
  </si>
  <si>
    <t>John Howard wrote a review Feb 20201 contribution</t>
  </si>
  <si>
    <t>JohnThis evening I was greeted well and the barman named Whitley served me in a 
kind professional manner. I found the premises,and furniture spotless! I 
would highly recommend this branch of Travelodge to anyone! Yours John 
Howard.Read moreDate of stay: February 2020HelpfulShare</t>
  </si>
  <si>
    <t>Fabamf wrote a review Feb 20201 contribution</t>
  </si>
  <si>
    <t>Lovely staff and well locatedRoyal Scot is perfectly located only a 5 minute walk from Kings Cross, 
central to many great bars and food spots. Bella greeted us happily and 
provided any assistance we needed. Would recommend to anyone needing an 
affordable hotel.Read moreReview collected in partnership with this 
hotelDate of stay: February 2020HelpfulShare</t>
  </si>
  <si>
    <t>Gail1966_13 wrote a review Feb 2020Durham, United Kingdom28 contributions5 
helpful votes</t>
  </si>
  <si>
    <t>DisappointedReally disappointed at the quality of the room, I am a frequent user of 
Travelodge and have even stayed here before but the quality of the room was 
exceptionally poor. I will not stay here again. The carpet was dirty with 
lots of stains on it, the room needed a good clean / painting and the 
window frames were rotting. Not happyRead moreDate of stay: February 
2020HelpfulShareResponse from TravelodgeUK, Hannah from The Social Media 
Team at Travelodge London Kings Cross Royal ScotResponded 13 Feb 2020Thank 
you for taking the time to share your experience with us. We are sorry to 
learn of your disappointment with our hotel facilities. As a budget hotel 
brand we aim to provide a comfortable stay for value and we are currently 
refreshing our refurbishment scheme to improve our hotels. We would like to 
thank you for your feedback, which we will certainly take on board. We are 
always looking to improve the services we offer and we will pass your 
comments on to the relevant team. Thank you again for your review.Read more</t>
  </si>
  <si>
    <t>rachel12345w wrote a review Feb 2020Edinburgh 65 contributions19 helpful 
votes</t>
  </si>
  <si>
    <t>Standard TravelogeI stayed here for five nights with my partner last week. On arrival check 
in was quick and simple and our room was fairly standard, but clean which 
is always good (skirting boards could be doing with a scrub though). The 
bed was comfy enough, however the pillow were horrid and our necks were 
hurting after a few nights, which seems to be normal for traveloge! During 
our stay the system went down and we ended up locked out our room, once the 
system had been repaired our room was still denying us access. In the end 
one of the girls behind the desk came to our room with us to quickly find 
out what the problem was and she fixed it within 10 minutes (thank you!) 
she was very helpful compared to the other girl behind the desk and we were 
very happy she served us. Overall the staff…Read moreDate of stay: February 
20201 Helpful voteHelpfulShareResponse from TravelodgeUK, Zack from The 
Social Media Team at Travelodge London Kings Cross Royal ScotResponded 13 
Feb 2020Thank you for taking the time to share your experience with us. We 
are happy to learn you were pleased with the Hotels location and that you 
found the hotel team to be friendly and helpful, however we are sorry to 
hear of the issues you experienced within our bar cafe. Your feedback is 
invaluable to us and we can confirm this will be used to improve the 
service we offer. We would like to thank you for the time you have taken to 
write this review and we do hope you will stay with us in the future.Read 
more</t>
  </si>
  <si>
    <t>https://www.tripadvisor.co.uk/Hotel_Review-g186338-d243667-Reviews-or115-Travelodge_London_Kings_Cross_Royal_Scot-London_England.html#REVIEWS</t>
  </si>
  <si>
    <t>sassieness wrote a review Feb 2020Edinburgh, United Kingdom78 
contributions17 helpful votes</t>
  </si>
  <si>
    <t>Good location and priceReally comfortable and quiet stay here. Good transport links - only a 10 
minute walk from Kings Cross. Cheap and cheerful food menu which I ordered 
from and breakfast was also good value. Would return here for both business 
and pleasure.Read moreDate of stay: February 2020HelpfulShare</t>
  </si>
  <si>
    <t>Peter R wrote a review Feb 202010 contributions1 helpful vote</t>
  </si>
  <si>
    <t>Location is excellent, Hotel is good.Most of this review is dependent on the fact the hotel is in such a 
ridiculously convenient place. Its less than a ten minute walk from Kings 
Cross Station and makes it ideal for short stays or early trains. We booked 
last minute because of a canceled train and the room was still 
exceptionally affordable at £42. Staff were friendly and accommodating, 
though none of the cleaners we dealt with spoke any English. This wouldn't 
have been a problem, but we were trying to explain something in our room 
needed cleaning and they couldn't really follow what we were saying. In the 
end we brought out the duvet cover to show them the stain we were trying to 
talk about. Which is also to stay we weren't super impressed about the 
stain and the bathroom could have been cleaner, especially the…Read 
moreReview collected in partnership with this hotelDate of stay: February 
2020HelpfulShare</t>
  </si>
  <si>
    <t>Tania C wrote a review Feb 202045 contributions2 helpful votes</t>
  </si>
  <si>
    <t>Last resortI have used this hotel many times but I think unless I get stuck in London 
with nowhere else to stay I will give up on it now. The room was once again 
cold grubby and noisy. Bathroom was a disgrace. With stuff grow out of the 
walls. Soap dispenser leaking all over the sink. So much noise from outside 
I could hear people talking on the street below. The staff are nice enough 
and helpful but I could not help feeling I was staying in a flea pit.Read 
moreReview collected in partnership with this hotelDate of stay: February 
2020HelpfulShareResponse from TravelodgeUK, Zack from The Social Media Team 
at Travelodge London Kings Cross Royal ScotResponded 13 Feb 2020Thank you 
for leaving your review of our London Kings Cross Royal Scot hotel. We are 
sorry to hear of your disappointment with the cleanliness of the room and 
bathroom you were allocated at the hotel, and that your stay was affected 
by external noise. Please be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</si>
  <si>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https://www.tripadvisor.co.uk/Hotel_Review-g186338-d1812157-Reviews-or385</t>
  </si>
  <si>
    <t>1j0hanna wrote a review Feb 20201 contribution</t>
  </si>
  <si>
    <t>Great value and lovely staffI booked this hotel because of the good location near King's Cross, I had a 
lot of trouble with the storm so arrived in London very late. I had read 
that the staff is super friendly and this was certainly true, I don't think 
I've ever had such a positive and helpful reception in any hotel before and 
it really lifted my spirits after all the trouble during the day :) the 
rooms are perhaps a bit old fashioned in general, but the bed is very comfy 
and everything is clean.Read moreReview collected in partnership with this 
hotelDate of stay: February 2020HelpfulShare</t>
  </si>
  <si>
    <t>https://www.tripadvisor.co.uk/Hotel_Review-g186338-d243667-Reviews-or120-Travelodge_London_Kings_Cross_Royal_Scot-London_England.html#REVIEWS</t>
  </si>
  <si>
    <t>Richard R wrote a review Feb 2020Vancouver, Canada22 contributions10 
helpful votes</t>
  </si>
  <si>
    <t>Great value, comfortable, friendly and helpful staffHad a good stay that was enhanced by helpful and pleasant staff. The 
Assistant manager was so helpful when we arrived at the peakmof the morning 
rush, and Belle was super helpful on checkout. Much appreciated and I would 
stay there again.Read moreDate of stay: February 2020HelpfulShare</t>
  </si>
  <si>
    <t>GTH10 wrote a review Feb 2020Scarborough, United Kingdom5 contributions1 
helpful vote</t>
  </si>
  <si>
    <t>Fantastic valueOur room was very clean including bed linen and towels. Everything worked 
in the room, plentiful supply of tea coffee and milk available to help 
yourself at reception. All the staff were very friendly and helpful.Read 
moreReview collected in partnership with this hotelDate of stay: February 
2020HelpfulShare</t>
  </si>
  <si>
    <t>David F wrote a review Feb 2020Blackburn, United Kingdom111 contributions52 
helpful votes</t>
  </si>
  <si>
    <t>More like a hostel than a hotelStayed for just one night (Friday) and booked it primarily for its location 
which is 10 minutes walk from Kings Cross and reasonable price for a city 
centre hotel (£74). Check in was 3PM which I think is a bit rich and gives 
them the opportunity to sting you another £10 if you arrive early which I 
did. The feel of the hotel is more like a hostel which I suppose it is. The 
restaurant chairs and tables were all plastic like a school canteen and the 
bar was never attended even though I and others stood there for 10 minutes 
waiting. (I eventually went across the road to the northumberland pub where 
the service was excellent and the prices very reasonable.) Room wise ok it 
was quiet and everything worked but gosh it needs updating, Chipped and 
scratched sapele faced cupboard doors…Read moreDate of stay: February 
2020HelpfulShareResponse from TravelodgeUK, Niki from The Social Media Team 
at Travelodge London Kings Cross Royal ScotResponded 11 Feb 2020Your 
feedback is very important to us and thank you for submitting your review. 
We strive to offer our guests a good night’s sleep and an enjoyable 
experience whilst staying with us. That is why we are sorry to hear that 
you were not positively impressed by your last stay in our London Kings 
Cross Royal Scot hotel. We will make the most of your comments to continue 
improving the service we offer. We hope to welcome you again in the near 
future.Read more</t>
  </si>
  <si>
    <t>Martin S wrote a review Feb 2020Newcastle upon Tyne, United Kingdom46 
contributions7 helpful votes</t>
  </si>
  <si>
    <t>Great value &amp; great locationDon’t let the negative reviews put you off this hotel is fantastic value 
and positioned in a fantastic location. We stayed here for 4 nights 
Thursday to Monday it’s a busy hotel and the reception area is busy but the 
staff are all friendly and helpful. The rooms are clean and the bed comfy 
but the rooms are dated but bare in mind you’ve paid £30-40 for a central 
London location. We were on the 6th floor some good views of the London 
skyline too. Basic room as standard with Travelodge but if you need 
somewhere to sleep and get dressed it’s all you need. Within 0.5km of this 
hotel there ya minimum 100 places you can get food &amp; drinks some great 
places too (Lucas arms, Rooster King, Water Rats to name a couple) also 
super markets and corner shops too to stock up and the…Read moreDate of 
stay: February 2020HelpfulShare</t>
  </si>
  <si>
    <t>https://www.tripadvisor.co.uk/Hotel_Review-g186338-d243667-Reviews-or125-Travelodge_London_Kings_Cross_Royal_Scot-London_England.html#REVIEWS</t>
  </si>
  <si>
    <t>Brian W wrote a review Feb 2020Luton, United Kingdom39 contributions31 
helpful votes</t>
  </si>
  <si>
    <t>Easy for central London and somewhwere to stay, when in townLocation is close to Kings Cross/ St Pancras, just walking distance. Handy 
for trains and tube! Eassy to get in and out of central London. We paid 
about £11.00 for an Uber after midnight from Soho, back to the Hotel. Rooms 
are basic, clean and comfortable. Public areas are a little tired. Bar and 
food served throughout the night (limited menu), other places (fast food) 
close to the hotel. Excellent value for money. Definitely opt and pay for 
the Full English breakfast (unlimited buffet) at time of booking, great 
value and well worth itRead moreReview collected in partnership with 
TravelodgeDate of stay: February 2020HelpfulShare</t>
  </si>
  <si>
    <t>ssturrock2018 wrote a review Feb 20202 contributions</t>
  </si>
  <si>
    <t>Pleasant StayHave stayed at this hotel on a number of occasions. It is close by Kings 
Cross station so easy access for travel purposes. Easy check in. Staff were 
pleasant on arrival and departure. My key card for the room did not work on 
return to room on second day but gained access again when went down to 
reception as staff were very helpful. Definitely would look to stay here 
again.Read moreDate of stay: February 2020HelpfulShare</t>
  </si>
  <si>
    <t>623MarkE wrote a review Feb 2020Stonehouse, Scotland, United Kingdom2 
contributions2 helpful votes</t>
  </si>
  <si>
    <t>Slightly dated but ok for a couple fo nights awayThe rooms and the hotel overall is in need of a refurbishment. Overall it 
is ok for a couple of nights away if you want a budget hotel. The rooms are 
clean and tidy enough but the bathrooms are looking a little dirty and 
definitely need an overhaul. However saying that the power shower was 
excellent. Breakfast is ok, not a bad selection of food, if you want a 
cooked breakfast, but anything else is limited and could be set out much 
nicer to enhance your stay.Read moreReview collected in partnership with 
this hotelDate of stay: February 2020HelpfulShareResponse from 
TravelodgeUK, James from the Social Media Team at Travelodge London Kings 
Cross Royal ScotResponded 11 Feb 2020Thank you for reviewing our Travelodge 
London Kings Cross Royal Scot Hotel. We're sorry to hear of the issues 
experienced with wear and tear at the hotel as well as with the cleanliness 
of the bathroom but we're happy to hear you were pleased with your room and 
with the food offered. Please rest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</si>
  <si>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https://www.tripadvisor.co.uk/Hotel_Review-g186338-d243667-Reviews-or130-Travelodge_London_Kings_Cross_Royal_Scot-London_England.html#REVIEWS</t>
  </si>
  <si>
    <t>Relax67143900235 wrote a review Feb 20201 contribution</t>
  </si>
  <si>
    <t>ExcellentExcellent stay, great location, rooms clean and good shower too. Staff very 
accommodating. Overall excellent value for money. Lovely bar across the 
road also, easy access to tube and railway stations...Read moreReview 
collected in partnership with this hotelDate of stay: January 
2020HelpfulShare</t>
  </si>
  <si>
    <t>jadepope wrote a review Feb 2020Bournemouth, United Kingdom1 contribution</t>
  </si>
  <si>
    <t>Poor qualityStayed in this travelodge for a weekend, when arrived the staff were 
amazing very friendly and helpful but when we got to our room we were 
dissapointed. It was not like other travelodges we have stayed in before. 
Everything was very outdated, very cold, no plugs next to the beds, tiny 
cramped bathroom, could hear our neighbours either side and wasn’t very 
clean. I will not be staying in this travelodge again.Read moreReview 
collected in partnership with this hotelDate of stay: January 
2020HelpfulShareResponse from TravelodgeUK, James from the Social Media 
Team at Travelodge London Kings Cross Royal ScotResponded 10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</si>
  <si>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oli704 wrote a review Feb 20201 contribution</t>
  </si>
  <si>
    <t>AWFUL WAITRESSThe experience was ruined by the evening waitress she got our order wrong, 
was rude and generally looked like she didn't want to be there also our 
food was cold and the apple crumble had no apple in it!Read moreReview 
collected in partnership with this hotelDate of stay: February 
2020HelpfulShareResponse from TravelodgeUK, Niki from The Social Media Team 
at Travelodge London Kings Cross Royal ScotResponded 10 Feb 2020Thank you 
for taking the time to write a review. We want our customers to enjoy their 
experience in our café so we are sorry to hear that you were not positively 
impressed by your last stay in our hotel. We aim to provide a high level of 
service from our staff in our bar cafes and we do apologise that you did 
not receive this on this occasion. We will make the most of your comments 
to continue improving the service we offer and we hope to welcome you again 
in the near future.Read more</t>
  </si>
  <si>
    <t>Charlotte N wrote a review Feb 20201 contribution</t>
  </si>
  <si>
    <t>Get what you pay forOld dated facility but the room was cheap and comfy if a little cramped.the 
bathroom had a shower curtain which I haven't seen for a while.we couldn't 
turn the lights on when we entered because the switch was off by the 
bedRead moreReview collected in partnership with TravelodgeDate of stay: 
February 2020HelpfulShareResponse from TravelodgeUK, Zack from The Social 
Media Team at Travelodge London Kings Cross Royal ScotResponded 10 Feb 
2020Thank you for leaving your review. We are pleased to hear that you 
found our room to be comfortable for our stay and that you found our hotel 
room for a great price, however we are sorry to hear of your disappointment 
with the size of the room. Please be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</si>
  <si>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https://www.tripadvisor.co.uk/Hotel_Review-g186338-d243667-Reviews-or135-Travelodge_London_Kings_Cross_Royal_Scot-London_England.html#REVIEWS</t>
  </si>
  <si>
    <t>missacorah wrote a review Feb 2020Peterborough, England232 contributions189 
helpful votes</t>
  </si>
  <si>
    <t>Exceptional and enjoyableStayed here for a quick one night stop over purely because of its great 
location and good price not really too fussed about what it would be like. 
How pleasantly surprised we were! The place was spotless from top to bottom 
and had a really nice relaxed feel as soon as you entered. Every single 
member of staff without exception acknowledged or greeted us as they passed 
and the reception staff were actually exceptional! Room was large and 
comfy. Full marks for this establishmentRead moreDate of stay: January 
2020HelpfulShare</t>
  </si>
  <si>
    <t>Sarah wrote a review Feb 2020midlands4 contributions</t>
  </si>
  <si>
    <t>Cheap and cheerfulRoom was clean, bathroom very small but was fine for our 3 night stay, all 
staff on reception were helpful and polite as were the staff in the bar and 
restaurant, had breakfast 3 mornings, always nice and had one evening meal 
and again no complaints,, plenty of tea and coffee available to take up to 
use in rooms, I would happily stay here againRead moreDate of stay: 
February 2020HelpfulShare</t>
  </si>
  <si>
    <t>Rachael C wrote a review Feb 20205 contributions7 helpful votes</t>
  </si>
  <si>
    <t>You get what you pay forRooms are very basic and dont feel clean. Doors are noisy and bang 
throughout the night. Pillows are uncomfy Location is ok. I wouldn't stay 
again but it served its purpose for a work trip i suppose..Read moreDate of 
stay: February 2020HelpfulShareResponse from TravelodgeUK, James from the 
Social Media Team at Travelodge London Kings Cross Royal ScotResponded 9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</si>
  <si>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https://www.tripadvisor.co.uk/Hotel_Review-g186338-d243667-Reviews-or140-Travelodge_London_Kings_Cross_Royal_Scot-London_England.html#REVIEWS</t>
  </si>
  <si>
    <t>Kirsty F wrote a review Feb 20201 contribution</t>
  </si>
  <si>
    <t>Couldn't even make it past 1 hourThis hotel is disgusting, it smells like it has never been cleaned. The 
minute you walk in it hits you! The smell is a mixture of urine, bleach and 
foistyness that follows you everywhere. Got in to the room to be hit 
straight back in the face with the door hitting the wardrobe! Had to shimmy 
past the tiny beds that aren't even single size, whilst avoiding the 
creaking and uneven floorboards to get to get both people in. The bathroom 
was just as bad, dirty and didn't look like it had a been updated or 
cleaned in years. We stayed long enough to use the 30 minutes free WiFi to 
book a different hotel. Went down to reception to advise we wouldn't be 
staying, the receptionist seemed shocked by this and asked why. Explained 
about the smell everywhere and the general lack of hygiene.…Read moreDate 
of stay: February 2020HelpfulShareResponse from TravelodgeUK, Hannah from 
The Social Media Team at Travelodge London Kings Cross Royal ScotResponded 
9 Feb 2020Thank you for taking the time to share your experience with us. 
We are sorry to note that there was an unpleasant smell during your stay. 
We hope to provide a pleasant and homely environment, and we are sorry for 
any discomfort caused. We are sorry to learn of your disappointment with 
the lack of space provided in the room. As a budget hotel brand, we believe 
that we provide all the necessary facilities to ensure a comfortable stay, 
for value. However we would like to thank you for your feedback, which we 
will certainly take on board. May we kindly request that you contact our 
Customer Services Team through the help section on our website so that we 
can investigate this more thoroughly with the Hotel. Thank you again for 
your comments, and we hope to hear from you soon.Read more</t>
  </si>
  <si>
    <t>kangaroostu wrote a review Feb 2020Edinburgh17 contributions13 helpful votes</t>
  </si>
  <si>
    <t>DumpWith a Travelodge you know what you are going to get, or so you think. 
Booked this hotel purely to use as a bed and wash for 2 nights. Room was 
clearly untouched from the previous hotel to occupy this property, dingey 
fittings, shoddy decorating work, furniture badly damaged fit for the skip 
and a bathroom with no ventilation which could rival a steam room. Gladly 
wont be back to this hotel ever again.Read moreReview collected in 
partnership with this hotelDate of stay: February 2020HelpfulShareResponse 
from TravelodgeUK, Hannah from The Social Media Team at Travelodge London 
Kings Cross Royal ScotResponded 9 Feb 2020Thank you for taking the time to 
provide your feedback following your recent stay with us. We are sorry to 
learn of your disappointment with our hotel facilities. As a budget hotel 
brand we aim to provide a comfortable stay for value and we are currently 
refreshing our refurbishment scheme. We would like to thank you for your 
feedback, which we will certainly take on board. May we kindly request that 
you contact our Customer Services Team through the help section on our 
website so that we can investigate this more thoroughly with the Hotel. 
Thank you again for your comments, and we hope to hear from you soon.Read 
more</t>
  </si>
  <si>
    <t>ciaranparry wrote a review Feb 2020Manchester, United Kingdom1 contribution</t>
  </si>
  <si>
    <t>1 night pain in the ar**The hotel is bang on the corner of the congestion charge zone. Having 
looked prior we were unsure if taking the corner to the car park meant we 
have to pay and the staff had to clue. Turns out a helpful tradesman told 
us we have to pay it, the hotel should have a note on the website about it 
as we had to spend an hour sorting it out. Hotel Charges for wifi and the 
£20 a night car park doesn't take notes or card so get your coins ready. 
Also the room they put us in was on the first floor but we had to go up to 
the second, walk half way across the hotel and then walk down a floor to 
our room, so if you are a smoker like i am its a 20 minute job and 3 
flights of stairs to have a fag.Read moreReview collected in partnership 
with this hotelDate of stay: February 2020HelpfulShareResponse from 
TravelodgeUK, Hannah from The Social Media Team at Travelodge London Kings 
Cross Royal ScotResponded 7 Feb 2020Thank you for taking the time to share 
your experience with us. We try to provide as much information regarding 
access to the Hotel on the booking page of the website, in hope to assist 
guests when planning their journey, however we apologise for any difficulty 
encountered and inconvenience caused. We offer our customers 30 minutes 
free WiFi per day within our hotels. Not all guest's require WiFi and due 
to being a budget brand, we are able to keep the price of our rooms as low 
as we can by offering extras such as WiFi for a small, additional price. We 
are always looking to improve the services we offer and we will pass your 
comments on to the relevant team. Thank you again for your review.Read more</t>
  </si>
  <si>
    <t>hassanhashmy wrote a review Feb 20201 contribution</t>
  </si>
  <si>
    <t>Double Payment ChargedI will never recommend ever this chain, they deducted money from my 
international debit card account and when I check in, instead of deducting 
that amount they asked me for card and charges me once again, now they are 
saying that that payment was on hold by your bank and my bank is saying 
there is nothing or any feature which allows us to hold your payment from 
third party pos, they said the amount is in the hotel account and it is not 
reversal, it is straight deduction, if there are cancel and non cancel 
option, then what is the purpose of the holding or deduction of this amount 
with International Travelers. I am filing complaint to government 
bodies.Read moreReview collected in partnership with this hotelDate of 
stay: January 2020HelpfulShareResponse from TravelodgeUK, Hannah from The 
Social Media Team at Travelodge London Kings Cross Royal ScotResponded 7 
Feb 2020Thank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</si>
  <si>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https://www.tripadvisor.co.uk/Hotel_Review-g186338-d1812157-Reviews-or390</t>
  </si>
  <si>
    <t>https://www.tripadvisor.co.uk/Hotel_Review-g186338-d243667-Reviews-or145-Travelodge_London_Kings_Cross_Royal_Scot-London_England.html#REVIEWS</t>
  </si>
  <si>
    <t>J Farrugia wrote a review Feb 20201 contribution</t>
  </si>
  <si>
    <t>Fairly good hotel given it’s ageClearly one of the older Travelodges given the decor and layout however 
kept very well by the staff who were all lovely and friendly, particularly 
Rachel and I think his name was Martin as well. One of the more comfortable 
beds I’ve slept on in a Travelodge and room was reasonably spacious. Only 
complaint was doors to the rooms slam so loud but the surrounding area was 
quieter than I expected throughout the night. Would stay again.Read 
moreDate of stay: February 2020HelpfulShare</t>
  </si>
  <si>
    <t>Crispin B wrote a review Feb 20201 contribution</t>
  </si>
  <si>
    <t>GoodGood nights sleep at the Kings Cross Royal Scot Travelodge. Check in was 
quick, room tidy, what more could you want? Bella the receptionist was very 
helpful and brought good banter and a laugh to the end of a long dayRead 
moreDate of stay: February 2020HelpfulShare</t>
  </si>
  <si>
    <t>richardhS7895NK wrote a review Feb 2020Ipswich, United Kingdom6 
contributions</t>
  </si>
  <si>
    <t>Tatty TravelodgeWhole place needs a refurb, several black hair in the sink, worn sink 
drain, missing draw from night stand, some brown stuff oozing from boxed in 
pipe work below window, TV too small need at least a 32inch undesirable 
location, nothing much to do near by. Staff lovely &amp; very helpful. 
Breakfast was good, not worth £9.25Read moreReview collected in partnership 
with this hotelDate of stay: February 2020HelpfulShareResponse from 
TravelodgeUK, Hannah from The Social Media Team at Travelodge London Kings 
Cross Royal ScotResponded 7 Feb 2020Thank you for submitting your review. 
We are sorry to learn of your disappointment following your recent stay 
with us. We hope to ensure all of our guests have a pleasant stay, and we 
are sorry that we did not achieve this on this occasion. We hope to 
consistently provide a high standard of cleanliness within our rooms and 
throughout our hotels, and we apologise if this was not displayed during 
your stay. We will certainly address this with the Hotel Team to reiterate 
the importance of attention to detail when servicing the rooms. If you wish 
to contact us directly to leave more feedback please get in touch with our 
Customer Services team via our website. Thank you again for your 
comments.Read more</t>
  </si>
  <si>
    <t>https://www.tripadvisor.co.uk/Hotel_Review-g186338-d243667-Reviews-or150-Travelodge_London_Kings_Cross_Royal_Scot-London_England.html#REVIEWS</t>
  </si>
  <si>
    <t>danas2u wrote a review Feb 2020Rome, Italy1 contribution</t>
  </si>
  <si>
    <t>Generaly good to stay+ve.: Location is fantastic, room size love it, Room cleaned , Room price 
is affordable, Staff awesome . -ve.: Nosy out side and neighbor room ( when 
do love) , dislike: breakfast and Wi-Fi quite expensive if it is included 
would be attractive like thistle express personal advise.Read moreReview 
collected in partnership with this hotelDate of stay: January 
2020HelpfulShareResponse from TravelodgeUK, Zack from The Social Media Team 
at Travelodge London Kings Cross Royal ScotResponded 6 Feb 2020Thank you 
for leaving your review of our London Kings Cross Royal Scot hotel. We are 
pleased to hear that you found the location of the hotel to be ideal, and 
that you received great service from the hotel team at a great price, 
however we are sorry to hear of your disappointment with the breakfast and 
the WiFi at the hotel. Please be assured the hotel managers check 
Tripadvisor reviews of their hotels so your comments will be reviewed by 
the hotel's team. Thank you again for leaving this review and we do hope 
that you choose to stay with us again in the future.Read more</t>
  </si>
  <si>
    <t>SPFeb2020 wrote a review Feb 2020Grimsby, United Kingdom2 contributions</t>
  </si>
  <si>
    <t>Adequate but no frillsThe hotel is quite conveniently located to Kings Cross. Area was good and 
felt safe at night. Staff were very good, efficient and friendly. Communal 
areas were clean and well maintained. Our room was very small with small 
twin beds and small bathroom. Room &amp; bathroom looked a bit dingy and tired. 
Beds were clean and comfortable, towels were clean and good standard. 
Budget price so I guess you get what you pay for.Read moreReview collected 
in partnership with TravelodgeDate of stay: February 
2020HelpfulShareResponse from TravelodgeUK, Hannah from The Social Media 
Team at Travelodge London Kings Cross Royal ScotResponded 6 Feb 2020Thank 
you for taking the time to share your experience with us. We are happy to 
hear that the Team were able to make your stay more enjoyable. We hope to 
consistently demonstrate a high level of sincere customer care, and we are 
pleased to hear that this was achieved throughout your stay. As a budget 
hotel brand we aim to provide a comfortable stay for value and we are 
currently refreshing our refurbishment scheme. We would like to thank you 
for your feedback, which we will certainly take on board. Thanks again for 
taking the time to submit your review, we hope to welcome you back to stay 
with us again in the near future.Read more</t>
  </si>
  <si>
    <t>JJNov2020 wrote a review Feb 2020London, United Kingdom1 contribution</t>
  </si>
  <si>
    <t>TerribleWas horrific. First room was very dirty, broken drawers, creased bedding 
and floor not hovered. They moved me into another room, hairs all over the 
bed, juice spilled from previous guest, no toilet roll. Third room i got 
moved to was barely acceptable but you can tell the housekeeping and 
management don’t care. Hallways and customer toilets were a disgrace!!! The 
manager should be ashamed of themselves.Read moreReview collected in 
partnership with TravelodgeDate of stay: February 2020HelpfulShareResponse 
from TravelodgeUK, Hannah from The Social Media Team at Travelodge London 
Kings Cross Royal ScotResponded 6 Feb 2020Thank you for taking the time to 
provide your feedback following your recent stay with us. We hope to 
consistently provide a high standard of cleanliness within our rooms and 
throughout our hotels, and we apologise if this was not displayed during 
your stay. We will certainly address this with the Hotel Team to reiterate 
the importance of attention to detail when servicing the rooms.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</si>
  <si>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https://www.tripadvisor.co.uk/Hotel_Review-g186338-d243667-Reviews-or155-Travelodge_London_Kings_Cross_Royal_Scot-London_England.html#REVIEWS</t>
  </si>
  <si>
    <t>desmondb472 wrote a review Feb 2020Milton Keynes, United Kingdom2 
contributions</t>
  </si>
  <si>
    <t>Lifts had broken down, but the staff where greatCan’t fault the staff at this site. Beyond the word helpful, but let down 
by the technical aspects at this site, particularly with the lifts not 
working the evening I spent there. I would have rated this site very good 
otherwise. Room very clean. No other complaints.Read moreReview collected 
in partnership with this hotelDate of stay: January 
2020HelpfulShareResponse from TravelodgeUK, James from the Social Media 
Team at Travelodge London Kings Cross Royal ScotResponded 5 Feb 2020Thank 
you for reviewing our Travelodge London Kings Cross Royal Scot Hotel. We're 
happy to hear you were pleased with the service from the hotel's team 
during this stay with us as well as with the cleanliness of your roo, but 
we're sorry to hear of the issues experienced with the website. Please rest 
assured the hotel managers check Tripadvisor reviews of their hotels so 
your comments will be reviewed by the hotel's team. Thank you again for 
leaving this review and we do hope that you choose to stay with us again in 
the future.Read more</t>
  </si>
  <si>
    <t>473graemeh wrote a review Feb 2020Sunderland, United Kingdom1 contribution</t>
  </si>
  <si>
    <t>Old TravelodgeThe rooms are typical travelodge style but this is not a modern version. I 
stayed in 2 rooms over 2 stays and both were quite run down. Furniture is 
old and in need of replacement, bathroom is clean but again, old and in 
need of replacement. It was cheap though. Staff excellent restaurant 
excellent, excellent location within easy walking distance of kings cross. 
Just needs some money spent updating the roomsRead moreReview collected in 
partnership with this hotelDate of stay: January 2020HelpfulShareResponse 
from TravelodgeUK, James from the Social Media Team at Travelodge London 
Kings Cross Royal ScotResponded 5 Feb 2020Thank you for reviewing our 
Travelodge London Kings Cross Royal Scot Hotel. We're happy to hear you 
were pleased with the cleanliness of the hotel during this stay as well as 
with the service from the team and the location of the site but we're very 
sorry to hear of the issues experienced with wear and tear around the 
building. Please rest assured the hotel managers check Tripadvisor reviews 
of their hotels so your comments will be reviewed by the hotel's team. 
Thank you again for leaving this review and we do hope that you choose to 
stay with us again in the future.Read more</t>
  </si>
  <si>
    <t>stevena62020 wrote a review Feb 20201 contribution</t>
  </si>
  <si>
    <t>Above and beyondAlways stay at the Royal Scot when in London, great hotel, staff incredibly 
helpful, especially this last stay when our car broke down and we were 
stranded after checkout while waiting for the RAC. Every one went out of 
their way to make sure we were OK, can't thank the reception team 
enough.Read moreReview collected in partnership with this hotelDate of 
stay: January 2020HelpfulShare</t>
  </si>
  <si>
    <t>J4147BOrichardc wrote a review Feb 2020Bristol 2 contributions</t>
  </si>
  <si>
    <t>Staying overnight before going to ParisStaff were amazing very friendly and helpful couldn't do enough for us.Room 
very clean and tidy but could do with a face lift. Reception staff 
outstanding especially Rachel and her college on duty with her.Read 
moreReview collected in partnership with this hotelDate of stay: February 
2020HelpfulShare</t>
  </si>
  <si>
    <t>PaolettoWolfhall wrote a review Feb 2020York, United Kingdom54 
contributions27 helpful votes</t>
  </si>
  <si>
    <t>Very basic!!Ok for a night stop over.. Clean comfy bed ..not so clean bathroom. Very 
tired room!! Must have been said a million times but yes you do get what 
you pay for hygiene however should never been compromised regardless of the 
room price. Checking in was fast and efficient and the lady at the front 
desk was pleasant and helpful. Based on this visit I would not consider 
using this property again because of the cleaning issues.Read moreReview 
collected in partnership with this hotelDate of stay: February 
2020HelpfulShareResponse from TravelodgeUK, James from the Social Media 
Team at Travelodge London Kings Cross Royal ScotResponded 5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</si>
  <si>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https://www.tripadvisor.co.uk/Hotel_Review-g186338-d243667-Reviews-or160-Travelodge_London_Kings_Cross_Royal_Scot-London_England.html#REVIEWS</t>
  </si>
  <si>
    <t>97emily wrote a review Feb 20201 contribution</t>
  </si>
  <si>
    <t>Wouldn't go backReception were nice but always super busy. Had a good night's sleep Rooms 
dirty (shower curtain discolored and mouldy, teaspoons were grim) Furniture 
outdated Have to pay for WiFi (we're in 2020, if cafes and resteraunts have 
free WiFi so should a hotel) Could hear everything happening in corridor 
Only 2 free sockets in the room Glad I was only staying one night :)Read 
moreReview collected in partnership with this hotelDate of stay: February 
2020HelpfulShareResponse from TravelodgeUK, Zack from The Social Media Team 
at Travelodge London Kings Cross Royal ScotResponded 5 Feb 2020Thank you 
for leaving your review. We are pleased to hear you found our reception 
team to be friendly during your stay, however we are sorry to hear of your 
disappointment with the cleanliness of your room and the facilities 
available in the room and at the hotel, such as the WiFi and the number of 
plug sockets. Please be assured the hotel managers check Tripadvisor 
reviews of their hotels so your comments will be reviewed by the hotel's 
team. Thank you again for leaving this review and we do hope that you 
choose to stay with us again in the future.Read more</t>
  </si>
  <si>
    <t>735890456 wrote a review Feb 20201 contribution</t>
  </si>
  <si>
    <t>https://www.tripadvisor.co.uk/Hotel_Review-g186338-d1812157-Reviews-or395</t>
  </si>
  <si>
    <t>This hotel is a must avoid!My partner and I stayed at this travelodge in January. We were just looking 
for a cheap place to stay near to Kings Cross and this seemed like the 
perfect place. The first night was great! The receptionist was lovely and 
our room was a bit shabby but much better than I had anticipated compared 
to other travelodges we have stayed in. We were very happy with our 
decision to stay here. HOWEVER, the next day we recieved a call during the 
day to say that there was an issue with our room due to a leak and they 
would need to move us. We would receive our new key from reception when we 
got back. This wasn't an issue for us so we went about the rest of our day. 
When we returned to the hotel, we were given our new keys and were told 
that everything had been moved to the new room for us…Read moreDate of 
stay: January 2020HelpfulShareResponse from TravelodgeUK, Zack from The 
Social Media Team at Travelodge London Kings Cross Royal ScotResponded 5 
Feb 2020Thank you for taking the time to review our London Kings Cross 
Royal Scot Travelodge, we are thankful for your comments. Please accept our 
deepest apologies for the issues encountered during your booking. The 
experience you received concerns us and we would like to investigate your 
stay further. Please may we kindly ask you to contact our Customer Service 
team via the 'Contact Us' page on our website. Please include a link to 
your review and your booking details. This will enable us to look into your 
visit more thoroughly with our hotel team. Thank you again for sharing your 
experience and giving us the opportunity to adjust the service and 
facilities we provide our guests. We look forward to hearing from you 
shortly.Read more</t>
  </si>
  <si>
    <t>Vicki wrote a review Feb 2020Paphos, Cyprus13 contributions3 helpful votes</t>
  </si>
  <si>
    <t>Royal Scots First VisitThis was my first time at the Royal Scots Kings Cross, though not of 
Travelodge. My check-in was smooth and I was able to do so slightly 
earlier, at 2pm. This was good for me as I needed to refresh and get ready 
for a night out and meet up with a friend beforehand for dinner. Travelodge 
have always proven comfortable and friendly which is why whenever possible 
I stay with them. To anyone looking to stay, I'd recommend booking as early 
as possible to grab a good deal. Tea and coffee is free in your room, and 
at Royal Scot they had top-up items available for you to take up of 
needed.Read moreReview collected in partnership with this hotelDate of 
stay: February 2020HelpfulShareResponse from TravelodgeUK, Zack from The 
Social Media Team at Travelodge London Kings Cross Royal ScotResponded 5 
Feb 2020Thank you for leaving your review of our London Kings Cross Royal 
Scot hotel. We are pleased to hear that your check in was smooth and easy, 
and that you found your room to be comfortable during your stay. Please be 
assured the hotel managers check Tripadvisor reviews of their hotels so 
your comments will be reviewed by the hotel's team. Thank you again for 
leaving this review and we do hope that you choose to stay with us again in 
the future.Read more</t>
  </si>
  <si>
    <t>lillybet82 wrote a review Feb 2020Stockport, United Kingdom7 contributions1 
helpful vote</t>
  </si>
  <si>
    <t>Nice hotel and fantastic staffHotel was nice, clean and all the staff were so friendly and helpful. Only 
bad thing for us was an uncomfortable bed but that might just be us missing 
our bed. We would still stay here again as we were looked after by the 
staff.Read moreReview collected in partnership with this hotelDate of stay: 
January 2020HelpfulShare</t>
  </si>
  <si>
    <t>Becky M wrote a review Feb 20202 contributions</t>
  </si>
  <si>
    <t>Family city breakWe have stayed a few times here and staff are always very polite and 
helpful. Clean room, nice food, friendly staff, what’s not to like! Great 
value for money too. We also ate at the hotel one night and the food was 
great!Read moreReview collected in partnership with this hotelDate of stay: 
February 2020HelpfulShare</t>
  </si>
  <si>
    <t>https://www.tripadvisor.co.uk/Hotel_Review-g186338-d243667-Reviews-or165-Travelodge_London_Kings_Cross_Royal_Scot-London_England.html#REVIEWS</t>
  </si>
  <si>
    <t>Safari24798658722 wrote a review Feb 20201 contribution</t>
  </si>
  <si>
    <t>Friendly and welcoming staff!!The check-in staff (especially Bella) was wonderful! Thank you for making 
my family feel so welcome, especially after a long trip into the city in 
the cold rain. It made all the difference to our holiday.Read moreReview 
collected in partnership with this hotelDate of stay: January 
2020HelpfulShare</t>
  </si>
  <si>
    <t>Sam S wrote a review Feb 2020Midhurst, United Kingdom16 contributions10 
helpful votes</t>
  </si>
  <si>
    <t>Another good stayWe have stayed here a couple of times now - very handy hotel for the 
buzzing Kings Cross area. Stays have always been good - staff are helpful 
and clearly keen to mantain (or achieve) their high score ratings in 
reviews! As a decent, relatively budget place I would recommend itRead 
moreReview collected in partnership with this hotelDate of stay: February 
2020HelpfulShare</t>
  </si>
  <si>
    <t>JJP15 wrote a review Feb 2020London, United Kingdom211 contributions49 
helpful votes</t>
  </si>
  <si>
    <t>Stayed over before getting the eurostar ok as a base not sure would stay 
againWe stayed on a Thursday night the check in was quick we had 4 adults 
sharing a room. We were given a room on the 4th floor, the room smelt 
strange when we got in and was quite strong. we had a double bed and 2 
single camp beds, they were really uncomfortable and kept tipping on one 
side. the wall where one of the cabin beds was filthy had stains all on it 
and it looked like it would come off with a damp cloth. The bathroom sink 
and tap was dirty and the kettle was all scaly. It was ok for a base but 
had such a bad sleep we were so tired the next day.Read moreReview 
collected in partnership with this hotelDate of stay: January 
2020HelpfulShareResponse from TravelodgeUK, Niki from The Social Media Team 
at Travelodge London Kings Cross Royal ScotResponded 4 Feb 2020Thank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</si>
  <si>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Visitor1 wrote a review Feb 20202 contributions</t>
  </si>
  <si>
    <t>Weekend in LondonHotel is great value for money, good buffet breakfast and 5 minute walk 
from King Cross underground station which is handy for exploring London via 
the tube. Room was clean, friendly staff who were more than happy to help 
i.e. provide extra pillows, hairdryer etc.Read moreReview collected in 
partnership with this hotelDate of stay: January 2020HelpfulShare</t>
  </si>
  <si>
    <t>https://www.tripadvisor.co.uk/Hotel_Review-g186338-d243667-Reviews-or170-Travelodge_London_Kings_Cross_Royal_Scot-London_England.html#REVIEWS</t>
  </si>
  <si>
    <t>chrisX103WJ wrote a review Feb 2020Berlin, Germany1 contribution</t>
  </si>
  <si>
    <t>affordable accommodation close to the centreThe room was clean and relatively large for this prize category. The bed is 
comfortable. The servants are nice and helpful. If you are looking for a 
cheap accommodation and don't want to have any nasty surprises, you are in 
good hands hereRead moreReview collected in partnership with this hotelDate 
of stay: January 2020HelpfulShareResponse from TravelodgeUK, Niki from The 
Social Media Team at Travelodge London Kings Cross Royal ScotResponded 4 
Feb 2020Thank you for sharing your experience with us. It is great to hear, 
that you have enjoyed your stay with us at our London Kings Cross Royal 
Scot hotel. Rest ensured, that we will take your comments for further 
encouragement within the hotel team to ensure a friendly welcome and a 
comfortable stay is provided again for your next visit with us. Thank you 
again for taking the time to share your experience and we hope to have the 
chance to welcome you back soon.Read more</t>
  </si>
  <si>
    <t>jayne D wrote a review Feb 2020Bristol, United Kingdom3 contributions</t>
  </si>
  <si>
    <t>Avoid this particular Travelodge.The hotel is dated and room was dirty. Toilet not cleaned. Mugs not washed. 
All furniture bashed and battered and scratched. Reception area was rowdy 
and noisy. People sleeping in chairs? I needed a needle and thread for a 
quick button on repair. Receptionist did not understand me. She did ask 
colleague. Who informed her, no. No little sewing kit.Read moreReview 
collected in partnership with TravelodgeDate of stay: January 
2020HelpfulShareResponse from TravelodgeUK, Zack from The Social Media Team 
at Travelodge London Kings Cross Royal ScotResponded 3 Feb 2020Thank you 
for taking the time to review our hotel. We are really sorry to hear that 
you encountered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</si>
  <si>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gazManchesterUk wrote a review Feb 2020Manchester, United Kingdom157 
contributions49 helpful votes</t>
  </si>
  <si>
    <t>NOT ROOM 113Stayed here previously and all was fine, positive points were that the 
staff are all friendly, room was exactly as expected, clean and everything 
needed ( apart from the ridiculous 30 minute wifi for free) But don’t take 
room 113, as its above the kitchen, bar and machinery area so until 3 am 
all we heard was banging clunking and non stop noise, only got patchy sleep 
as it all started up again early morning. If we had been staying any longer 
we would have definitely moved rooms. So frustrating and took the edge off 
the visit. Have to consider other options for the futureRead moreDate of 
stay: February 2020HelpfulShareResponse from TravelodgeUK, Niki from The 
Social Media Team at Travelodge London Kings Cross Royal ScotResponded 3 
Feb 2020Thank you for taking the time to review our London Kings Cross 
Royal Scot hotel. We're pleased that you found your room to be clean and 
the staff to be friendly and helpful during your stay with us. We are sorry 
to learn that your night was disturbed due to the bar/ kitchen area as we 
aim to provide a comfortable stay to all of our guests. We will be sure to 
pass your feedback onto the hotel manager and we hope to have the chance to 
welcome you back again soon.Read more</t>
  </si>
  <si>
    <t>louby41 wrote a review Feb 2020Stoke-on-Trent, United Kingdom695 
contributions112 helpful votes</t>
  </si>
  <si>
    <t>Clean and comfortable but a little tiredWe've stayed at this hotel quite a few times now. It's close to Kings Cross 
and we often pay £50 a night which is excellent value for London. The staff 
are brilliant and so helpful. The rooms definitely need refurbishing but I 
think that's why the price is so cheap. The rooms and bathrooms are clean 
but looking very tired. I suspect once this hotel is refurbished the prices 
will significantly increase but for now we'll keep staying here.Read 
moreDate of stay: February 2020HelpfulShare</t>
  </si>
  <si>
    <t>Lucy B wrote a review Feb 20203 contributions</t>
  </si>
  <si>
    <t>Needs some TLCRooms are quite basic even for a travelodge, old doors and not much in the 
room. Staff are friendly but sometimes a weird smell from the toilet which 
a lot of guests seemed to have trouble with. Rooms need some TLC, it’s a 
popular travelodge with location but just needs a bit of love.Read 
moreReview collected in partnership with this hotelDate of stay: January 
2020HelpfulShareResponse from TravelodgeUK, James from the Social Media 
Team at Travelodge London Kings Cross Royal ScotResponded 3 Feb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</si>
  <si>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https://www.tripadvisor.co.uk/Hotel_Review-g186338-d243667-Reviews-or175-Travelodge_London_Kings_Cross_Royal_Scot-London_England.html#REVIEWS</t>
  </si>
  <si>
    <t>Jess wrote a review Feb 2020Sheffield, United Kingdom7 contributions2 
helpful votes</t>
  </si>
  <si>
    <t>Basic but comfortableThe hotel is located in a great area, a short walk from Kings Cross and St 
Pancras International, which makes it ideal for exploring the city. The 
reception area has clearly been well maintained and the staff were 
excellent at all times. The bed was large and comfortable and despite its 
central location, the room was quiet, with little noise from the hotel or 
outside. The actual room itself really let the hotel down. It was damp and 
in need of maintenance. There was no extractor fan in the bathroom, so the 
whole room filled with steam. This meant that the paint was peeling off the 
ceiling in the bedroom, the grout in the tiles was black and the whole 
please just looked dirty.Read moreDate of stay: February 
2020HelpfulShareResponse from TravelodgeUK, James from the Social Media 
Team at Travelodge London Kings Cross Royal ScotResponded 3 Feb 2020Thank 
you for reviewing our Travelodge London Kings Cross Royal Scot Hotel. We're 
happy to hear you were pleased with the location of the hotel during this 
stay as well as with the cleanliness of the hotel and the service from the 
hotel team but were' sorry to hear of the maintenance and wear and tear 
issues experienced in your room. Please rest assured the hotel managers 
check Tripadvisor reviews of their hotels so your comments will be reviewed 
by the hotel's team. Thank you again for leaving this review and we do hope 
that you choose to stay with us again in the future.Read more</t>
  </si>
  <si>
    <t>AlphaBlu3 wrote a review Feb 2020Surrey, United Kingdom1 contribution</t>
  </si>
  <si>
    <t>Desperate need of updating the rooms.Unfortunately the room we were in had various issues that we feel tainted 
our stay. Although a perfect location for what we needed to do when in 
London and the reception area was fairly new looking the room was awful. By 
far the most run down room we've ever had during our stays with Travelodge. 
Various places throughout the room the plaster was cracked on the walls and 
the skirting in the bathroom had a big hole in it. The bathroom was very 
grimey, with scum(old soap and shower gel I imagine) around the taps and 
grout in tiles (Which clearly had not been cleaned for some time) and there 
was mould spots on the ceiling. The shower would always be scolding, hot, a 
second of cold then back to scolding again even with the temperature turned 
down. And this was any time of day. Not…Read moreReview collected in 
partnership with this hotelDate of stay: January 2020HelpfulShareResponse 
from TravelodgeUK, Zack from The Social Media Team at Travelodge London 
Kings Cross Royal ScotResponded 3 Feb 2020Thank you for leaving your review 
of our London Kings Cross Royal Scot hotel.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</si>
  <si>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richardpW4803VK wrote a review Feb 20201 contribution</t>
  </si>
  <si>
    <t>Just what we wantedIt was just what we wanted, we stoped for one night and went for just a 
basic room and the price we played it was good value for money good 
location staff exceptional especially dione who greeted us..Read moreReview 
collected in partnership with this hotelDate of stay: January 
2020HelpfulShareResponse from TravelodgeUK, James from the Social Media 
Team at Travelodge London Kings Cross Royal ScotResponded 3 Feb 2020Thank 
you for reviewing our Travelodge London Kings Cross Royal Scot Hotel. We 
are very happy to hear that you enjoyed this stay with us. Please rest 
assured that the hotel's management team do check up on reviews of their 
hotels so your comments have been passed on. Once again we'd like to thank 
you for leaving this lovely review and we do hope that you stay with us 
again!Read more</t>
  </si>
  <si>
    <t>sazzie G wrote a review Feb 2020Ryde, United Kingdom14 contributions9 
helpful votes</t>
  </si>
  <si>
    <t>OvernighterGreat staff, warm welcome. Good breakfast. Room small, dated and in need of 
tlc. Haven't seen marble effect taps for years. Can't expect too much for 
£50 a night! Good location for St Pancras though.!Read moreReview collected 
in partnership with this hotelDate of stay: January 
2020HelpfulShareResponse from TravelodgeUK, James from the Social Media 
Team at Travelodge London Kings Cross Royal ScotResponded 3 Feb 2020Thank 
you for reviewing our Travelodge London Kings Cross Royal Scot Hotel. We're 
happy to hear you were pleased with the service from the hotel team during 
this stay with us but we're very sorry to hear of the issues experienced 
with your room. Please rest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</si>
  <si>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https://www.tripadvisor.co.uk/Hotel_Review-g186338-d243667-Reviews-or180-Travelodge_London_Kings_Cross_Royal_Scot-London_England.html#REVIEWS</t>
  </si>
  <si>
    <t>D V wrote a review Feb 2020Plymouth, United Kingdom6 contributions15 
helpful votes</t>
  </si>
  <si>
    <t>It's fine.I initially got put in a room at the top, right at the back, which had 
mould in the bathroom and a suspicious large brown stain on the floor. I 
moved rooms down a floor and things improved a little. The bed was comfy, 
although the room was clearly not at the standard advertised. The shower 
blows out a mist, which in turn causes the curtain to keep blowing in to 
you. Travelodge doors, which I presume are fire doors, slam shut with no 
effort so good luck trying to sleep if anyone near you goes back to their 
room a little later. On my final day, the fire alarm went off and the hotel 
was to be evacuated. Although good luck if you are on the 4th floor or 
higher, because you literally cannot hear it. I only found out the alarm 
was going off, because the lifts didn't work. The…Read moreReview collected 
in partnership with this hotelDate of stay: January 
2020HelpfulShareResponse from TravelodgeUK, Zack from The Social Media Team 
at Travelodge London Kings Cross Royal ScotResponded 3 Feb 2020Thank you 
for taking the time to share your experience with us. We are happy to learn 
you were pleased with the Hotels location, however we are sorry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</si>
  <si>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maheshsrinivasen wrote a review Feb 2020Manchester, United Kingdom1 
contribution</t>
  </si>
  <si>
    <t>Heating did not workThe central heating did not work until 7am. Luckily I had a good pull over 
and the quilt was comfortable too. CAUTION: Single beds are a bit narrow. 
You might fall down from the bed if you are the kind of a person (like 
myself) who roll a lot on the bed during a good night's rest. I am still 
nursing my aching back while typing this. Single beds are completely not 
suitable for a tired traveller.Read moreReview collected in partnership 
with this hotelDate of stay: January 2020HelpfulShareResponse from 
TravelodgeUK, Niki from The Social Media Team at Travelodge London Kings 
Cross Royal ScotResponded 2 Feb 2020Thank you for taking the time to review 
our London Kings Cross Royal Scot hotel. We are sorry to learn that the 
hotel experienced problems with their central heating during your stay with 
us as we aim to provide a comfortable stay to all of our guests. We would 
also like to apologise that you did not enjoy our Truckle bed and will be 
sure to pass your feedback to the relevant department for you. If you wish 
to contact us directly to give us more feedback, please be aware that you 
can always contact our Customer Services team via our website. Thank you 
again for your review.Read more</t>
  </si>
  <si>
    <t>https://www.tripadvisor.co.uk/Hotel_Review-g186338-d1812157-Reviews-or400</t>
  </si>
  <si>
    <t>rjwinnard wrote a review Jan 20201 contribution</t>
  </si>
  <si>
    <t>Great location for accessing the cityGreat location to get around London, super close to Kings Cross station and 
really affordable. Not super stylish inside, but if you only use your room 
to sleep in then you don't notice. Bit of a queue when we arrived as it was 
peak arrival time but staff worked really hard to get us seen as quickly as 
possible. All staff members were polite and helpful while we were 
there.Read moreReview collected in partnership with this hotelDate of stay: 
January 2020HelpfulShare</t>
  </si>
  <si>
    <t>https://www.tripadvisor.co.uk/Hotel_Review-g186338-d243667-Reviews-or185-Travelodge_London_Kings_Cross_Royal_Scot-London_England.html#REVIEWS</t>
  </si>
  <si>
    <t>abdullawal07 wrote a review Jan 20201 contribution</t>
  </si>
  <si>
    <t>Excellent customer careOn arrival at the reception, we were well received by the staff at the 
reception. They staff were friendly and willing to help. We were allocated 
a decent room that was very clean and we will stay there again.Read 
moreReview collected in partnership with this hotelDate of stay: January 
2020HelpfulShare</t>
  </si>
  <si>
    <t>heatheraitken2020 wrote a review Jan 2020Ayr, United Kingdom1 contribution</t>
  </si>
  <si>
    <t>Dirty roomsToilet was stained, bath was dirty, shower was awful, doors were marked 
with water stains, carpet muck, shelves dirty - a lot of money for a grubby 
room. corridors were grubby. rooms had poor soundproofing.Read moreReview 
collected in partnership with TravelodgeDate of stay: January 
2020HelpfulShareResponse from TravelodgeUK, James from the Social Media 
Team at Travelodge London Kings Cross Royal ScotResponded 30 Jan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</si>
  <si>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https://www.tripadvisor.co.uk/Hotel_Review-g186338-d243667-Reviews-or190-Travelodge_London_Kings_Cross_Royal_Scot-London_England.html#REVIEWS</t>
  </si>
  <si>
    <t>patM5546XM wrote a review Jan 20201 contribution</t>
  </si>
  <si>
    <t>Efficient, affordable accommodationWhilst the hotel as a whole is probably due for a re-fit, the rooms whilst 
basic were clean and tidy. with the facilities you would normally expect. 
The staff were all very friendly and helpful. The hotel is reasonably close 
to Kings Cross, about a five minute walk, and they made facilities 
available to store our luggage before checking in and after checking 
outRead moreReview collected in partnership with this hotelDate of stay: 
January 2020HelpfulShare</t>
  </si>
  <si>
    <t>GillianB4 wrote a review Jan 2020Southampton, United Kingdom3 contributions</t>
  </si>
  <si>
    <t>Recent tripStaff were very friendly and helpful. Room was a bit cramped but we were 
only there for 2 nights, I would imagine if you were there for longer it 
might get a bit irritating. The only fault I can mentione is that the back 
of the bathroom door could have done with a coat of varnish! Food was good 
and hot.Read moreReview collected in partnership with this hotelDate of 
stay: January 2020HelpfulShare</t>
  </si>
  <si>
    <t>jr78uk wrote a review Jan 2020London, United Kingdom1 contribution</t>
  </si>
  <si>
    <t>AwfulOld, dirty hotel. Room smelled of smoke, carpet worn out and disgusting. 
About as basic as it gets. Corridors filthy. Late evening the entrance 
filled with homeless people hanging around, quite intimidating. I will 
never stay here again; what an appalling excuse for a hotel.Read moreReview 
collected in partnership with this hotelDate of stay: January 
2020HelpfulShareResponse from TravelodgeUK, James from the Social Media 
Team at Travelodge London Kings Cross Royal ScotResponded 30 Jan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</si>
  <si>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paulbrightonuk wrote a review Jan 20201 contribution</t>
  </si>
  <si>
    <t>Overnight stayWhen we arrived, Joao was friendly and asked us about our journey and our 
day. The room was clean and had all the usual Travelodge facilities. We 
enjoyed the buffet breakfast and there was a good selection for us as 
vegetarians.Read moreReview collected in partnership with this hotelDate of 
stay: January 2020HelpfulShare</t>
  </si>
  <si>
    <t>https://www.tripadvisor.co.uk/Hotel_Review-g186338-d243667-Reviews-or195-Travelodge_London_Kings_Cross_Royal_Scot-London_England.html#REVIEWS</t>
  </si>
  <si>
    <t>Mārīte P wrote a review Jan 20201 contribution</t>
  </si>
  <si>
    <t>The best serviceStaid here 3 nights. I had a corner room on the 6th floor and it was nice 
and quiet. Couldnt fault anything, just the breakfast needs a little 
upgrade- options for vegans would be nice so next time i can have my 
breakfast in houseRead moreDate of stay: January 2020HelpfulShare</t>
  </si>
  <si>
    <t>eleanor d wrote a review Jan 2020Vienna, Austria6 contributions4 helpful 
votes</t>
  </si>
  <si>
    <t>Treated like a queen, at economy pricesA few minutes walk from King X station, this Travelodge is centrally 
located for pretty much everything, with great transport links far and 
wide, Staff couldn't have been more attentive if I'd paid for a top rated 
hotel, instead of the budget price I paid. the room was clean and 
reasonably well maintained. The only, very minor, issue was condensation on 
the, I assume, listed windows and occasional noise of some maintenance work 
on my floor, which took place at a time when it could be assumed most 
residents were out for the day.Read moreReview collected in partnership 
with TravelodgeDate of stay: January 2020HelpfulShare</t>
  </si>
  <si>
    <t>Martin H wrote a review Jan 2020Leeds, United Kingdom4 contributions1 
helpful vote</t>
  </si>
  <si>
    <t>Cheap and cheerfulA decent travelodge situated a short walk from Kings Cross. Staff were very 
friendly and helpful. 24 hour bar and food. Rooms were basic but with comfy 
beds. Overall a good base for a short stay in London.Read moreDate of stay: 
January 2020HelpfulShare</t>
  </si>
  <si>
    <t>https://www.tripadvisor.co.uk/Hotel_Review-g186338-d243667-Reviews-or200-Travelodge_London_Kings_Cross_Royal_Scot-London_England.html#REVIEWS</t>
  </si>
  <si>
    <t>Alper BOZKURT wrote a review Jan 20202 contributions1 helpful vote</t>
  </si>
  <si>
    <t>you get what you pay forStaf was friendly and smiling. I thank specially to Bella who was very kind 
and helpfull. Room was clean. The hotel is an old one, there is still a 
bathtub in the bathroom which should be replaced with a shower cabin in my 
opinion. But the water was very hot and ready al the time. I stayed in a 
twin bed room, beds were narrow. But they wer clean. Breakfast was not rich 
no cheese at all.Read moreDate of stay: January 2020HelpfulShareResponse 
from TravelodgeUK, Zack from The Social Media Team at Travelodge London 
Kings Cross Royal ScotResponded 29 Jan 2020Thank you for taking the time to 
share your experience with us. We are happy to learn you were pleased with 
the service provided by the hotel team and that you found your oom to be 
clean, however we are sorry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</si>
  <si>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W8738ZKpaula wrote a review Jan 2020Edinburgh, United Kingdom1 contribution</t>
  </si>
  <si>
    <t>Central hotelGood location, staff v helpful, breakfast good and room kept clean. Would 
recommend as good value for central London. I travelled with my grandson 
and staff were great with him. We retired quite early but not disturbed by 
noise.Read moreReview collected in partnership with this hotelDate of stay: 
January 2020HelpfulShare</t>
  </si>
  <si>
    <t>https://www.tripadvisor.co.uk/Hotel_Review-g186338-d243667-Reviews-or205-Travelodge_London_Kings_Cross_Royal_Scot-London_England.html#REVIEWS</t>
  </si>
  <si>
    <t>adele553 wrote a review Jan 20202 contributions2 helpful votes</t>
  </si>
  <si>
    <t>Very shabbyWe reserved a double room and were given a twin but then were given a 
family room when we asked. The room was very tired and there was mould on 
the bathroom ceiling. However, the staff on the reception were very helpful 
and pleasant.Read moreReview collected in partnership with this hotelDate 
of stay: January 2020HelpfulShareResponse from TravelodgeUK, Hannah from 
The Social Media Team at Travelodge London Kings Cross Royal ScotResponded 
28 Jan 2020Thank you for taking the time to share your experience with us. 
We are delighted to hear that the Team were able to make your stay more 
enjoyable. We hope to consistently demonstrate a high level of sincere 
customer care, and we are pleased to hear that this was achieved throughout 
your stay. We hope to consistently provide a high standard of cleanliness 
within our rooms and throughout our hotels, and we apologise if this was 
not displayed during your stay. We will certainly address this with the 
Hotel Team to reiterate the importance of attention to detail when 
servicing the rooms. We are always looking to improve the services we offer 
and we will pass your comments on to the relevant team. Thank you again for 
your review.Read more</t>
  </si>
  <si>
    <t>Klimpa wrote a review Jan 20201 contribution</t>
  </si>
  <si>
    <t>out for my BirthdayDecent location, 20 minute walk or a cab straight from the front door the 
club we were going the night of our stay- Fabric. They have everything you 
need in the rooms and anything that ill need as an extra the team had not 
problem to provide-i printed out my train tickets at the desk before 
departure and they let me leave my luggage in during the day. The staff are 
a great asset to the company as nothing seemed too much trouble. Reflects 
the customer service that should be in each branch.Read moreDate of stay: 
January 2020HelpfulShare</t>
  </si>
  <si>
    <t>Aiva T wrote a review Jan 20202 contributions</t>
  </si>
  <si>
    <t>https://www.tripadvisor.co.uk/Hotel_Review-g186338-d1812157-Reviews-or405</t>
  </si>
  <si>
    <t>Qucik stayWe stopped at this travelodge just for a night and the people here were so 
welcoming, inparticular the night team and the barman- Armans was funny and 
offered us snacks after dinner as we had missded it. Brilliant service. 
Thank you, and we will be returning.Read moreDate of stay: January 
2020HelpfulShare</t>
  </si>
  <si>
    <t>https://www.tripadvisor.co.uk/Hotel_Review-g186338-d243667-Reviews-or210-Travelodge_London_Kings_Cross_Royal_Scot-London_England.html#REVIEWS</t>
  </si>
  <si>
    <t>Akroterion wrote a review Jan 2020Bath, United Kingdom15 contributions11 
helpful votes</t>
  </si>
  <si>
    <t>Decent enough and convenient for early Eurostar trains.My late night check-in was easy and pleasant. Martin the staff member on 
duty was eager to help and made me feel welcome. The room itself was fine 
— clean and pretty much all I expect from a Travelodge. The bathroom 
certainly needs sprucing up. The soap dispense in the shower was broken and 
the shower curtain rail is truly rusty and on its last legs. Hopefully all 
the rooms get a make-over soon as the hotel is very convenient for an early 
morning start on the Eurostar. I'd happily stay there again next time I 
leave from St Pancras.Read moreReview collected in partnership with this 
hotelDate of stay: January 2020HelpfulShareResponse from TravelodgeUK, 
Hannah from The Social Media Team at Travelodge London Kings Cross Royal 
ScotResponded 28 Jan 2020Thank you for taking the time to share your 
experience with us. It is great to hear that Martin in particular was 
attentive and friendly throughout your stay. Thank you for taking the time 
to provide your compliments for this Team Member. We are sorry to learn 
that you were unimpressed with the facilities in your room. Being a budget 
Hotel brand, we believe that we provide all the necessary facilities to 
ensure a comfortable stay, for value. However we are always looking to 
improve the services we offer and we will pass your comments on to the 
relevant team. Thank you again for your review.Read more</t>
  </si>
  <si>
    <t>Adnats wrote a review Jan 2020Huddersfield, United Kingdom56 
contributions56 helpful votes</t>
  </si>
  <si>
    <t>One night stayWe stayed one night over the weekend. We arrived at the hotel and got 
checked in ok, the reception was busy. It was basic but had what u needed. 
Our room was fine for a one night stay. The bathroom could do with a 
facelift. We had everything we needed to be fair. We went for a drink at 
the bar but there was no staff serving so we left and had a drink somewhere 
else. We had breakfast the following morning and it was ok. The drinks 
machines had a long queue which was a pain. We also had a panini before we 
left which again was just ok. The staff are friendly and were happy to help 
with calling taxis etc. All in all a sufficient stay!Read moreDate of stay: 
January 2020HelpfulShareResponse from TravelodgeUK, Hannah from The Social 
Media Team at Travelodge London Kings Cross Royal ScotResponded 28 Jan 
2020Thank you for taking the time to share your experience with us. We are 
delighted to hear that the Team were able to make your stay more enjoyable. 
We hope to consistently demonstrate a high level of sincere customer care, 
and we are pleased to hear that this was achieved throughout your stay. We 
are always looking to improve the services we offer and we will pass your 
comments on to the relevant team. Thank you again for your review.Read more</t>
  </si>
  <si>
    <t>robnalex wrote a review Jan 2020staffordshire15 contributions1 helpful vote</t>
  </si>
  <si>
    <t>Needs a refurbStaff were excellent, very welcoming and responsive Room was clean (225) It 
was very very worn and is desperate need of some tlc and a total refurb. 
The bathroom was very dated and evidently well worn as to was the carpets 
and decorRead moreReview collected in partnership with this hotelDate of 
stay: January 2020HelpfulShareResponse from TravelodgeUK, Ben from the 
Social Media Team at Travelodge London Kings Cross Royal ScotResponded 29 
Jan 2020Thank you for taking the time to write a review about our London 
Kings Cross Royal Scot hotel. We're pleased to hear that you found the 
hotel team to be welcoming and helpful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</si>
  <si>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Vicjohnson69 wrote a review Jan 2020Goole, United Kingdom3 contributions1 
helpful vote</t>
  </si>
  <si>
    <t>Great reception but carpets were hanging!Friendly reception late one Thursday night after a delayed flight to 
Heathrow caused an overnight stay. But the carpets were so grubby, even put 
my shoes back on for a late night visit to the bathroom. Difficult to find 
tooRead moreReview collected in partnership with this hotelDate of stay: 
January 2020HelpfulShare</t>
  </si>
  <si>
    <t>https://www.tripadvisor.co.uk/Hotel_Review-g186338-d243667-Reviews-or215-Travelodge_London_Kings_Cross_Royal_Scot-London_England.html#REVIEWS</t>
  </si>
  <si>
    <t>Ian C wrote a review Jan 2020Salisbury, United Kingdom1,114 
contributions107 helpful votes</t>
  </si>
  <si>
    <t>Perfect one stay for gigsWhen I come London to see a gig you want somewhere central, functional and 
cheap. 50 for twin room on a Saturday, 5min from King's Cross, 24 hour bar, 
quiet room on 5th floor, friendly and helpful welcome, will be back.Read 
moreDate of stay: January 2020HelpfulShare</t>
  </si>
  <si>
    <t>David C wrote a review Jan 20206 contributions1 helpful vote</t>
  </si>
  <si>
    <t>Kings Cross Cheap and Cheerful HotelFor the price a good place to stay. Breakfast very good. Excellent for 
getting round the centre of London. Staff very nice. Used Travelodge twice 
now and both times absolutely fine. A really attractive place to stay when 
cash is short.Read moreReview collected in partnership with TravelodgeDate 
of stay: January 2020HelpfulShare</t>
  </si>
  <si>
    <t>Thomurphy wrote a review Jan 2020Plymouth, United Kingdom1 contribution</t>
  </si>
  <si>
    <t>RubbishNoisey, smelly, uncomfortable and old. Worse Travelodge I've ever stayed 
in. Would avoid in future as must be better options out there even if it 
was affordable. Decor very dated and reminded me of The Shining.Read 
moreReview collected in partnership with this hotelDate of stay: January 
2020HelpfulShareResponse from TravelodgeUK, James from the Social Media 
Team at Travelodge London Kings Cross Royal ScotResponded 29 Jan 2020Thank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</si>
  <si>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siouxk wrote a review Jan 2020Bridlington, United Kingdom117 
contributions36 helpful votes</t>
  </si>
  <si>
    <t>One step up from a hostelSmall, noisy, dated, average. Ok for one night only! Choice of breakfast 
very limited, rooms tiny - en suite 2 strides x 1 stride. Very tired 
fittings, no soundproofing or air con. Staff friendly 10 mins from kings 
crossRead moreDate of stay: January 2020HelpfulShareResponse from 
TravelodgeUK, Ben from the Social Media Team at Travelodge London Kings 
Cross Royal ScotResponded 29 Jan 2020Thank you for taking the time to write 
a review about our London Kings Cross Royal Scot hotel. We're pleased to 
hear that you found the team to be friendly and you liked the location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</si>
  <si>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322mjl wrote a review Jan 20202 contributions</t>
  </si>
  <si>
    <t>Good locationBathroom tired looking. Plug hole to bath was black so looked unclean. Beds 
extremely comfortable. Good pillows. To say where the travel lodge is 
situated the noise levels were not as noisy as expected. Staff at checking 
in were very freindly. Would recommend.Read moreReview collected in 
partnership with this hotelDate of stay: January 2020HelpfulShare</t>
  </si>
  <si>
    <t>https://www.tripadvisor.co.uk/Hotel_Review-g186338-d243667-Reviews-or220-Travelodge_London_Kings_Cross_Royal_Scot-London_England.html#REVIEWS</t>
  </si>
  <si>
    <t>Anna wrote a review Jan 20201 contribution</t>
  </si>
  <si>
    <t>excellentWe will definitely use it again because it was a great stay. Everything was 
very clean, close to everything, friendly and customer focused staff, very 
tasty breakfast and great value for money. Would recommendRead moreDate of 
stay: January 2020HelpfulShare</t>
  </si>
  <si>
    <t>Angele A wrote a review Jan 20202 contributions</t>
  </si>
  <si>
    <t>Will be back for sure ��Good location and clean. The staff is friendly and helpful. Good 
recommendation . Worth the money. Bed are comfortable and it was a relaxing 
and quiet. Bar was available any time . Martin and Bella helped us tooRead 
moreReview collected in partnership with this hotelDate of stay: January 
2020HelpfulShare</t>
  </si>
  <si>
    <t>Allan S wrote a review Jan 2020Flintshire, United Kingdom74 contributions11 
helpful votes</t>
  </si>
  <si>
    <t>ok stayStayed here a number of times and was always very pleased but this time I 
was very disappointed as the room was not what I requested and was very 
small compared to rooms I have stayed in before here.Dont think I will stay 
here again which is a shame as its always been "my go to" hotel in 
LondonRead moreReview collected in partnership with TravelodgeDate of stay: 
January 2020HelpfulShareResponse from TravelodgeUK, Ben from the Social 
Media Team at Travelodge London Kings Cross Royal ScotResponded 29 Jan 
2020Thank you for taking the time to write a review about our London Kings 
Cross Royal Scot hotel. We're pleased to hear that you normally enjoy your 
stay at this hotel however we are sorry to learn of your disappointment 
with the room provided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</si>
  <si>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1markt2020 wrote a review Jan 2020Chester, United Kingdom1 contribution</t>
  </si>
  <si>
    <t>Customer focusedRachel on Reception gave an excellent introduction to the hotel. Staff are 
on hand at reception and in the bar/ dining area. Traffic noise was not to 
bad and I was right over the junction on the 4th floor.Read moreReview 
collected in partnership with this hotelDate of stay: January 
2020HelpfulShare</t>
  </si>
  <si>
    <t>https://www.tripadvisor.co.uk/Hotel_Review-g186338-d243667-Reviews-or225-Travelodge_London_Kings_Cross_Royal_Scot-London_England.html#REVIEWS</t>
  </si>
  <si>
    <t>juandesousa0811 wrote a review Jan 2020London, United Kingdom1 contribution</t>
  </si>
  <si>
    <t>Everything good0Good service and attention. very clean hotel, comfortable room, delicious 
and varied breakfast Very easy to book and check in and check out. ideal 
for aur travelers do not want to spend a lot of moneyRead moreReview 
collected in partnership with this hotelDate of stay: January 
2020HelpfulShare</t>
  </si>
  <si>
    <t>Afolabi A wrote a review Jan 20203 contributions</t>
  </si>
  <si>
    <t>Location good but old facilitiesGood location but very old infrastructure The hotel needs refurbishment, 
carpets, rooms. However the service was very good. Stuff are very nice , 
helpful and professional :). I will stay there again only for the 
location.Read moreReview collected in partnership with this hotelDate of 
stay: January 2020HelpfulShare</t>
  </si>
  <si>
    <t>OnAir652790 wrote a review Jan 20201 contribution</t>
  </si>
  <si>
    <t>Great locationIt was at a great location close to restaurants and shops. The room is okay 
too. Ours was on the third floor facing the streets. So, there was noises 
from cars on the street. We didn't hear anything from the neighbour rooms. 
The fire alarm went off in the morning and everyone had to vacate their 
rooms. It turned out to be a false alarm. Fire alarm went off almost 
everyday, somehow. There was no actual fire. Other than that, it was a 
great stay at a great location. Would recommend.Read moreReview collected 
in partnership with this hotelDate of stay: January 2020HelpfulShare</t>
  </si>
  <si>
    <t>Alexandra M wrote a review Jan 20201 contribution</t>
  </si>
  <si>
    <t>ExcellentThe team is outstanding, the rooms and bathrooms are very clean, people are 
nice, and the food was also very good. The location of the hotel was 
excellent for us, very close to where we needed to go. We had a very good 
time there.Read moreDate of stay: January 2020HelpfulShare</t>
  </si>
  <si>
    <t>Dream08140507985 wrote a review Jan 20201 contribution</t>
  </si>
  <si>
    <t>So lucky my work paid for this.At check in I was told to wait at the side, 30 minutes later the lady on 
reception confessed she had forgotten about me. It took 2 hours to check in 
(I'm not kidding), the staff were fine but there needs to be measures in 
place to stop this happening. Other things - I heard the guy in the next 
room sniff, literally just sniff, so imagine my mood when he decided to 
watch TV at 10pm. I thought it was my own TV. Shower was poor, there was no 
toiletries aside from the dispenser. It's a very dated hotel, not a problem 
with that until you realise this cost £427 for 3 nights. I feel sorry for 
my business paying this amount of money when I would value this at £20 a 
night not £140+ a night. Finally, the comically small beds meant I woke up 
numerous times through the night when I felt…Read moreReview collected in 
partnership with this hotelDate of stay: January 2020HelpfulShareResponse 
from TravelodgeUK, Thank you for taking the time to share your experience 
with us. at Travelodge London Kings Cross Royal ScotResponded 28 Jan 
2020Thank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</si>
  <si>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https://www.tripadvisor.co.uk/Hotel_Review-g186338-d243667-Reviews-or230-Travelodge_London_Kings_Cross_Royal_Scot-London_England.html#REVIEWS</t>
  </si>
  <si>
    <t>Mark T wrote a review Jan 20201 contribution</t>
  </si>
  <si>
    <t>Why do 4 star?Rachel on Reception gave the most professional check-in I have ever come 
across (I've done a lot of "top" hotels). Extremely, customer focused - 
grill those tomatoes and do fried eggs please TravelodgeRead moreDate of 
stay: January 2020HelpfulShare</t>
  </si>
  <si>
    <t>https://www.tripadvisor.co.uk/Hotel_Review-g186338-d1812157-Reviews-or410</t>
  </si>
  <si>
    <t>Gareth_Alfie wrote a review Jan 2020Liverpool, United Kingdom28 
contributions13 helpful votes</t>
  </si>
  <si>
    <t>Ideal LocationIdeal for visiting North London. Quieter than the West End, Tube nearby and 
access to other parts of London within easy reach by Tube. Welcoming and no 
complaints, plenty of nice amenities near by. Good Location.Read moreReview 
collected in partnership with TravelodgeDate of stay: January 
2020HelpfulShare</t>
  </si>
  <si>
    <t>Eileen M wrote a review Jan 2020North Yorkshire, United Kingdom7 
contributions2 helpful votes</t>
  </si>
  <si>
    <t>In need of refurbishment!We recently stayed overnight here, on our way from York to Harry Potter 
Studios. We chose Travelodge as it was just really just a clean bed for the 
night we needed, not somewhere packed with facilities, which we would have 
had no time to use. Whilst the hotel staff were really nice, helpful &amp; 
polite, we thought that our room was not very good. It was a large room, 
with single size twin beds - though one was narrower than the other! There 
was a very small tv on the wall, quite a way from the beds, so not ideal 
for viewing. The bathroom was small and dated, with a wash basin which 
didn’t drain properly, and black mould on the tile grout. There was 
something that was particularly worrying - there was a fire alarm test the 
following morning, but the alarm did not sound in the room,…Read moreReview 
collected in partnership with this hotelDate of stay: January 
2020HelpfulShareResponse from TravelodgeUK, Ben from the Social Media Team 
at Travelodge London Kings Cross Royal ScotResponded 4 Feb 2020Thank you 
for taking the time to write a review about our London Kings Cross Royal 
Scot hotel. We're pleased to hear that you found the team to be nice and 
helpful however we are sorry to learn of your disappointment with the room 
you were provided during your stay and that your stay was affected by a 
fire alarm.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</si>
  <si>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Martin S wrote a review Jan 2020Kingston-upon-Hull, United Kingdom2 
contributions</t>
  </si>
  <si>
    <t>Reasonable Hotel - Not too expensiveKings Cross Royal Scot is a reasonable place to stay in London. Stayed 
there many times before and its inexpensive and can be accessed not far 
from Kings Cross Station (10 mins walk). Rooms are not too bad, have stayed 
twice with a large group and useful with a 24 hour Bar. My only concern 
last time is the "oversell" of them asking for us to give positive 
reviews...9 and 10s. It really should not be necessary to request this. 
Best approach is to say - "if you are happy with our service please 
consider giving us a good review".... You get a good breakfast and with all 
Travelodge Outlets they are pretty much a standard. I would always 
recommend these as a lower cost option.Read moreReview collected in 
partnership with this hotelDate of stay: January 2020HelpfulShare</t>
  </si>
  <si>
    <t>https://www.tripadvisor.co.uk/Hotel_Review-g186338-d243667-Reviews-or235-Travelodge_London_Kings_Cross_Royal_Scot-London_England.html#REVIEWS</t>
  </si>
  <si>
    <t>John C wrote a review Jan 2020Lancaster, United Kingdom22 contributions8 
helpful votes</t>
  </si>
  <si>
    <t>Helpful staff, comfortable, but....The staff were all very pleasant and helpful and the room was up to the 
usual standard. The problem was loud external noise up to midnight. I 
wasn’t sure what it was, but an engine was started and run up repeatedly 
and made sleeping difficult. I suppose this may be a feature of the 
location, which is otherwise very convenient for Euston and the CityRead 
moreReview collected in partnership with this hotelDate of stay: January 
2020HelpfulShareResponse from TravelodgeUK, Ben from the Social Media Team 
at Travelodge London Kings Cross Royal ScotResponded 4 Feb 2020Thank you 
for taking the time to share your experience of your stay at our London 
Kings Cross Royal Scot Travelodge with us. We're pleased to learn that you 
found the team to be pleasant and helpful and you liked the room and 
location however we are sorry to hear that external noise has affected the 
comfort of your stay. Wherever possible, we mention on the hotel’s booking 
page that due to the hotel’s location, external noise may be heard. We have 
also taken measures within our hotels to try and reduce the impact this may 
have on a guests stay with us. We strive to make our customers as 
comfortable as possible and we would like to apologise if on this occasion 
we were not able to offer you a good night's sleep. We appreciate all the 
feedback we receive and our Hotel Managers regularly review their 
TripAdvisor reviews in order to fix any issues raised and pass on feedback 
to their team. Thank you once again and we do hope you will stay with us in 
the future.Read more</t>
  </si>
  <si>
    <t>emilizerjane wrote a review Jan 2020Lincolnshire, United Kingdom2 
contributions3 helpful votes</t>
  </si>
  <si>
    <t>An honest reviewI have just returned home after staying in this hotel for 2 nights. I have 
previously stayed in other Travelodge’s around the country and always 
received a good service. I stayed in a standard double room as was only 
needing somewhere cheap and cheerful. Overall I found this hotel poor and 
would not return. When we arrived the check-in was quick, the staff were 
polite and the downstairs lobby/bar area appeared clean and modern. 
However, our room was not clean and this really spoiled our stay. The bath 
had dirt/rust round the plug and there were several hairs in it, the mirror 
in the bathroom and bedroom were dirty, under the bathroom sink was filthy 
and the carpet in the bedroom was covered in stains. The windows were 
strange and in need of a good clean. When my boyfriend first…Read moreDate 
of stay: January 20202 Helpful votesHelpfulShareResponse from TravelodgeUK, 
Ben from the Social Media Team at Travelodge London Kings Cross Royal 
ScotResponded 27 Jan 2020Thank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</si>
  <si>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natalia k wrote a review Jan 2020york2 contributions</t>
  </si>
  <si>
    <t>Good place for a short stayWe had a very good stay this month in this hotel. Sure, it could do with an 
update, but we had everything we needed and it was very clean. All the 
staff we met were brilliant, including the cleaning staff. We also met one 
of the managers in the corridor and she was very friendly and polite and 
took the time to answer our questions. We will definitely return.Read 
moreDate of stay: January 2020HelpfulShare</t>
  </si>
  <si>
    <t>Slayer S wrote a review Jan 20202 contributions1 helpful vote</t>
  </si>
  <si>
    <t>Well done, thank you!Even if old, the hotel is clean, staff is friendly and professional. 
Martha, in charge of the restaurant, was very helpful and so was the blonde 
manager. Overall, very good stay, will definitely use this hotel again.Read 
moreDate of stay: January 2020HelpfulShare</t>
  </si>
  <si>
    <t>https://www.tripadvisor.co.uk/Hotel_Review-g186338-d243667-Reviews-or240-Travelodge_London_Kings_Cross_Royal_Scot-London_England.html#REVIEWS</t>
  </si>
  <si>
    <t>Mandone wrote a review Jan 20202 contributions</t>
  </si>
  <si>
    <t>Basic rooms great staffStayed for a weekend while in London. Price for value is good for Central 
London. Rooms are basic, no thrills. Breakfast good for value and tasty. 
Staff are great, everyone we saw was smiling and greeting us. The only bad 
thing about it is that it looks old and dated, but at least it was clean. 
All in all we would return here.Read moreDate of stay: January 
2020HelpfulShare</t>
  </si>
  <si>
    <t>Victor A wrote a review Jan 20202 contributions1 helpful vote</t>
  </si>
  <si>
    <t>Great sense of Service KudosA bit dated hotel very clean great standards but we most impressed with 
Bellas attention to small details great professional not over the top 
simple customer service nothing was ever to much to ask but mainly all 
people were happy to be there and definitely happy to help us definitely we 
will be back on our next trip to LondonRead moreDate of stay: January 20201 
Helpful voteHelpfulShare</t>
  </si>
  <si>
    <t>az607 wrote a review Jan 2020Sofia, Bulgaria1 contribution</t>
  </si>
  <si>
    <t>Old and dirtyThe hotel was old and dirty. The doors were closing too loud. No AC in the 
room. The worst thing is that the hotel is dealing strange with foreign 
credit cards. First the amount was blocked for the reservation amd on 
arrival they take the amount again. Nobody will pay me an interest for the 
money that are held.Read moreReview collected in partnership with this 
hotelDate of stay: January 2020HelpfulShareResponse from TravelodgeUK, 
Hannah from The Social Media Team at Travelodge London Kings Cross Royal 
ScotResponded 23 Jan 2020Thank you for taking the time to review our hotel. 
We are really sorry to hear that you encountered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</si>
  <si>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https://www.tripadvisor.co.uk/Hotel_Review-g186338-d243667-Reviews-or245-Travelodge_London_Kings_Cross_Royal_Scot-London_England.html#REVIEWS</t>
  </si>
  <si>
    <t>Aurora G wrote a review Jan 20201 contribution</t>
  </si>
  <si>
    <t>Very nice and cleanIt's a great hotel and very clean rooms. The hotel stay was very pleasant 
and comfortable, customer service was amazing, very helpfuly ,friendly and 
proffesional .for sure i'm gonna come back .thank u very much for 
everythingRead moreDate of stay: January 2020HelpfulShare</t>
  </si>
  <si>
    <t>Vasey wrote a review Jan 20204 contributions3 helpful votes</t>
  </si>
  <si>
    <t>Royal Scot travelodgePolite, friendly efficient staff. Particularly kind at organising luggage 
whic( could be left after the morning check out. Well worth having the 
in-house breakfast - sets you up for the day to do the sites and explore. 
Clean, tidy room and hotel.Read moreReview collected in partnership with 
TravelodgeDate of stay: January 2020HelpfulShare</t>
  </si>
  <si>
    <t>katie s wrote a review Jan 20201 contribution</t>
  </si>
  <si>
    <t>Staff were fantastic!!!!!We really enjoyed our stay here. At breakfast the fire alarm went off and 
the building evacuated. The staff were so kind to my baby daughter, they 
were concerned about her being outside without a coat in January. You 
cannot beat it for the price, the breakfast was great, will definitely be 
stay here again. Thank you so much for being so caring!Read moreDate of 
stay: January 2020HelpfulShare</t>
  </si>
  <si>
    <t>Adam wrote a review Jan 20202 contributions2 helpful votes</t>
  </si>
  <si>
    <t>Excellent location and great stay!Been there for a short trip to London - enjoyed immensely. Good food 
downstairs, nice clean room, and best of all - perfect location - short 
walk away from the King's Cross - meaning short walk away from pretty much 
anywhere as London underground is very convenient. Hopped on a train and 
traveled to Cambridge - must see. Underground to Oxford Street to do some 
shopping took about 30 min, including a walk. Walking to the British Museum 
took me about 20 minutes of relaxed walk. Room was clean and staff were 
very nice and helpful, helped me with the directions and advised on which 
museums to visit. Overall very happy with my stay and would definetely 
reccoment the hotel and the location.Read moreDate of stay: January 
2020HelpfulShare</t>
  </si>
  <si>
    <t>https://www.tripadvisor.co.uk/Hotel_Review-g186338-d243667-Reviews-or250-Travelodge_London_Kings_Cross_Royal_Scot-London_England.html#REVIEWS</t>
  </si>
  <si>
    <t>nkybootoo wrote a review Jan 2020Derby, United Kingdom282 contributions80 
helpful votes</t>
  </si>
  <si>
    <t>Convenient stayHad a great night's sleep here, everything was comfortable, bed, room and 
pillows, great value for money and literally 2 minutes walk from King's 
Cross Station. I would like to say how helpful and polite the reception 
staff were, especially Erika who recommended us to visit the Fen court roof 
gardens which we didn't even know existed ��. Well will be back! Thank you 
Travelodge!Read moreDate of stay: January 20201 Helpful voteHelpfulShare</t>
  </si>
  <si>
    <t>erica227bro wrote a review Jan 2020Cheshire, United Kingdom2 contributions1 
helpful vote</t>
  </si>
  <si>
    <t>London on a BudgetThis Travelodge is within 15 mins walk of Kings Cross station which gives 
access on the tube to all the sightseeing places in London. The staff are 
excellent, friendly and welcoming with a greeting each time you meet them. 
For a city hotel the rooms are surprisingly quiet.Read moreReview collected 
in partnership with TravelodgeDate of stay: January 2020HelpfulShare</t>
  </si>
  <si>
    <t>CKwong1 wrote a review Jan 20201 contribution</t>
  </si>
  <si>
    <t>budget hotel with convenient locationBasic stuff in the room but that's what you pay for. It's cheap and located 
in a convenient location (about 10min walk to the king's cross station). 
But the rooms are quite old, especially the bathrooms and doors. Service at 
the reception is great, always helpful. Quite a lot of restaurants 
nearby.Read moreReview collected in partnership with this hotelDate of 
stay: January 2020HelpfulShare</t>
  </si>
  <si>
    <t>montymal wrote a review Jan 2020Nuneaton, United Kingdom19 contributions7 
helpful votes</t>
  </si>
  <si>
    <t>Cheap but so noisyCheap for a London hotel close to Kings Cross (approx 10min walk). Expected 
it to be quite noisy with traffic noises BUT it was the internal noise that 
was worse - doors constantly slamming throughout the night, made worse by 
inconsiderate guests knocking on other guests doors at stupid O’clock....So 
maybe take ear plugs!! Shower head was broken so the flow was like mist. 
The bath was very slippery and high sided too, so could prove very 
difficult for people with mobility issues to get in/out of it. Bathroom 
floor becomes an ice rink once wet so throw down a towel as a mat! In all, 
the rooms were pretty grotty but bearable if you only staying one night and 
don’t plan to spend much time in there....Read moreDate of stay: January 
2020HelpfulShare</t>
  </si>
  <si>
    <t>Sue E wrote a review Jan 2020Pontyclun, United Kingdom1 contribution</t>
  </si>
  <si>
    <t>Needs updating - but you get what you pay for!The room needed updating, in fact the whole hotel does once you leave the 
modern reception/bar area. My room was up in the lift and then down some 
stairs - wouldn't have been suitable if I was disabled but I wasn't made 
aware of this. Toilet could have been cleaner! But all the staff I 
encountered were lovely and friendly. I would stay again because it was 
cheap and convenient - but would be happy to pay more if the rooms were 
updated.Read moreReview collected in partnership with this hotelDate of 
stay: January 2020HelpfulShare</t>
  </si>
  <si>
    <t>https://www.tripadvisor.co.uk/Hotel_Review-g186338-d243667-Reviews-or255-Travelodge_London_Kings_Cross_Royal_Scot-London_England.html#REVIEWS</t>
  </si>
  <si>
    <t>amamunro wrote a review Jan 2020Edinburgh, United Kingdom3 contributions</t>
  </si>
  <si>
    <t>WONDERFUL STAY.having recently(Jan 11-15th-2020) stayed at the Royal Scot,i recommend it 
to everyone.a stonesthrow from Kings Cross St-Pancreas Station,and a short 
and enjoyable walk to Camden Town and Islington.The Hotel staff are 
amazing,very professional and nothing is too much trouble for them to deal 
with.My room had a bath,that was great,hot water on tap literally.the Food 
menu(i am a chef of 30+years experience)was one of the best i have ever 
seen.There is something for everyone on the menu,a very well 
balanced,colourful and mouth-watering choice of many dishes,some well 
known,some different,but all tasty and very well prepared and served.The 
bar is lovely too,spacious and serving many fine beverages and they have a 
happy hour or should i say 4(4pm-8pm) mon-fri.I will very certainly…Read 
moreDate of stay: January 2020HelpfulShare</t>
  </si>
  <si>
    <t>shaun186254 wrote a review Jan 2020Exeter, United Kingdom7 contributions1 
helpful vote</t>
  </si>
  <si>
    <t>Happy To RecommendI can't fault this hotel, we had a pleasant stay for one night. It's cheap 
for it's location and the staff were very helpful and friendly. It was a 
clean and basic room, and would happily recommend this to people looking 
for the same.Read moreReview collected in partnership with this hotelDate 
of stay: January 2020HelpfulShare</t>
  </si>
  <si>
    <t>Karl G wrote a review Jan 20201 contribution</t>
  </si>
  <si>
    <t>Stay at King's Cross TravelodgeGreat Stay large bedroom, modern hotel friendly staff particularly Bella. 
Nice Bathroom and facilities convenient for Kings Cross Station. Would 
definitely stay here again. Modern bar area and restaurant.Read moreDate of 
stay: January 2020HelpfulShare</t>
  </si>
  <si>
    <t>https://www.tripadvisor.co.uk/Hotel_Review-g186338-d243667-Reviews-or260-Travelodge_London_Kings_Cross_Royal_Scot-London_England.html#REVIEWS</t>
  </si>
  <si>
    <t>David B wrote a review Jan 20202 contributions</t>
  </si>
  <si>
    <t>Staying at the royal scotI stayed one night at the royal Scot in January 2020. I travelled alone . 
The hotel is located about 10 minutes walk from kings cross station. I 
arrived early, and was told that although I could not check in until after 
three, I could leave my bag there in a secure room which I chose to take 
advantage of. The staff were very courteous and friendly and the room was 
neat and cleaned to a high standard, although it was slightly chilly. My 
room was mostly quiet, I did not hear any noise from fellow guests, 
although I did hear some traffic noise from the main road. All in all, I 
would definitely consider staying in this hotel again on my next visit to 
London.Read moreReview collected in partnership with this hotelDate of 
stay: January 2020HelpfulShare</t>
  </si>
  <si>
    <t>XEmmaH- wrote a review Jan 2020Shirebrook, United Kingdom6 contributions</t>
  </si>
  <si>
    <t>Good Value and Well LocatedWe have stayed here several times before, it is basic and a little shabby 
in places (both public areas and rooms). However, the staff are always 
pleasant, especially compared with other London Travelodges. Dione checked 
us in, was friendly and very welcoming. The room could do with a 
refurbishment but it was clean and served its purpose well for an overnight 
stay. It is good value for the location and I would recommend it when 
staying in London on a budget.Read moreDate of stay: January 
2020HelpfulShare</t>
  </si>
  <si>
    <t>Monkeymagic78 wrote a review Jan 2020Sussex7 contributions1 helpful vote</t>
  </si>
  <si>
    <t>Comfortable and easy 1 night stayI stayed here for a last minute business trip. Everything was very smooth 
and easy from the checkin to the check out. The room was much bigger than I 
thought - especially for the price - and I would definitely consider 
staying here again.Read moreReview collected in partnership with this 
hotelDate of stay: January 2020HelpfulShare</t>
  </si>
  <si>
    <t>Dorothy M wrote a review Jan 20201 contribution</t>
  </si>
  <si>
    <t>Very helpful staffWe were impressed by the friendliness of the staff and their wilingness to 
change a room for us and other things. Also impressed that we can leave our 
luggage there for a while after we had checked outRead moreReview collected 
in partnership with this hotelDate of stay: January 2020HelpfulShare</t>
  </si>
  <si>
    <t>Linda W wrote a review Jan 20202 contributions1 helpful vote</t>
  </si>
  <si>
    <t>Disappointing serviceVery disappointed! The room wasn’t serviced, no clean towels and no kettle. 
Apologies when we complained and we were given a kettle and towels but 
really I would expect these things as a minimum. Travel lodge - what 
exactly are we paying for???Read moreDate of stay: January 
2020HelpfulShareResponse from TravelodgeUK, Zack from The Social Media Team 
at Travelodge London Kings Cross Royal ScotResponded 22 Jan 2020Thank you 
for taking the time to share your review. We wish for our customers to 
enjoy their hotel experience, so we are sorry to hear that you were not 
positively impressed by your last stay in our London Kings Cross Royal Scot 
hotel. It’s important that our team provide a fantastic service to our 
customers at all times, please accept our apologies that this was not 
provided to you. As your stay was not up to our usual high standards, may 
we kindly ask you to contact one of our Customer Services Advisors via our 
website help form to look into this more thoroughly. Thank you again for 
reviewing our hotel.Read more</t>
  </si>
  <si>
    <t>https://www.tripadvisor.co.uk/Hotel_Review-g186338-d243667-Reviews-or265-Travelodge_London_Kings_Cross_Royal_Scot-London_England.html#REVIEWS</t>
  </si>
  <si>
    <t>eileenf63 wrote a review Jan 2020Kilmarnock, United Kingdom18 
contributions1 helpful vote</t>
  </si>
  <si>
    <t>Our trip to LondonWe traveled down from Edinburgh to go to the Tutankhamen Exhibition. Rooms 
were good could do with a refurb. I think this is in the process of being 
done. Staff were nice especially Maria from the Bar/cafe. There was one 
other woman working I never caught here name who was not very good with the 
customers She looked them up and down with disgust. Asked us if we had a 
meal waiting when we said no she just huffed off saying for goodness sake. 
Maria was working behind the bar/cafe serving all the customers (it was a 
busy night) and she was wiping down bottles and folding napkins ignoring 
the people waiting. She is very lucky that I never said anything didn't 
want to spoil our holiday. If we go back I wont be holding back. Other than 
that a pleasant stay and we will be coming backRead moreReview collected in 
partnership with TravelodgeDate of stay: January 2020HelpfulShare</t>
  </si>
  <si>
    <t>https://www.tripadvisor.co.uk/Hotel_Review-g186338-d1812157-Reviews-or415</t>
  </si>
  <si>
    <t>alyeomans wrote a review Jan 2020Scarborough, United Kingdom1 contribution</t>
  </si>
  <si>
    <t>FeedbackI arrived a little early for check-in but there was a room available for 
me. The woman on reception was friendly and efficient. The room was clean 
and tidy. Breakfast was excellent and much needed after - admittedly - a 
rather big night out. Check out nice and easy. Will use this hotel 
again.Read moreReview collected in partnership with this hotelDate of stay: 
January 2020HelpfulShare</t>
  </si>
  <si>
    <t>https://www.tripadvisor.co.uk/Hotel_Review-g186338-d243667-Reviews-or270-Travelodge_London_Kings_Cross_Royal_Scot-London_England.html#REVIEWS</t>
  </si>
  <si>
    <t>melsbritishvoice wrote a review Jan 2020Leicester, United Kingdom1 
contribution</t>
  </si>
  <si>
    <t>Excellent location and friendly staffBrilliantly located, comfortable and clean and standout friendly and 
helpful staff (Rachel on reception). Very well priced for central London. 
Easy to access the underground - 10 min walk. Lots of places to eat nearby 
too.Read moreReview collected in partnership with this hotelDate of stay: 
January 2020HelpfulShare</t>
  </si>
  <si>
    <t>sherwoodlee53 wrote a review Jan 20201 contribution</t>
  </si>
  <si>
    <t>AverageThe room was tidy but tired. No plug in the basin. Shower curtain allowed 
water through so floor became very wet, no bathmat. Cheap toilet paper. 
Buffet breakfast, croissants dry, butter pats old and looked as if they had 
become soft and then re-chilled. Room not serviced on one day.Read 
moreReview collected in partnership with this hotelDate of stay: January 
2020HelpfulShare</t>
  </si>
  <si>
    <t>Shaun C wrote a review Jan 2020Mondsee, Austria16 contributions4 helpful 
votes</t>
  </si>
  <si>
    <t>DisgustingCheck in was fine. Staff friendly. We had a twin room which was tiny. Beds 
were really small and the room( especially the bathroom) were in a terrible 
state. Breakfast was Luke warm and not worth the money. Enough small 
restaurants on the way to kings cross where you can get a cooked breakfast 
for less.Read moreDate of stay: January 2020HelpfulShareResponse from 
TravelodgeUK, Zack from The Social Media Team at Travelodge London Kings 
Cross Royal ScotResponded 21 Jan 2020Thank you for leaving your review. We 
are pleased to hear that you found our staff to be friendly during your 
stay, however we are sorry to hear of your disappointment with the size of 
the room you were allocated and with the breakfast served at the hotel.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</si>
  <si>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https://www.tripadvisor.co.uk/Hotel_Review-g186338-d243667-Reviews-or275-Travelodge_London_Kings_Cross_Royal_Scot-London_England.html#REVIEWS</t>
  </si>
  <si>
    <t>913DBarclay wrote a review Jan 2020Huddersfield, United Kingdom12 
contributions3 helpful votes</t>
  </si>
  <si>
    <t>Stay for Uni AuditionBooked Travelodge for place to stay when my son attended his uni audition. 
Fab location for Kings Cross and Urdang. Warm, friendly and welcoming 
staff, lovely clean rooms, excellent breakfast and fab night's sleep. Would 
definitely recommend.Read moreReview collected in partnership with 
TravelodgeDate of stay: January 2020HelpfulShare</t>
  </si>
  <si>
    <t>worldtravellerchch wrote a review Jan 2020Doncaster71 contributions28 
helpful votes</t>
  </si>
  <si>
    <t>Nice staff, good locationGood location travelodge, near to Kings Cross station and easy walking 
distance of all tourist attractions. The staff were friendly and 
accommodating. This hotel offers food and has a bar but is so near to many 
other nice cafes and restaurants. The only downside, is the hotel is tired 
and needs a re-vamp and re-decorate but that being said the bed was 
comfortable, the room clean and tidy and everything you need is included. i 
would stay again if the price was right.Read moreReview collected in 
partnership with this hotelDate of stay: December 2019HelpfulShare</t>
  </si>
  <si>
    <t>Ariana N wrote a review Jan 20201 contribution</t>
  </si>
  <si>
    <t>Rude receptionist!Was met by a rude receptionist. When I asked to leave my bags she asked “ 
how many” I turned to my friend and asked if she wanted to leave her bag 
to, before she was able to reply the woman repeated “ how many bags?” In a 
rude manner. I asked her to wait again and she just left the reception 
area. Afterwards a lovely male receptionist was very helpful!Read 
moreReview collected in partnership with TravelodgeDate of stay: January 
2020HelpfulShareResponse from TravelodgeUK, Zack from The Social Media Team 
at Travelodge London Kings Cross Royal ScotResponded 16 Jan 2020Thank you 
for taking the time to share your experience. We want all our guests to 
feel right at home when staying with us so we do sincerely apologise that 
our Team Members did not offer you the level of service we wish to offer 
all who stay with us. In our continuous effort to improve the service we 
offer, we have ensured that your comments have been passed to the Hotel so 
that this can be addressed directly with the team. Thank you again for 
letting us know about your stay.Read more</t>
  </si>
  <si>
    <t>timth0mas wrote a review Jan 2020Colne, United Kingdom3 contributions1 
helpful vote</t>
  </si>
  <si>
    <t>Just the jobNeeded a bed for the night with my daughter in the local hospital; the 
Travelodge Royal Scot was perfect. The evening receptionist was 
particularly helpful, professional and friendly. The room fittings were on 
the well-worn side, but no problem as everything was clean, tidy and 
comfortable.Read moreReview collected in partnership with this hotelDate of 
stay: January 2020HelpfulShare</t>
  </si>
  <si>
    <t>https://www.tripadvisor.co.uk/Hotel_Review-g186338-d243667-Reviews-or280-Travelodge_London_Kings_Cross_Royal_Scot-London_England.html#REVIEWS</t>
  </si>
  <si>
    <t>graceoliviagrace wrote a review Jan 20201 contribution</t>
  </si>
  <si>
    <t>Brill!Very good, staff very friendly and helpful. Rooms very neat and tidy. Would 
recommend to a friend. I would stay again. Brilliant location and easy 
travel routes to see all of london well. Food we well priced and 24hr 
service was great!Read moreReview collected in partnership with this 
hotelDate of stay: January 2020HelpfulShare</t>
  </si>
  <si>
    <t>Nicole M wrote a review Jan 20201 contribution</t>
  </si>
  <si>
    <t>Good price and lovely staffHad a great time visiting London, Travelodge was in a great location too. 
And we could store our bags after checkout so we could get some extra sight 
seeing in. Thanks to staff Bella and Joel. We have just stayed at the 
Gatwick travelodge and the Royal Scott is nicer by far.Read moreReview 
collected in partnership with this hotelDate of stay: January 
2020HelpfulShare</t>
  </si>
  <si>
    <t>dominikweiler wrote a review Jan 2020Koblenz, Germany1 contribution</t>
  </si>
  <si>
    <t>friendly and organized TravellodgeI can highly recommend the accomodation Travellodge, 5 minutes walk from 
the central Kings Cross tube station. The room was clean and cozy and the 
breakfast very comprehensive and delicious. You get the most of it during a 
short trip in Britains capital town London - I would stay there again!Read 
moreReview collected in partnership with this hotelDate of stay: January 
2020HelpfulShare</t>
  </si>
  <si>
    <t>https://www.tripadvisor.co.uk/Hotel_Review-g186338-d243667-Reviews-or285-Travelodge_London_Kings_Cross_Royal_Scot-London_England.html#REVIEWS</t>
  </si>
  <si>
    <t>HSCambridge wrote a review Jan 2020Cambridge, United Kingdom6 
contributions1 helpful vote</t>
  </si>
  <si>
    <t>Convenient and value for moneyGood location and one of the cheaper options in London. 24-hour check-in 
and cafe, which could be useful, but the water was rather overpriced so 
suggest you buy that elsewhere and bring it back to the room. The room was 
clean and we slept fine. My main issue with travelodge is the soap they 
choose for the bathrooms - it smells so bad that it puts me off washing my 
hands, so I suggest you bring your own hand/body/hair wash. Overall, a 
convenient stay and would probably choose it again because of the cost, but 
it wasn't a luxury.Read moreReview collected in partnership with 
TravelodgeDate of stay: January 2020HelpfulShare</t>
  </si>
  <si>
    <t>Philip M wrote a review Jan 20207 contributions</t>
  </si>
  <si>
    <t>Short stay in LondonThe reception staff are very friendly and helpful. The bed and bathroom 
were clean BUT the hotel is needing modernisation. Although we were not 
overly concerned with the rooms decor the carpets were not clean and looked 
like mold in one corner on the floor. Quite a few dirty marks on the wall. 
Looks like very basic cleaning of the rooms . Stayed in a holiday express 
in stevenage the next night which was far superior yet the same priceRead 
moreReview collected in partnership with TravelodgeDate of stay: January 
2020HelpfulShareResponse from TravelodgeUK, James from the Social Media 
Team at Travelodge London Kings Cross Royal ScotResponded 14 Jan 2020Thank 
you for reviewing our Travelodge London Kings Cross Royal Scot, We're happy 
to hear you were pleased with the service from the hotel's team during this 
stay with us as well as with the cleanliness of the bathroom but we're 
sorry to hear of the wear and tear experienced around the hotel as well as 
some of the cleanliness issues. Please rest assured the hotel managers 
check Tripadvisor reviews of their hotels so your comments will be reviewed 
by the hotel's team. Thank you again for leaving this review and we do hope 
that you choose to stay with us again in the future.Read more</t>
  </si>
  <si>
    <t>elinxm wrote a review Jan 20201 contribution</t>
  </si>
  <si>
    <t>Overall goodOverall good for a hotel in London for a couple of nights. Nothing special. 
The windows were thin, you could hear the traffic very well and it was cold 
during the night (even with the heat on). No fridge in the room. Close to 
Kings Cross underground station.Read moreReview collected in partnership 
with this hotelDate of stay: December 2019HelpfulShare</t>
  </si>
  <si>
    <t>https://www.tripadvisor.co.uk/Hotel_Review-g186338-d243667-Reviews-or290-Travelodge_London_Kings_Cross_Royal_Scot-London_England.html#REVIEWS</t>
  </si>
  <si>
    <t>georgioygabriel wrote a review Jan 20201 contribution</t>
  </si>
  <si>
    <t>Good hotel! Great beds and great breakfastThe bed was really good and the breakfast was great and had plenty of 
variety! We stayed there for a week and everything was great! The staff is 
really nice and helpful and always in great mood!! The only thing that I 
found that was not perfect is that the specific Travelodge at King's Cross 
needs a bit of renovation. I mean the walls and the wardrobes and the 
bathrooms were a little scratched but the rest was great!Read moreReview 
collected in partnership with this hotelDate of stay: December 
2019HelpfulShare</t>
  </si>
  <si>
    <t>Tamsin F wrote a review Jan 20201 contribution</t>
  </si>
  <si>
    <t>Awful nights sleep.We were staying for one night before a 5:00am Eurostar the next day. I 
think we ended up having 2 hours sleep overall. Somebody in the room next 
to us was either talking to someone or on a call. But their conversation 
was so loud, we could hear every word. I understand the travelodge can’t do 
anything about a loud guest, but we could hear everything because the walls 
were so thin, don’t appear to have any soundproofing and are clearly in 
need of maintenance. I wouldn’t stay here if you want to get a good nights 
sleep.Read moreDate of stay: December 2019HelpfulShareResponse from 
TravelodgeUK, Ben from the Social Media Team at Travelodge London Kings 
Cross Royal ScotResponded 12 Jan 2020Thank you for taking the time to share 
your experience of your stay at our London Kings Cross Royal Scot 
Travelodge with us. We’re sorry to hear that your experience was affected 
by noise from other guests. If customers are causing noise that may disrupt 
other guests our hotel teams will ensure that they politely ask them to 
lower the noise levels. We strive to make our customers as comfortable as 
possible and we would like to apologise if on this occasion we were not 
able to offer you a good night's sleep. Feedback is invaluable and our 
Hotel Managers regularly review their TripAdvisor reviews in order to fix 
any issues raised and pass on feedback to their team. We hope that there 
will be another occasion to welcome you again and improve your views on 
Travelodge.Read more</t>
  </si>
  <si>
    <t>dawnnelson888 wrote a review Jan 2020Nottingham, United Kingdom1 
contribution</t>
  </si>
  <si>
    <t>Overall viewThe staff were very accommodateing and always friendly towards you . 
Although the hotel is a little dated it is situated in a great location for 
getting into all the visitor sights from the train station and underground 
. The hotel also does a lovely buffet breakfast to set you up for the day . 
I would definitely come back .Read moreReview collected in partnership with 
this hotelDate of stay: January 2020HelpfulShare</t>
  </si>
  <si>
    <t>danslee2020 wrote a review Jan 20201 contribution</t>
  </si>
  <si>
    <t>AnnoyingBanging outside my room woke me up at 5.30 am was not impressed at all this 
was my second stay in this hotel n both times the experience haven't been 
good at all u have very little in the rooms my room was also freezing cold 
with a draft coming through the windowRead moreReview collected in 
partnership with this hotelDate of stay: January 2020HelpfulShareResponse 
from TravelodgeUK, Ben from the Social Media Team at Travelodge London 
Kings Cross Royal ScotResponded 12 Jan 2020Thank you for taking the time to 
write a review about our London Kings Cross Royal Scot hotel. We are sorry 
to learn that you found the room to be cold and you were disturbed by 
noise. We strive to make our customers as comfortable as possible and we 
would like to apologise if on this occasion we were not able to offer you a 
good night's sleep.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</si>
  <si>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https://www.tripadvisor.co.uk/Hotel_Review-g186338-d243667-Reviews-or295-Travelodge_London_Kings_Cross_Royal_Scot-London_England.html#REVIEWS</t>
  </si>
  <si>
    <t>GoPlaces672257 wrote a review Jan 20201 contribution</t>
  </si>
  <si>
    <t>TravelodgeGood hotel in good location. Rooms clean and tidy. However, Bella at 
reception was incredibly pushy in telling me and my party to leave good 
comments about her on Trip Advisor and on the Travelodge survey. She even 
wrote her name and a comment to give her 10/10 stars on our room key when 
we checked in, which I found to be very rude practice considering we had 
only been in the hotel for 5 minutes and she was already trying to push for 
a 10/10 rating. Cannot fault the hotel, but we didn’t appreciate the 
attitude of staff in pushing us on three separate occasions to review her. 
I feel that 10/10 ratings and Trip Advisor mentions should be given on the 
basis of excellent service, not from being pushed to do so.Read moreReview 
collected in partnership with this hotelDate of stay: January 
2020HelpfulShareResponse from TravelodgeUK, James from the Social Media 
TEam at Travelodge London Kings Cross Royal ScotResponded 12 Jan 2020Thank 
you for reviewing our Travelodge London Kings Cross Royal Scot Hotel. We're 
happy to hear you were pleased with the location of the hotel as well as 
the cleanliness of your room but we're very sorry to hear of the service 
from the hotel's team. Please rest assured the hotel managers check 
Tripadvisor reviews of their hotels so your comments will be reviewed by 
the hotel's team. Thank you again for leaving this review and we do hope 
that you choose to stay with us again in the future.Read more</t>
  </si>
  <si>
    <t>luzmorais wrote a review Jan 20201 contribution</t>
  </si>
  <si>
    <t>RecommendableGreat location, 10-minute walk to Kings Cross Station and St. Pancras 
International; comfortable rooms, but in need of some refurbishment. 
Breakfast could be better (no cheese or ham available and there was only 
one type of bread).Read moreReview collected in partnership with this 
hotelDate of stay: December 2019HelpfulShare</t>
  </si>
  <si>
    <t>Gaurav J wrote a review Jan 20205 contributions1 helpful vote</t>
  </si>
  <si>
    <t>Stay at TravelodgeExcellent stay at the hotel. Bella and the team were fantastic. The 
breakfast was very good and the room was comfortable. I'd stay again. I 
also had the dinner at the hotel itself and that was very nice too.Read 
moreReview collected in partnership with this hotelDate of stay: January 
2020HelpfulShare</t>
  </si>
  <si>
    <t>rachjackson21 wrote a review Jan 2020Sheffield, United Kingdom1 contribution</t>
  </si>
  <si>
    <t>Good place to stayStayed here for a night when seeing a show so we were close to the train 
station. About a 10 minute walk from Kings Cross and St Pancras and £6 in a 
taxi if you have a lot of luggage. Friendly staff and a good breakfast in 
the large cafe/bar area. Room only had 2 tiny windows which didn’t open and 
it was next to the staff room which was being used throughout the night 
with the door banging but overall not a bad place.Read moreReview collected 
in partnership with this hotelDate of stay: January 2020HelpfulShare</t>
  </si>
  <si>
    <t>https://www.tripadvisor.co.uk/Hotel_Review-g186338-d243667-Reviews-or300-Travelodge_London_Kings_Cross_Royal_Scot-London_England.html#REVIEWS</t>
  </si>
  <si>
    <t>https://www.tripadvisor.co.uk/Hotel_Review-g186338-d1812157-Reviews-or420</t>
  </si>
  <si>
    <t>nadmostebedford wrote a review Jan 2020Bedford, United Kingdom1 contribution</t>
  </si>
  <si>
    <t>Christmas at the Royal ScotThe Royal Scot has the most wonderful staff, friendly, smiley, helpful... 
so welcoming, from Bella at the reception to the restaurant staff. This was 
the best feature of our stay. The room was very clean and quiet so we had a 
very good sleep. I also liked the fact that the Royal Scot employed someone 
who could not speak but was able to communicate with us. This is equal 
opportunity in action. It was lovely to be allowed extra tea or coffee bags 
at the reception desk.Read moreReview collected in partnership with this 
hotelDate of stay: December 2019HelpfulShare</t>
  </si>
  <si>
    <t>Simon B wrote a review Jan 2020Greater London, United Kingdom5 
contributions4 helpful votes</t>
  </si>
  <si>
    <t>PerfectJoell was especially helpful at check inn There are lots of places nearby 
for food and drink but the property also offers things as well. Great value 
considering the time of year will be back again. ThanksRead moreReview 
collected in partnership with this hotelDate of stay: January 
2020HelpfulShare</t>
  </si>
  <si>
    <t>https://www.tripadvisor.co.uk/Hotel_Review-g186338-d243667-Reviews-or305-Travelodge_London_Kings_Cross_Royal_Scot-London_England.html#REVIEWS</t>
  </si>
  <si>
    <t>J S wrote a review Jan 2020Arbroath, United Kingdom28 contributions23 
helpful votes</t>
  </si>
  <si>
    <t>Another Comfortable Visit.Always use the Royal Scot Travelodge at King's Cross when in London. Very 
helpful, friendly staff (Rachel was excellent when we checked out on Monday 
- friendly, professional and made us feel as if our custom was important to 
her.) - who are always on hand to ensure that guests have everything they 
need for a comfortable stay. Rooms are clean, comfortable and serviced 
daily if requested via the pink card which is hung on the door in the 
morning. Really powerful shower, hair/hand/body wash provided as well as 
nice big towels (changed daily if requested.) Typical Travelodge style- no 
frills or fancies but absolutely everything available to make for a very 
comfortable stay - hairdryer/iron and board available on request at 
reception and also plentiful supplies of extra coffee…Read moreReview 
collected in partnership with this hotelDate of stay: January 
2020HelpfulShare</t>
  </si>
  <si>
    <t>jjbrien wrote a review Jan 2020Dublin, Ireland56 contributions25 helpful 
votes</t>
  </si>
  <si>
    <t>Meh probably the worst traveloge I have stayed in so farGoing by other traveloge hotels we have stayed in this one has to be the 
worst one in the UK. Firstly when we got to the hotel the doors leading 
into the hotel were broken this was a sign of things to come for us. Got to 
reception and found a very long queue for check in. After 10 mins in the 
queue the lady was told by another staff member that only ground floor 
rooms were available and she allocated us room 4. Got to the room it was 
right next the elevator and found that you could hear every single guest 
coming and going and banging the main door to the rooms and lifts. I then 
went to reception had to wait again to change rooms as none were in the 
system this was around 4pm. We were moved after 30 mins to room 528. We 
found this room to have seen better days. Decor was very old…Read moreDate 
of stay: January 2020HelpfulShareResponse from TravelodgeUK, Zack from The 
Social Media Team at Travelodge London Kings Cross Royal ScotResponded 8 
Jan 2020Thank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</si>
  <si>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Mark H wrote a review Jan 2020Tolochenaz, Switzerland48 contributions27 
helpful votes</t>
  </si>
  <si>
    <t>but it claims to be a 3-star...Ok. We opted for a low budget hotel, and we were expecting a low budget, 
but still... even a low budget hotel can take the time to unblock the 
bathroom plughole so that your feet don't swim in the last guest's hair. 
Low budget can also stretch to replacing the light bulbs in the bathroom so 
that shaving isn't a matter of guesswork. To be fair, they did replace the 
one in room 529, but not the one in 525. And the plughole remained blocked 
throughout our stay. A strange thing: On arriving, we were told that the 
rooms we had booked and paid for by internet had not actually been paid for 
and that we would have to pay again but that the money that had already 
been deducted from out account would be re-credited to my credit card - at 
some later stage (don't worry). The last time I…Read moreDate of stay: 
January 2020HelpfulShareResponse from TravelodgeUK, Ben from the Social 
Media Team at Travelodge London Kings Cross Royal ScotResponded 11 Jan 
2020Thank you for taking the time to write a review about our London Kings 
Cross Royal Scot hotel. We're pleased to hear that the bed was comfortable, 
you liked the breakfast, you found the hotel team to be friendly and 
helpful and that Rachel and Marta stood out during your stay however we are 
sorry to learn of your disappointment with the room you were provided 
during your stay and that you believe you have been charged twice for your 
reservation. Some non-UK account providers will not allow us to take funds 
for bookings when they are created however they may place these into a 
holding account temporarily but this will be released back to you. If the 
funds have not yet been released by your bank we would advise speaking to 
them directly as it will be up to them to release the payment. If you wish 
to contact us directly to give us more feedback, please be aware that you 
can always contact our Customer Services team via our website. Feedback is 
invaluable and our Hotel Managers regularly review their TripAdvisor 
reviews in order to fix any issues raised and pass on feedback to their 
team. Thank you once again and we do hope you will stay with us in the 
future.Read more</t>
  </si>
  <si>
    <t>Pioneer479362 wrote a review Jan 20201 contribution1 helpful vote</t>
  </si>
  <si>
    <t>Good standard hotelIdeally situated hotel for main line stations and Eurostar. Clean, simple 
rooms. Very pleasant and helpful staff. Good breakfast and reasonably 
priced evening meal. Arranging for a taxi was no problem.Read moreReview 
collected in partnership with this hotelDate of stay: December 20191 
Helpful voteHelpfulShare</t>
  </si>
  <si>
    <t>https://www.tripadvisor.co.uk/Hotel_Review-g186338-d243667-Reviews-or310-Travelodge_London_Kings_Cross_Royal_Scot-London_England.html#REVIEWS</t>
  </si>
  <si>
    <t>wrightlesley wrote a review Jan 2020Crieff, United Kingdom31 contributions8 
helpful votes</t>
  </si>
  <si>
    <t>Lovely friendly staffAlways love coming here and it is heartening to see familiar faces such as 
Bella amongst the staff. Makes you feel at home. Would choose this hotel 
every time I come to London for good access to King's Cross etcRead 
moreDate of stay: January 2020HelpfulShare</t>
  </si>
  <si>
    <t>ClaParnell wrote a review Jan 20203 contributions2 helpful votes</t>
  </si>
  <si>
    <t>Basic, poor service and no sleepVery basic hotel and would have done if we had actually been able to sleep 
Booked to save driving home late after a night I London But car parking 
easy but paying was hard work as Tel number not working correctly and 
machine difficult to follow and the third card eventually worked and pitch 
black Staff unhelpful apart from 1 lady on reception. Within congestion 
charge so charged on day returning home as a Monday costs were incurred... 
only meters in congestion zone too... and in fact could have parked on the 
roads locally for free Snd out of congestion zone. On top of that the hotel 
fire alarm was going off in early hours... �� Had just got to sleep, And 
then unable to get back to sleep. Complete waste of money Should have 
driven home after show or stayed elsewhere Never againRead moreReview 
collected in partnership with this hotelDate of stay: December 
2019HelpfulShareResponse from TravelodgeUK, Niki from The Social Media Team 
at Travelodge London Kings Cross Royal ScotResponded 7 Jan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</si>
  <si>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Ehab K wrote a review Jan 20201 contribution</t>
  </si>
  <si>
    <t>A nice hotel to stayThe hotel is in a great location; very close (within a walking distance) 
from King's Cross, and not far from Euston Train Station. available public 
transport all the time to all London's attractions. Many restaurants and 
cafes are around. Friendly and helpful staff members.Read moreReview 
collected in partnership with TravelodgeDate of stay: January 
2020HelpfulShare</t>
  </si>
  <si>
    <t>https://www.tripadvisor.co.uk/Hotel_Review-g186338-d243667-Reviews-or315-Travelodge_London_Kings_Cross_Royal_Scot-London_England.html#REVIEWS</t>
  </si>
  <si>
    <t>Kanesha B wrote a review Jan 2020Kingston-upon-Hull, United Kingdom1 
contribution</t>
  </si>
  <si>
    <t>The worst Travelodge I’ve ever stayed in.Firstly this hotel is in desperate need of renovation, Travelodge have 
clearly taken over a 60’s hotel and stuck their branding on it which does 
not look great for them. We’ll start with a positive, the Hotel is in a 
really good location for transport links being a 10 minute walk from Kings 
Cross/St Pancras, and easy access to black cabs etc That said the location 
isn’t great in terms of looks, there a quite a few unsavoury characters 
hanging around and anyone nervous of this would not want to be walking to 
and from the hotel to visit the nicer parts of London. The place is falling 
apart, the main doors didn’t work, which isn’t an issue but they were heavy 
and clunky and could cause someone an injury. There doesn’t seem to be any 
step free access for the lobby, so if you’re…Read moreReview collected in 
partnership with this hotelDate of stay: January 2020HelpfulShareResponse 
from TravelodgeUK, Ben from the Social Media Team at Travelodge London 
Kings Cross Royal ScotResponded 11 Jan 2020Thank you for taking the time to 
write a review about our London Kings Cross Royal Scot hotel. We're pleased 
to hear that you liked the hotels location however we are sorry to learn of 
your disappointment with the area, the room you were provided during your 
stay and the service from the team.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</si>
  <si>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SallyB69 wrote a review Jan 2020Bridgwater, United Kingdom312 
contributions114 helpful votes</t>
  </si>
  <si>
    <t>Overnight for Theatre visitQuite a long way from Drury Lane, but easy on the tube. Comfortable room, 
although a bit noisy with the window open, tiny bathroom, but functional. 
Clean and tidy. Breakfast efficient and at a good temperature. Got a cab 
back from Drury Lane and it was £12.20 on the clock, so not bad. it's an 
old hotel, but staff good, would recommend for the price.Read moreDate of 
stay: January 2020HelpfulShare</t>
  </si>
  <si>
    <t>NoHiddenSecret wrote a review Jan 2020Vancouver, Canada1 contribution</t>
  </si>
  <si>
    <t>Ok location but the mediocre roomThe hotel is located less than 10 min walk from King Cross and St. Pancras 
which is the best part of the hotel and perhaps the only one. The hotel is 
run-down and in need of renovation. The staff was not the most helpful or 
friendly either compared to other staff I've experienced at other 
locations.Read moreReview collected in partnership with TravelodgeDate of 
stay: January 2020HelpfulShare</t>
  </si>
  <si>
    <t>Sarah W wrote a review Jan 2020Stroud, United Kingdom86 contributions32 
helpful votes</t>
  </si>
  <si>
    <t>Convenient, clean and comfortable.Joel at reception was helpful. I didn’t eat there so cannot comment on the 
food. Would stay again if travelling from St. Pancreas station. I don’t 
know what else to write but it has to be 200 characters!Read moreReview 
collected in partnership with this hotelDate of stay: January 
2020HelpfulShare</t>
  </si>
  <si>
    <t>mralexeast wrote a review Jan 20201 contribution</t>
  </si>
  <si>
    <t>Very friendly staffVery friendly staff regardless of the time. Great value room, comfy beds, 
clean room and linen, etc. Three nice and quick elevators! A long corridor 
of rooms so it was a bit noisy as a lot of guests are less than 
thoughtful...but that's not the fault of the Travelodge. I would stay 
again.Read moreReview collected in partnership with this hotelDate of stay: 
January 2020HelpfulShare</t>
  </si>
  <si>
    <t>https://www.tripadvisor.co.uk/Hotel_Review-g186338-d243667-Reviews-or320-Travelodge_London_Kings_Cross_Royal_Scot-London_England.html#REVIEWS</t>
  </si>
  <si>
    <t>Meander76863 wrote a review Jan 20201 contribution</t>
  </si>
  <si>
    <t>Marinel VelosoI am happy with this Travelodge near kings cross, and so with the other 
branches. Have always stayed with Travelodge in Manchester, in Hounslow, in 
Heathrow. I love it here in Royal Scot because not only are we near kings 
cross, but also different eating places,Read moreReview collected in 
partnership with this hotelDate of stay: December 2019HelpfulShare</t>
  </si>
  <si>
    <t>Amy L wrote a review Jan 20203 contributions1 helpful vote</t>
  </si>
  <si>
    <t>Overnight stayIdeal if you are staying somewhere to access Kings Cross /St Pancras but 
the hotel itself is dated. The front doors didn’t work properly, there were 
deliveries to the hotel early hours of the morning and if your luckily 
enough to have a bedroom near the loading dock you’ll be awake for hours! 
Above the bed were two badly positioned lamps that when you sat up in bed 
smashed your head on the light! Tramps outside don’t leave you alone for 
money or cigarettes! I wouldn’t stay here again!Read moreReview collected 
in partnership with TravelodgeDate of stay: January 
2020HelpfulShareResponse from TravelodgeUK, Niki from The Social Media Team 
at Travelodge London Kings Cross Royal ScotResponded 6 Jan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</si>
  <si>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morts08 wrote a review Jan 2020Nottingham, United Kingdom1 contribution</t>
  </si>
  <si>
    <t>Overnight stay for showHad a great stay. The room was clean and as booked. A little small for 2 
girls getting ready for a night out but was adequate for 1 night. The 
reception staff were excellent when we checked in and Rachel and Dione 
couldn’t have been better when we checked out. The hotel is close enough to 
walk to and from the train/tube stations and restaurants but probably not 
enough for people with walking difficulties. Really enjoyed our stay and 
will stay next visit. Thank you.Read moreReview collected in partnership 
with this hotelDate of stay: January 2020HelpfulShare</t>
  </si>
  <si>
    <t>Trip18021305932 wrote a review Jan 20202 contributions</t>
  </si>
  <si>
    <t>Great value, great location and clean with friendly staffNeeded a quick overnight in London while travelling . Ten minutes walk to 
Kings cross, friendly and helpful staff. The room are a bit smal” and jaded 
but compensated by the friendly staff, the great location and it was clean 
and wel” maintained . At this price represents great value .Read moreReview 
collected in partnership with TravelodgeDate of stay: January 
2020HelpfulShare</t>
  </si>
  <si>
    <t>marinaC9321KF wrote a review Jan 20201 contribution</t>
  </si>
  <si>
    <t>Lovely customer serviceI have initially booked two nights with savers rate which I could not 
amend. As I realised closer to the day of travel that I needed to stay an 
extra night, I booked one more night online. During my trip to London, I 
had fallen ill and I must say, all the staff at Royal Scot were attentive. 
Miguel at the reception was amazing and he made sure I stayed in the same 
room without needing to check in and out again for the additional night. He 
was wonderful. Quite honestly, the hotel is basic and there was no lifts to 
the floor I stayed at which was not great given my poor health and two 
massive suitcases. I just hope they look after their staff because people 
like Miguel and his colleagues make all the difference and are the reason 
for my 5 stars!Read moreReview collected in partnership with this hotelDate 
of stay: January 2020HelpfulShare</t>
  </si>
  <si>
    <t>https://www.tripadvisor.co.uk/Hotel_Review-g186338-d243667-Reviews-or325-Travelodge_London_Kings_Cross_Royal_Scot-London_England.html#REVIEWS</t>
  </si>
  <si>
    <t>Mason wrote a review Jan 20201 contribution</t>
  </si>
  <si>
    <t>My Stay at the Royal ScotWe have always had long stays at the Royal Scot and the staff and hotel 
have always been excellent and very accommodating. This time we stayed only 
for 14 nights over Christmas and the new year of 2019. Rachel was the 
member of staff we saw and spoke to the most. She helped with room 
allocation, and also with a minor glitch we had with the WiFi provider. The 
problem was sorted immediately, despite it being boxing day. For any type 
of visit, I would recommend the Royal Scot, Travelodge in London. It is 
accommodating, reasonably priced and is central to everything you need, 
with kind and helpful staff at all times. It has been a home from home for 
us more than once!Read moreDate of stay: December 2019HelpfulShare</t>
  </si>
  <si>
    <t>markw20191 wrote a review Jan 2020Birmingham, United Kingdom44 
contributions18 helpful votes</t>
  </si>
  <si>
    <t>TravlodgeI posted a review on this a couple of years ago and wasnt especially 
complimentary In fairness, it has improved. It needed a lick of paint and 
it looks like it has been tidied up a bit, although the automatic front 
door was broken guests had to open them by hand! Generally, this is what 
you expect for a Travelodge. Relatively cheap and cheerful, no thrills. My 
room was clean and tidy and the shower worked well. There was something of 
a queue on arrival, which I could have done without, although that may have 
been down to the guests as opposed to staff. Location wise, this is pretty 
good. You're close enough to kings cross from where u can get to most bits 
of London relatively easily.Read moreReview collected in partnership with 
TravelodgeDate of stay: December 2019HelpfulShare</t>
  </si>
  <si>
    <t>https://www.tripadvisor.co.uk/Hotel_Review-g186338-d243667-Reviews-or330-Travelodge_London_Kings_Cross_Royal_Scot-London_England.html#REVIEWS</t>
  </si>
  <si>
    <t>vdschilt wrote a review Jan 20202 contributions</t>
  </si>
  <si>
    <t>perfect located affortable hotelThe location is perfect for your stat in London. Near public transport and 
restaurants / pubs. The staff is very competent and friendly. Breakfast is 
good and more then enough choices of food. The room is simple but 
satisfying. Good beds, clean room. Shower was clean and good. The room 
isn't big but when you're in London you will probably not stay in your room 
for long.Read moreReview collected in partnership with TravelodgeDate of 
stay: December 2019HelpfulShare</t>
  </si>
  <si>
    <t>Donna wrote a review Jan 20201 contribution</t>
  </si>
  <si>
    <t>ReviewTravelodge rooms were clean but need updating the only criticism i have �� 
The staff are super friendly and helpful especially AYAN true asset to 
travelodge and i wish her luck in her relatively new roll ��������Read 
moreDate of stay: December 2019HelpfulShare</t>
  </si>
  <si>
    <t>cladougie2020 wrote a review Jan 2020Tonbridge, United Kingdom1 contribution</t>
  </si>
  <si>
    <t>Generally a good place to stayA conveniently placed hotel with a lot of amenities nearby . We had an 
inward facing courtyard room which was fairly quiet. We travelled for New 
Year's Eve and there is a bar area and restaurant on the ground floor 
overlooking the road.Read moreReview collected in partnership with this 
hotelDate of stay: December 2019HelpfulShare</t>
  </si>
  <si>
    <t>davina129 wrote a review Jan 2020London, United Kingdom3 contributions</t>
  </si>
  <si>
    <t>https://www.tripadvisor.co.uk/Hotel_Review-g186338-d1812157-Reviews-or425</t>
  </si>
  <si>
    <t>Great StayStayed for 1 night with a friend, polite and wonderful stuff and we had a 
pleasant stay. We made use of the facilities including breakfast and the 24 
hr bar. Thank you to all staff like Rachel who made our stay 
comfortable.Read moreReview collected in partnership with this hotelDate of 
stay: January 2020HelpfulShare</t>
  </si>
  <si>
    <t>https://www.tripadvisor.co.uk/Hotel_Review-g186338-d243667-Reviews-or335-Travelodge_London_Kings_Cross_Royal_Scot-London_England.html#REVIEWS</t>
  </si>
  <si>
    <t>hjeanette48 wrote a review Jan 20201 contribution</t>
  </si>
  <si>
    <t>highly reccommendgreat hotel for the price. staff are all really friendly, 5 minute walk 
from kings cross station. able to leave bags there after checking out which 
is ideal for late train home. beds comfy. great to have a bath rather than 
just a shower. good heater. love that you can order pizza after a late 
night out (tastes great too)Read moreReview collected in partnership with 
this hotelDate of stay: December 2019HelpfulShare</t>
  </si>
  <si>
    <t>Roger C wrote a review Dec 2019Durham, United Kingdom63 contributions24 
helpful votes</t>
  </si>
  <si>
    <t>Nice staff but tired hotel in gritty area.A ten minute walk from Kings Cross through one of the seediest part of 
London. The foyer, and lifts have obviously been renovated, but the rooms 
are very tired and grubby. Our room was in a basement with the view of a 
wall with a strip of sky making it feel like a prison cell. The staff are 
efficient and very friendly, but the poor condition of the hotel let’s them 
down.Read moreReview collected in partnership with this hotelDate of stay: 
December 2019HelpfulShare</t>
  </si>
  <si>
    <t>Amanda wrote a review Dec 2019London, United Kingdom2 contributions</t>
  </si>
  <si>
    <t>Lovely quiet room and great staffWe often stay at this hotel. A little off the beaten track but only a few 
minutes from Kings Cross St Pancras. It is perfect for us with easy access 
of almost anywhere. The staff always provide a gold star service. Rooms are 
quiet and beds comfortable. We don't eat breakfast in hotels so can't 
comment on the breakfast or other meals. We will be back though!Read 
moreReview collected in partnership with this hotelDate of stay: December 
2019HelpfulShare</t>
  </si>
  <si>
    <t>Victoria wrote a review Dec 2019Farnborough, United Kingdom44 
contributions22 helpful votes</t>
  </si>
  <si>
    <t>Weekend away with friendsWe booked this hotel for my friends boyfriends birthday as we was spending 
the night in London. We booked in advance and paid £60 for the room which 
in all honestly is more than this hotel is worth. The rooms were small, 
bathrooms smaller than my downstairs toilet and very dated, no USB sockets, 
which for a travelodge seems strange. We didn’t book breakfast as was 
horrendously over priced. Found it very odd that no hair dryers in the 
room, you have to book one at reception. Fortunately on Sunday morning 
there was one there so I could dry my hair. I wouldn’t return, for an extra 
£40 you can get a much more luxurious hotel closer to the city.Read 
moreDate of stay: December 2019HelpfulShareResponse from TravelodgeUK, Ben 
from the Social Media Team at Travelodge London Kings Cross Royal 
ScotResponded 7 Jan 2020Thank you for taking the time to write a review 
about our London Kings Cross Royal Scot hotel. We are sorry to learn that 
you did not find your room to be of great value, and we are sorry to learn 
of the disappointment caused by other aspects of your stay.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We 
appreciate all the feedback we receive and our Hotel Managers regularly 
review their TripAdvisor reviews in order to fix any issues raised and pass 
on feedback to their team. Thank you once again and we do hope you will 
stay with us in the future.Read more</t>
  </si>
  <si>
    <t>tonoalvarezcruz wrote a review Dec 20191 contribution</t>
  </si>
  <si>
    <t>Good but trouble on payment :(Got charged double and can't get explanations more my money back. Deeply 
affected my New Year's Eve trip in the city. Tried by several ways and 
nobody can't give me any information. Disappointed on that. But everything 
else very good. Breakfast is great and lots of options.Read moreReview 
collected in partnership with TravelodgeDate of stay: December 
2019HelpfulShareResponse from TravelodgeUK, Ben from the Social Media Team 
at Travelodge London Kings Cross Royal ScotResponded 1 Jan 2020We 
appreciate the time you have taken to review our hotel. We're pleased to 
hear that you liked the breakfast and enjoyed your stay however we are 
sorry to learn that you believe you have been charged twice for your 
reservation. Some non-UK account providers will not allow us to take funds 
for bookings when they are created however they may place these into a 
holding account temporarily but this will be released back to you. If the 
funds have not yet been released by your bank we would advise speaking to 
them directly as it will be up to them to release the payment. If you wish 
to contact us directly to give us more feedback, please be aware that you 
can always contact our Customer Services team via our website. Thank you 
again for reviewing our hotel.Read more</t>
  </si>
  <si>
    <t>https://www.tripadvisor.co.uk/Hotel_Review-g186338-d243667-Reviews-or340-Travelodge_London_Kings_Cross_Royal_Scot-London_England.html#REVIEWS</t>
  </si>
  <si>
    <t>Elaine M wrote a review Dec 2019Aberdeen, Scotland, United Kingdom5 
contributions16 helpful votes</t>
  </si>
  <si>
    <t>Be more Bella.If all the staff were Bella it would be amazing. Bella was cheery, helpful 
and friendly, just want you want when in a new area. Room was basic but ok. 
Bathroom was shabby. Lifts were quick. Location is good.Read moreReview 
collected in partnership with this hotelDate of stay: December 
2019HelpfulShare</t>
  </si>
  <si>
    <t>Donna B wrote a review Dec 20195 contributions2 helpful votes</t>
  </si>
  <si>
    <t>Good central locationWe used this hotel because it is a good central location in the city . 
Whenever in London we use either this hotel or the Farringdon Travelodge 
which is a few hundred feet up the road because not only are they close to 
kings cross station so handy for travelling but also Many of the main 
attractions in the city are accessible on foot. The staff are usually keen 
to help, the hotel is clean and the rooms well maintained and 
comfortable.Read moreReview collected in partnership with TravelodgeDate of 
stay: December 2019HelpfulShare</t>
  </si>
  <si>
    <t>E7931UWanne wrote a review Dec 2019Beverley, United Kingdom14 contributions</t>
  </si>
  <si>
    <t>Very good value for moneyExcellent stay. We booked quite a bit in advance so were able to get the 
cheapest price. My daughter and I shared a twin room, it was spotlessly 
clean. The only thing I would say is a negative is that the breakfast in on 
the expensive side for the choice you get but as my daughter's breakfast 
was free, it made it much better value for money.Read moreReview collected 
in partnership with this hotelDate of stay: December 2019HelpfulShare</t>
  </si>
  <si>
    <t>Ali S wrote a review Dec 2019London, United Kingdom1 contribution</t>
  </si>
  <si>
    <t>Amazing serviceNatlija was very friendly and helpfultgansl for your advise about the 
places to visit as I was visiting London for at time. Thanks for making my 
visit amazing I stayed there for 1 night and service was amazing.for the 
price what I have got can't complain.Read moreDate of stay: December 
2019HelpfulShare</t>
  </si>
  <si>
    <t>https://www.tripadvisor.co.uk/Hotel_Review-g186338-d243667-Reviews-or345-Travelodge_London_Kings_Cross_Royal_Scot-London_England.html#REVIEWS</t>
  </si>
  <si>
    <t>kateS3364ZY wrote a review Dec 2019Grantham, United Kingdom2 contributions</t>
  </si>
  <si>
    <t>Xmas holiday trip to LondonSlightly outdated room; could do with a refurb. The bed was comfortable. 
Good overall price compared to alternatives. Service was very good from 
staff. Didn’t try the restaurant, appeared to be restricted space / 
customers quite squashed in.Read moreReview collected in partnership with 
this hotelDate of stay: December 2019HelpfulShare</t>
  </si>
  <si>
    <t>MelTheFrenchy wrote a review Dec 2019Lille, France1 contribution</t>
  </si>
  <si>
    <t>Great place !Our Journey was a surprise for my boyfriend's Christmas. He was really 
happy. The Hôtel was Nice and comfy. The only negative point is, perhaps, 
the soundproofing. However, for four days, it was not a problem. Thanks to 
the team our Journey was really good ! Thank you so much !Read moreReview 
collected in partnership with this hotelDate of stay: December 
2019HelpfulShare</t>
  </si>
  <si>
    <t>Andy C wrote a review Dec 20194 contributions</t>
  </si>
  <si>
    <t>Ionel wrote a review Apr 20202 contributions</t>
  </si>
  <si>
    <t>Wifes Birthday Weekend.This hotel was perfect for what we needed and the easy access to Kings 
Cross station just 10 mins walk away gave us a good base for tube trips 
around the city. The Hotel was clean and spaceous with a great buffet 
breakfast,the room was spot for crashing out at the end of the day. Hotel 
staff couldn't do enough for us and were always friendly. Maria worked 
tirelessly doing barwork or breakfast duties etc but always asked us about 
our days exploits. Bella and Dione at reception were always very polite and 
cheerful to greet us in and out. Great room price,location and staff 
service would see us stay here again.Read moreDate of stay: December 
2019HelpfulShare</t>
  </si>
  <si>
    <t>AwfulThis accommodation is not so great for the money they ask for, and is a 
basic basic options they offer you, the internet you may expect to be free 
in a hotel but here is just a 30min free. This hotel is appalling, they 
charge £60 for a night even though you must pay extra for internet and they 
clean the rooms once a week and it has just a very small window also the 
securities attitude towards guests is rude and they look down on you same 
as the woman manager which she has the impression that she owns that hotel 
and the guests are just cash cows, my bad experience was culminating when I 
was sitting apparently in a forbidden hotel area (even though there were no 
signs) and the security guy asked me to leave when I asked him why he 
replied " because I say so" and normally I asked him to show me a document 
that back up his words and he just took me from the chair and trow me out 
of the hotel and in the process he managed to give me few bruises because 
of the excessive force he used (even though I was opposed any resistance) 
and he banned me for 2 hours did I mentioned that I was a guest in that 
hotel? Then I asked the hotel manager about the security attitude and she 
replied that there is no need for signs of forbidden areas (but every 2 
nights to be disturbed in your room at 10pm by hotel staff to tell you that 
smoking in hotel is forbidden and even give you hard copies of the warning 
is needed. Her attitude towards me was like she was God and I was just an 
ant, " I'm the manager of this hotel and you shouldn't interrupt me while 
I'm speaking" she didn't know to manage the situation or what are the 
guests rights which leads me to conclusion that she got that job because of 
quota's.…Read moreDate of stay: April 2020Trip type: Travelled with 
friendsHelpfulShareResponse from TravelodgeUK, Ben from the Social Media 
Team at Travelodge London Waterloo HotelResponded 5 weeks agoThank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</si>
  <si>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MartinMJ22 wrote a review Apr 2020North Wales83 contributions73 helpful 
votes</t>
  </si>
  <si>
    <t>https://www.tripadvisor.co.uk/Hotel_Review-g186338-d243667-Reviews-or350-Travelodge_London_Kings_Cross_Royal_Scot-London_England.html#REVIEWS</t>
  </si>
  <si>
    <t>Doreen H wrote a review Dec 2019Shrewsbury, United Kingdom8 contributions7 
helpful votes</t>
  </si>
  <si>
    <t>Royal Scott Londonthe staff were excellent - which is why i have given the rating of very 
good. However, the plumbing in the bathroom and the lack of soft closing 
room doors really let the hotel down. we stayed for 6 nights and sleep was 
seriously disturbed by other guests letting their doors close automatically 
which led to a loud bang - this was frequent throughout the night and early 
hours.Read moreReview collected in partnership with this hotelDate of stay: 
December 2019HelpfulShare</t>
  </si>
  <si>
    <t>Daydream14932986831 wrote a review Dec 20191 contribution</t>
  </si>
  <si>
    <t>A fantastic place to stay for tourists on London!We stayed here for 5 nights for my wifes birthday in July 2019. We have 
stayed in several places around London and we picked this for a combination 
of location and price - essentially it was the best value and near the area 
we know well (Waterloo). Location - It is a leisurely 12-15 minute 
leisurely walk to The London Eye, Sealife Centre, Shrek Adventure, Tower of 
London, Big Ben, Houses of Parliament and others. It is about 7 ish minutes 
walk to Waterloo bridge and only a couple of minutes walk to The Old Vic. 
There is an underground station about 5 minutes walk away. We found it 
really handy location wise - just a tiny bit out of the really loud centre 
but only a few minutes walk away when you wanted to get there. Locally 
there were takeaways, a really handy newsagents and a couple of restaurants 
all within 1 minute walk. There were a couple of small supermarkets about 
2-4 minutes walk away. 9/10 Safety - The area felt safe. We did see some 
homeless people, and a couple of people who appeared to be suffering the 
effects of having taken something down the road - but this was a few 
minutes down the road and it is London so you are going to see these things 
sometimes unfortunately. We always felt safe, but obviously like any big 
city you shouldnt be walking around by yourself in the wee hours. 8/10 
Welcome area, facilities &amp; check in - Has a nice little seating area, a 
check in desk, a couple of automated check in machines, a bar area (with 
free water with fruit in it on the desk), some TV's. We didnt eat at the 
restaurant but it looked really nice, good sized seating and the breakfast 
looked delicious. Everything you need. 9/10 Rooms - Firstly, the rooms had 
AIR CON!!! It was the UK's second hottest day ever and London's hottest 
ever at just over 38C; so the air con and free water were absolutely 
incredible to come back to after a long day. Travelodge's ive stayed at in 
the past havent really dealt very well with heat, so for this one to have 
these was amazing. The room was on the ground floor and it was pretty 
small. The shower was nice, a good temperature and easy to use. The bed was 
comfortable and had USB connectors for you to charge your phone next to the 
bed which was awesome. The TV was good, we connected our fire stick to the 
TV and then paid for the wifi to watch and it was really decent. The 
storage space and hanging space for clothes was really poor, think there 
was about four hangers and no cupboard space at all. Overall a small room, 
but it did for us. 7/10 Outside facilities - We used food delivery services 
such as Just Eat and Foodhub as well as Uber and they were all great. There 
isnt an allocated place for them to stop but there is a small side road 
right next to the hotel so most went there. Overall we really enjoyed our 
stay and we would definitely go back; in fact if we go to London again 
anytime soon we almost certainly will go back. A really good place to stay! 
8/10…Read moreDate of stay: July 2019LocationCleanlinessService1 Helpful 
voteHelpfulShare</t>
  </si>
  <si>
    <t>Base for assault on British MuseumThis was my third attempt at seeing everything in the British Museum... and 
third time at this travelodge. Close to king’s cross station and the 
museum. Hearty breakfast in the morning then a brisk walk to Bloomsbury. 
Saw everything from the ancient world. Having read the Old Testament, I saw 
all of the ancient, cultural,artefacts that the bible mentions, such as: 
Hittites; Egypt; philistines, Assyria, Babylon, Greeks and Romans. What a 
great place to connect us to all these past civilisations. Well, these 
budget Travelodge allowed me to do this.Read moreReview collected in 
partnership with this hotelDate of stay: December 2019HelpfulShare</t>
  </si>
  <si>
    <t>Lewis O wrote a review Dec 2019Stratford-upon-Avon, United Kingdom3 
contributions1 helpful vote</t>
  </si>
  <si>
    <t>Neil Cottam wrote a review Mar 2020Kilburn, United Kingdom20 contributions4 
helpful votes</t>
  </si>
  <si>
    <t>Good London baseIt’s a good location and has a good bar. There are options to eat out if 
you don’t want to eat at the hotel. The staff at reception were efficient 
and friendly. It’s very near two main rail stations and the 
underground.Read moreReview collected in partnership with this hotelDate of 
stay: December 2019HelpfulShare</t>
  </si>
  <si>
    <t>BusinessWelcoming and helpful staff, excellent location close to the South Bank and 
Waterloo Station. Very clean and modern rooms. Excellent shower. Plenty of 
USB and power points in the room. Free tea/coffee. Competitive pricing.Read 
moreDate of stay: March 2020HelpfulShare</t>
  </si>
  <si>
    <t>Cheeky C wrote a review Mar 20202 contributions1 helpful vote</t>
  </si>
  <si>
    <t>Nick H wrote a review Dec 2019Tete, Mozambique1 contribution</t>
  </si>
  <si>
    <t>Business visitHotel is very good, reasonable price for central London. Had an issue with 
some homeless ppl shouting and making noise outside. I spoke to the 
security guard Will. A very nice chap. He spoke to the ppl outside that 
started getting aggressive and made them move from outside the hotel. I 
felt a lot safer knowing will was around to sort these issues out.Read 
moreDate of stay: March 2020Trip type: Travelled on businessHelpfulShare</t>
  </si>
  <si>
    <t>Good valueComfortable bed, warm powerful shower. Had a good night's sleep. Will stay 
when stop off is at Kings Cross. Warm professional welcome on arrival. 
Booking was easy. Perfect for a short stay. Short walk to Kings Cross to 
catch my early train.Read moreReview collected in partnership with this 
hotelDate of stay: December 2019HelpfulShare</t>
  </si>
  <si>
    <t>https://www.tripadvisor.co.uk/Hotel_Review-g186338-d1812157-Reviews-or5-Travelodge_London_Waterloo_Hotel-London_England.html#REVIEWS</t>
  </si>
  <si>
    <t>Nah H wrote a review Mar 20201 contribution</t>
  </si>
  <si>
    <t>https://www.tripadvisor.co.uk/Hotel_Review-g186338-d243667-Reviews-or355-Travelodge_London_Kings_Cross_Royal_Scot-London_England.html#REVIEWS</t>
  </si>
  <si>
    <t>hill04 wrote a review Dec 2019San Francisco68 contributions24 helpful votes</t>
  </si>
  <si>
    <t>SafetyRecommend this wonderful hotel in this critical moment. Especially as i 
felt very safe with the security officer that helped me when i couldn't get 
in the front and he's very polite he said hes names will. ThanksRead 
moreDate of stay: March 2020HelpfulShare</t>
  </si>
  <si>
    <t>43julio wrote a review Mar 2020St Helens, United Kingdom43 contributions22 
helpful votes</t>
  </si>
  <si>
    <t>Good economy hotelYou know what you will get with Travelodge - basic with no frills. 
Disappointed with no hairdryer in the room and shortage of them when asking 
at reception and hotel is not in best area for walking at night so we 
caught a taxi; but staff super friendly, breakfast good and the room 
clean.Read moreReview collected in partnership with TravelodgeDate of stay: 
December 2019HelpfulShare</t>
  </si>
  <si>
    <t>Great City Centre locationI use Travel Lodge regularly and found this one both in a great location 
clean with professional Staff.Its located walking distance to tube and rail 
networks that can get you around London easily.Inside is a lovely bar area 
and the dinner breakfast area clean with a great choice of food and drink a 
special mention goes to one of the staff Wendy who went above and beyond to 
make sure Guests were looked after during breakfast .The rooms are clean 
and as you would imagine from a budget hotel,Read moreDate of stay: 
February 2020HelpfulShare</t>
  </si>
  <si>
    <t>Suzanne R wrote a review Mar 2020Ilfracombe, England, United Kingdom7 
contributions2 helpful votes</t>
  </si>
  <si>
    <t>johnstepd wrote a review Dec 2019South Shields, United Kingdom1 contribution</t>
  </si>
  <si>
    <t>Perfect location! Great prices! Highly rwcommended!Light, bright and clean throughout, this hotel is perfectly situated, with 
bus and tube routes right on its doorstep. London Eye five monkey's walk 
away, as well as Tate Modern, the Shard, Borough Market, and many other 
wonderful places. Rooms are spacious and very comfy, staff could not be any 
more friendly, welcoming and helpful. Ask for a room at the back for a 
really quiet night.Read moreReview collected in partnership with this 
hotelDate of stay: March 2020HelpfulShare</t>
  </si>
  <si>
    <t>Poor serviceBy and far the worst Travelodge I have stayed in. Believe me I use 
Travelodge most of the time. The attitude of some of the night staff 
towards its staying customers is outrageous in the extreme. They show 
little respect and refuse to listen to the opinions of the customers they 
are there to provide a comfortable stay for. Fawlty Towers standard of 
service.Read moreReview collected in partnership with this hotelDate of 
stay: December 2019HelpfulShareResponse from TravelodgeUK, Ben from the 
Social Media Team at Travelodge London Kings Cross Royal ScotResponded 2 
Jan 2020Thank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</si>
  <si>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Roam532944 wrote a review Dec 20191 contribution</t>
  </si>
  <si>
    <t>LyeCon wrote a review Mar 2020Swindon, United Kingdom328 contributions138 
helpful votes</t>
  </si>
  <si>
    <t>Nice SurpriseAs others have written, the Waterloo Travelodge seems fairly ordinary from 
the outside, but boy what a pleasant surprise to see how good it is. It 
feels bright and welcoming, and friendly reception staff on the main desk. 
We opted for one of the larger, quiter rooms (604). It certainly was quiet 
and spacious, a far cry from some of the boxy accommodations offered by 
budget chains. We heard no external noise whatsoever. The location is 
really good, and is easily walkable to the other side of the Thames. Topped 
up with a really good unlimited breakfast, we left feeling very satisfied 
with this Travelodge. Great big thumbs up!Read moreDate of stay: March 
2020HelpfulShare</t>
  </si>
  <si>
    <t>it's okstaff very kindly and efficient but the rooms aren't very clean, brakfast 
could be better no ham and cheese, the third bed wasn't really a bed but a 
cot th eposition is good near king's cross you can go by foot in 10 
minutesRead moreReview collected in partnership with this hotelDate of 
stay: December 2019HelpfulShareResponse from TravelodgeUK, Tilly from The 
Social Media Team at Travelodge London Kings Cross Royal ScotResponded 27 
Dec 2019Thank you for your comments about our London Kings Cross Royal Scot 
hotel. We are sorry to hear of your disappointment with the cleanliness of 
the your room and it was not up to our usual high standards. We're pleased 
to learn that you were happy with the majority of your stay. We will pass 
your feedback to the hotel team and hope to welcome you back to one of our 
hotels again soonRead more</t>
  </si>
  <si>
    <t>Caroline B wrote a review Dec 2019Bournemouth, United Kingdom22 
contributions5 helpful votes</t>
  </si>
  <si>
    <t>https://www.tripadvisor.co.uk/Hotel_Review-g186338-d1812157-Reviews-or10-Travelodge_London_Waterloo_Hotel-London_England.html#REVIEWS</t>
  </si>
  <si>
    <t>Overnight stayTypical Travelodge situated within 15 minutes walk of Kings Cross station. 
Entrance was not on street level and no ramp for luggage. Although there 
was a kettle in the room there were no mugs, tea, coffee etc. Free WiFi for 
30 minutes and then you had to pay for 24 hrs. The beds were comfortable 
and the shower worked as it should! Downside was seeing Help Me written in 
the dust on the door.Read moreReview collected in partnership with 
TravelodgeDate of stay: December 2019HelpfulShare</t>
  </si>
  <si>
    <t>TheRealDeal347 wrote a review Mar 2020Deal, United Kingdom86 
contributions15 helpful votes</t>
  </si>
  <si>
    <t>Good stay in a handy location.Stayed for a night with family. Dropped a bag off before check-in and 
little one got given a KitKat by the receptionist. Came back after dinner 
to check-in and he got another KitKat. Had a good sleep, the bedroom was 
clean and fresh but the bathroom was a little tatty, I don’t think the 
extractor fan was working and there was paint peeling off the walls and 
ceiling. Breakfast was good and guess what, he got another KitKat! Great 
location couple of minutes walk to the nearest tube station. Enjoyed the 
stay and would use again.Read moreDate of stay: February 2020HelpfulShare</t>
  </si>
  <si>
    <t>https://www.tripadvisor.co.uk/Hotel_Review-g186338-d243667-Reviews-or360-Travelodge_London_Kings_Cross_Royal_Scot-London_England.html#REVIEWS</t>
  </si>
  <si>
    <t>danddk wrote a review Mar 2020Ringwood, United Kingdom1 contribution</t>
  </si>
  <si>
    <t>Best Travelodge We Have Stayed InThe place was quiet, clean, handy for Waterloo and central London and 
worked for us. Breakfast was excellent and the staff couldn't have been 
more friendly and helpful. If we want to stay in a reasonably central 
London location again, we will stay here.Read moreReview collected in 
partnership with this hotelDate of stay: March 2020HelpfulShare</t>
  </si>
  <si>
    <t>Cass1t wrote a review Dec 20191 contribution</t>
  </si>
  <si>
    <t>Nevaeh W wrote a review Mar 2020West Bromwich, United Kingdom7 
contributions5 helpful votes</t>
  </si>
  <si>
    <t>Amazing staff, Bella &amp; RachelHad the best time on Christmas Eve, thank you to Bella and Rachel. Made my 
stay even better with their great hospitality. Would definately stay again. 
They deserve a big Christmas bonus. 5 stars ��CastilloRead moreDate of 
stay: December 2019HelpfulShare</t>
  </si>
  <si>
    <t>Credit where it's dueI had to make sure I added this - Travelodge WWaterloo looks like any other 
Travelodge. But this Travelodge has an excellent playlist, very helpful 
staff who all seem to smile even if the customer isn't. Just wanted to give 
credit to the Waterloo Travelodge staff who are a great bunchRead moreDate 
of stay: March 2020HelpfulShare</t>
  </si>
  <si>
    <t>HR1997 wrote a review Dec 20191 contribution</t>
  </si>
  <si>
    <t>Neil B wrote a review Mar 2020York, United Kingdom12 contributions2 helpful 
votes</t>
  </si>
  <si>
    <t>A wonderful hotel in LondonAs a traveller I have became Marriott platinum member and Hilton Dimond 
member for many years，but it’s my first time stay in a travelodge hotel. 
The hotel can be one of my favorite hotel in London, cuz there are so many 
great friendly staff make me feel as warm as at home. Ms. Beks is so nice 
and helpful. I was really tired when I arrived at the hotel and she helped 
me early checked in, . Besides, the room size is comparatively large in 
London and the location is really convenient for travelers.Read moreDate of 
stay: December 2019HelpfulShare</t>
  </si>
  <si>
    <t>A good choiceThis branch of Travelodge is only a few hundred metres from Waterloo 
Railway station, so it's convenient in that respect. There are enough cafes 
and restaurants in the vicinity but the in-house restaurant at this hotel 
proved very handy; especially when it was raining. There is also a bar area 
just off Reception and adjacent to the lifts and restaurant. My room was 
equipped with a tea &amp; coffee facility, an ironing board ( irons available 
from Reception) and towels were changed during my 3 night stay. The only 
small fault I found was in one of the "public" toilets on the ground floor 
where some paper had found its way onto the floor and the hand drier wasn't 
working - but that was fixed the next day. The decor throughout is plain 
and utilitarian but that suits the style of hotel.…Read moreReview 
collected in partnership with TravelodgeDate of stay: March 2020HelpfulShare</t>
  </si>
  <si>
    <t>adrianpreecejenkins wrote a review Mar 2020Bournemouth, United Kingdom1 
contribution</t>
  </si>
  <si>
    <t>Weekend get awayGreat location Easy to reach from Waterloo so was able to drop off cases 
and enjoy London almost immediately on arrival --- no need to wait for 
check in time Location is great for easily exploring London and quite some 
nice pubs and places to eat nearby Friendly helpful staff. Clean room Great 
valueRead moreReview collected in partnership with this hotelDate of stay: 
February 2020HelpfulShare</t>
  </si>
  <si>
    <t>lucy122019 wrote a review Dec 20191 contribution</t>
  </si>
  <si>
    <t>https://www.tripadvisor.co.uk/Hotel_Review-g186338-d1812157-Reviews-or15-Travelodge_London_Waterloo_Hotel-London_England.html#REVIEWS</t>
  </si>
  <si>
    <t>UncleanOne of the towels had an old brown mark, the carpet wasn’t hoovered and the 
room was dusty, especially around the sink. Only good thing about this room 
was the bed was comfortable and they had extra pillows in the wardrobeRead 
moreReview collected in partnership with this hotelDate of stay: December 
2019HelpfulShareResponse from TravelodgeUK, Shaf from the Social Media 
Team. at Travelodge London Kings Cross Royal ScotResponded 26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</si>
  <si>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Donna M wrote a review Mar 20201 contribution</t>
  </si>
  <si>
    <t>https://www.tripadvisor.co.uk/Hotel_Review-g186338-d243667-Reviews-or365-Travelodge_London_Kings_Cross_Royal_Scot-London_England.html#REVIEWS</t>
  </si>
  <si>
    <t>ElizabethAnderson wrote a review Dec 20192 contributions</t>
  </si>
  <si>
    <t>Theatre tripGood room, did what it said it would, it was pleasant, it could have been a 
bit cleaner, but it was clean enough for one night. There was some outside 
noise, but that was expected. We would stay here again if we come 
again.Read moreReview collected in partnership with this hotelDate of stay: 
February 2020HelpfulShare</t>
  </si>
  <si>
    <t>https://www.tripadvisor.co.uk/Hotel_Review-g186338-d1812157-Reviews-or430</t>
  </si>
  <si>
    <t>JayAngie2014 wrote a review Mar 2020Liverpool, United Kingdom33 
contributions11 helpful votes</t>
  </si>
  <si>
    <t>Great stop overSo close to station and great value for money. Would definitely recommend. 
Within walking distance to tube stations and central to eveeyyhing. Myself 
and my partner will definitely be coming back again!Read moreReview 
collected in partnership with this hotelDate of stay: December 
2019HelpfulShare</t>
  </si>
  <si>
    <t>blahhazzalee2 wrote a review Dec 20191 contribution</t>
  </si>
  <si>
    <t>London Central Waterloo Travelodge - a superb experience!Everything was perfect, from the welcome at reception to the beautifully 
clean &amp; maintained room &amp; bathroom, to the hearty breakfast and the lovely 
bar staff with reasonable drinks prices for central London. Wonderful, and 
thank you to all the staff!Read moreReview collected in partnership with 
TravelodgeDate of stay: March 2020HelpfulShare</t>
  </si>
  <si>
    <t>IndianaBec wrote a review Mar 2020Peebles, United Kingdom9 contributions2 
helpful votes</t>
  </si>
  <si>
    <t>TerribleTerrible. I was lied to by customer service. Laughed at by the manager and 
stayed in a room which was dirty and had exposed wire . I had numerous 
issues before the stay even started and none of them were addressed and I 
was made to feel completely insignificantRead moreReview collected in 
partnership with TravelodgeDate of stay: December 2019HelpfulShareResponse 
from TravelodgeUK, Ben from the Social Media Team at Travelodge London 
Kings Cross Royal ScotResponded 26 Dec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</si>
  <si>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Extremely convenient for Old Vic TheatreNice hotel, convenient location. Less than five minutes walk from the Old 
Vic Theatre and less than ten minutes from Waterloo station / tube. Quiet 
but with all necessary conveniences. We had a double room with an extra 
single bed - plenty of space in the room.Read moreReview collected in 
partnership with TravelodgeDate of stay: March 2020HelpfulShare</t>
  </si>
  <si>
    <t>Connector57503342305 wrote a review Dec 20191 contribution</t>
  </si>
  <si>
    <t>Super staffStaff were super friendly. Any questions of ours were quickly answered and 
they went above and beyond the expectarions. However, the Bathroom smelt 
like damp and shower head looks like its breaking/ broken.Read moreReview 
collected in partnership with this hotelDate of stay: December 
2019HelpfulShare</t>
  </si>
  <si>
    <t>https://www.tripadvisor.co.uk/Hotel_Review-g186338-d243667-Reviews-or370-Travelodge_London_Kings_Cross_Royal_Scot-London_England.html#REVIEWS</t>
  </si>
  <si>
    <t>https://www.tripadvisor.co.uk/Hotel_Review-g186338-d1812157-Reviews-or20-Travelodge_London_Waterloo_Hotel-London_England.html#REVIEWS</t>
  </si>
  <si>
    <t>ZippyZGirl wrote a review Dec 2019121 contributions16 helpful votes</t>
  </si>
  <si>
    <t>Melanie R wrote a review Mar 20201 contribution</t>
  </si>
  <si>
    <t>Needs TLCStayed here this week for one night before going away. The hotel is in a 
good location and easy to find with friendly staff however the rooms are in 
need of an upgrade. There were a few dirty marks for example from tea 
splashes, behind the bed needed a good hoover and we found an empty vodka 
miniature. Probably wouldn't stay again.Read moreDate of stay: December 
2019HelpfulShare</t>
  </si>
  <si>
    <t>Excellent service and valueThis is one of the new Travelodges with superrooms. Having a coffee maker 
and iron/hairdryer at a Sunday discount in central London is amazing. The 
staff are very nice and friendly. Lindsay in the restaurant was so friendly 
and chirpy. She noticed I was wiping my hands and when I explained I'm 
immunosuppressed so being very careful, she brought me the hand sanitizer. 
She could not have been more attentive. Great location and very 
comfortableRead moreDate of stay: March 2020HelpfulShare</t>
  </si>
  <si>
    <t>Ioannis_M_K wrote a review Dec 2019Cardiff, United Kingdom1 contribution</t>
  </si>
  <si>
    <t>Genghissian wrote a review Mar 2020London, United Kingdom102 
contributions45 helpful votes</t>
  </si>
  <si>
    <t>Great location and good pricesLovely friendly staff and a great location, especially if, like us, you 
arrive at Waterloo. We were able to drop bags and head off into London 
before check in time and pick them up at the end of the day after morning 
check out.Read moreReview collected in partnership with TravelodgeDate of 
stay: March 2020HelpfulShare</t>
  </si>
  <si>
    <t>Very good value for moneyExcellent location, friendly staff. The room was good, comfortable bed, 
clean sheets. There were some minor cleanliness issues in the bathroom. 
Overall, the hotel offered great value for money and I would stay there 
again.Read moreReview collected in partnership with TravelodgeDate of stay: 
December 2019HelpfulShare</t>
  </si>
  <si>
    <t>https://www.tripadvisor.co.uk/Hotel_Review-g186338-d1812157-Reviews-or25-Travelodge_London_Waterloo_Hotel-London_England.html#REVIEWS</t>
  </si>
  <si>
    <t>Gordon S wrote a review Mar 2020Glasgow, United Kingdom12 contributions3 
helpful votes</t>
  </si>
  <si>
    <t>https://www.tripadvisor.co.uk/Hotel_Review-g186338-d243667-Reviews-or375-Travelodge_London_Kings_Cross_Royal_Scot-London_England.html#REVIEWS</t>
  </si>
  <si>
    <t>Friendly and ComfortableThe hotel was in a great location and offers great value for money in 
London. Very clean and the staff are all extremely helpful making our 4 
night stay there very memorable. The room is not the biggest for travelodge 
hotels in london but our stay was diminished by this.Read moreReview 
collected in partnership with TravelodgeDate of stay: February 
2020HelpfulShare</t>
  </si>
  <si>
    <t>Fa R wrote a review Dec 2019Penang6 contributions2 helpful votes</t>
  </si>
  <si>
    <t>michaeltwhelan wrote a review Mar 20201 contribution1 helpful vote</t>
  </si>
  <si>
    <t>Quiet stayGood location, excellent reception staff and comfy bed. Sainsbury, tesco 
nearby. Choices of restaurant along the way to the station. The area is not 
so busy at night. A small sundry shop right across the road.Read moreReview 
collected in partnership with this hotelDate of stay: December 
2019HelpfulShare</t>
  </si>
  <si>
    <t>Two night stayClean and central near to main train station and walking distance to most 
visitor attractions breakfast good paying for wifi poor and the curtains 
need to fit the windows better staff are friendly enjoy staying here.Read 
moreReview collected in partnership with this hotelDate of stay: March 
2020HelpfulShare</t>
  </si>
  <si>
    <t>Clive B wrote a review Dec 201914 contributions</t>
  </si>
  <si>
    <t>sineadmason9 wrote a review Mar 2020County Limerick, Ireland1 contribution</t>
  </si>
  <si>
    <t>Weekend awayThe reception staff were extremely friendly and helpful, they always had a 
smile on their face when they greeted you. The location of the hotel was 
excellent, walking distance to a lot of attractions Really enjoyed my 
stayRead moreReview collected in partnership with TravelodgeDate of stay: 
February 2020HelpfulShare</t>
  </si>
  <si>
    <t>Very DisappointedBooked 3 night from December 17th, not all all impresed,flies dead on the 
window but more so walking around in the shower grate not ideal,odd 
furniture more like a filing cabinet with the lower part missing,the 
bathroom door dammeage and not to mention that the toilet roll holder just 
hangin on with one screw,curtain end hanging off the track,and the bathroom 
edges require a very good clean as there was hair in the edges,it is all 
very well to open new hotels but seam very little investment in there older 
hotels,i read others of the same so seams Travlodge are not interestd in 
there clients input shame,We will now not be using Travelodge anymore till 
improvements are taking.Read moreDate of stay: December 
2019HelpfulShareResponse from TravelodgeUK, James from the Social Media 
Team at Travelodge London Kings Cross Royal ScotResponded 22 Dec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</si>
  <si>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MeghanMcfarlan wrote a review Feb 20201 contribution</t>
  </si>
  <si>
    <t>gavinsinden wrote a review Dec 2019London, United Kingdom23 contributions3 
helpful votes</t>
  </si>
  <si>
    <t>Another great Travelodge experienceLow price but same quality stay. Martin the manager and all the staff were 
really helpful. Room was clean and tidy. Big room with a nice bathroom. 
Everything you need for an overnight in London, and the lowest price be 
far!Read moreDate of stay: December 2019HelpfulShare</t>
  </si>
  <si>
    <t>MissI have stayed for 2 days in this hotel and the room was clean and spacious. 
The bed was comfy and very comfortable. The breakfast was delicious with 
plenty of choices. The staff were very friendly in special Tanzila. I would 
stay here again next time and I would definitely recommend this hotel to my 
family and friends.Read moreDate of stay: February 2020HelpfulShare</t>
  </si>
  <si>
    <t>sonya wrote a review Dec 2019Malta6 contributions</t>
  </si>
  <si>
    <t>https://www.tripadvisor.co.uk/Hotel_Review-g186338-d1812157-Reviews-or30-Travelodge_London_Waterloo_Hotel-London_England.html#REVIEWS</t>
  </si>
  <si>
    <t>good hotelthe hotel is what you pay you get. a little bit far from centre. 
underground and buses are a little bit far too. you have a walk to arrive. 
room was big and staff are very nice. wifi did not work at all.Read 
moreReview collected in partnership with TravelodgeDate of stay: December 
2019HelpfulShare</t>
  </si>
  <si>
    <t>Karen G wrote a review Feb 2020Luddenden Foot8 contributions6 helpful votes</t>
  </si>
  <si>
    <t>noeltobin124 wrote a review Dec 2019County Dublin, Ireland1 contribution</t>
  </si>
  <si>
    <t>Brilliant locationThe standards are exactly what I expected as most of the travel lodge 
hotels are similar , the location and price was excellent, next to none 
service as usual , shower room and room just what we neededRead moreReview 
collected in partnership with TravelodgeDate of stay: February 
2020HelpfulShare</t>
  </si>
  <si>
    <t>Thumbs upsVery happy with our recent stay great staff great location just a few min 
walk from kingscross station. Easy enough to find. Room was clean and bed 
was very comfortable. Did not eat at hotel but restaurant looked very 
busyRead moreReview collected in partnership with this hotelDate of stay: 
December 2019HelpfulShare</t>
  </si>
  <si>
    <t>https://www.tripadvisor.co.uk/Hotel_Review-g186338-d243667-Reviews-or380-Travelodge_London_Kings_Cross_Royal_Scot-London_England.html#REVIEWS</t>
  </si>
  <si>
    <t>kscumbria wrote a review Feb 2020Kendal, United Kingdom113 contributions71 
helpful votes</t>
  </si>
  <si>
    <t>deefer62 wrote a review Dec 2019South Yorkshire5 contributions</t>
  </si>
  <si>
    <t>Close to Waterloo station and Old VicHotel was close to Waterloo station(exit 7) and The Old Vic. 10 minute walk 
to The Eye. The reception area was busy when we checked in the staff 
quickly got our room key. The room was clean as was the bathroom. Enough 
towels. Coffee and tea sparse had to go to reception to get more as only 
two coffees in a room with three. That led to a 5 minute wait while staff 
when to get milk. Just put more in the room to save customers having to 
trape to reception and waste their time. No hairdryer in room when went to 
reception to ask for one they told me none available. Again wasted trip to 
reception- if in the room no problems.Read moreReview collected in 
partnership with TravelodgeDate of stay: February 2020HelpfulShare</t>
  </si>
  <si>
    <t>Room ok food poorThe room ok bed comfortable we ordered food there small portions. We paid 
for breakfast but didn’t get to try as at 7am we asked reception if they 
could order us a taxi for 8.30am Just sat to eat breakfast she told us taxi 
was here she had misheard us and ordered for as soon as possible.Read 
moreReview collected in partnership with this hotelDate of stay: December 
2019HelpfulShareResponse from TravelodgeUK, Zack from The Social Media Team 
at Travelodge London Kings Cross Royal ScotResponded 19 Dec 2019Thank you 
for leaving your review of our London Kings Cross Royal Scot hotel. We are 
pleased to hear that you found your room to be comfortable however we are 
sorry to hear of the issues that affected your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</si>
  <si>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cmckennan wrote a review Feb 20206 contributions</t>
  </si>
  <si>
    <t>fantastic place to stayI couldn't recommend this hotel enough, such a high standard from what 
Travelodge normally is the rooms were great and the staff were beyond 
amazing. such a prime location for a hotel as it was only a 2 minute walk 
from the subway and had some really great bars and restaurants around about 
it.Read moreReview collected in partnership with TravelodgeDate of stay: 
February 2020HelpfulShare</t>
  </si>
  <si>
    <t>John M wrote a review Feb 2020Enniskillen, United Kingdom853 
contributions319 helpful votes</t>
  </si>
  <si>
    <t>patsyo166 wrote a review Dec 2019Banbury, United Kingdom17 contributions2 
helpful votes</t>
  </si>
  <si>
    <t>Always good value and good locationI attended a family wedding recently and stayed two nights here. As always, 
it was superbly located but at an excellent price. The staff were super 
efficient and the room was clean and very functional. Just what you expect 
from Travelodge.Read moreDate of stay: January 2020HelpfulShare</t>
  </si>
  <si>
    <t>Travelodge London Kings CrossGreeted by friendly staff, Checking in was simple and the room was clean. 
Great being able to grab a post gig late night pizza at the bar when we got 
in late. Great nights sleep, didn’t hear any noiseRead moreReview collected 
in partnership with this hotelDate of stay: December 2019HelpfulShare</t>
  </si>
  <si>
    <t>Excursion09467677793 wrote a review Dec 20191 contribution</t>
  </si>
  <si>
    <t>https://www.tripadvisor.co.uk/Hotel_Review-g186338-d1812157-Reviews-or35-Travelodge_London_Waterloo_Hotel-London_England.html#REVIEWS</t>
  </si>
  <si>
    <t>Kings Cross Royal ScottGreat location, easy access to tubes. Cheaper than others we have stayed in 
in the same area. Parking very easy at the hotel and affordable. Room 
perfect temperature and comfortable, a little tired. Faint musty smell on 
4th floor, but for a 1 night stay, was still great value and location 
Reception staff very helpful and polite.Read moreReview collected in 
partnership with TravelodgeDate of stay: December 2019HelpfulShare</t>
  </si>
  <si>
    <t>Frank F wrote a review Feb 20203 contributions2 helpful votes</t>
  </si>
  <si>
    <t>https://www.tripadvisor.co.uk/Hotel_Review-g186338-d243667-Reviews-or385-Travelodge_London_Kings_Cross_Royal_Scot-London_England.html#REVIEWS</t>
  </si>
  <si>
    <t>London in FebruaryWe stayed over at the Travelodge Waterloo for 3 nights during this February 
half term. Very well positioned for the central London sights, easy walking 
distance to the London Eye, a well appointed hotel in this price range. The 
room was smart and modern, and included everything you would expect, 
including plenty of USB charging points. The food in the restaurant was 
good, and the All You Can Eat buffet breakfast was awesome. It was however 
the staff that made our stay great, and why we would stay here again. 
Lindsay in particular looked after us really well each evening for dinner, 
and was very friendly and welcoming. The team at Reception were most 
helpful, and were always on hand to answer questions or help us out with 
anything we needed. A hotel is often just a hotel,…Read moreDate of stay: 
February 2020HelpfulShare</t>
  </si>
  <si>
    <t>Dean B wrote a review Dec 20192 contributions</t>
  </si>
  <si>
    <t>reuven h wrote a review Feb 2020Tel Aviv4 contributions</t>
  </si>
  <si>
    <t>Very nice stay in a reasonably priced hotelIt's a Travelodge so the style and layout is consistent with all the others 
and you know what you're getting, but it was very good for the price and 
the staff were very dedicated and helpful throughout.Read moreReview 
collected in partnership with TravelodgeDate of stay: December 
2019HelpfulShare</t>
  </si>
  <si>
    <t>Good Cost/performance hotel at the heart of London South bankGood and cosey hotel at the heart of the south bank near Old Vic Theater. 
minimal rooms however, large enough for couples w- well equipped and 
designed. Bar and dining room at the ground level are warm and inviting. 
Good atmosphere and nice people watching football drinking beers and wines 
having good time with friends and family.Read moreReview collected in 
partnership with TravelodgeDate of stay: February 2020HelpfulShare</t>
  </si>
  <si>
    <t>kp4582019 wrote a review Dec 2019Exeter, United Kingdom1 contribution</t>
  </si>
  <si>
    <t>Michele Davies wrote a review Feb 20202 contributions</t>
  </si>
  <si>
    <t>Comfortable one night stay for solo travellerNeeded a place near King’s Cross for an early train the next day so I 
booked here. I had a comfortable stay. There’s a bus stop nearby. Room was 
clean, tidy and had enough space for one person. Bathroom was spacious and 
tidy as well. My only issue was the non-clear water during the night of my 
stay, but it became clear the next morning so it was okay.Read moreReview 
collected in partnership with TravelodgeDate of stay: December 
2019HelpfulShare</t>
  </si>
  <si>
    <t>Two night stayVery good hotel close to train station only a 4 min walk all on the flat . 
Rooms very clean and tidy all staff pleasant and helpful . Breakfast was 
super well stocked on all food . Was offered a room towards the back to 
have reduced noise from rd .Read moreDate of stay: February 2020HelpfulShare</t>
  </si>
  <si>
    <t>712sue wrote a review Dec 2019Torrox, Spain1 contribution</t>
  </si>
  <si>
    <t>Winifredmartha wrote a review Feb 2020Huntsham, United Kingdom7 
contributions8 helpful votes</t>
  </si>
  <si>
    <t>Panto stayAmazing stay staff are the best Especially Maria Dione and Bella A big 
shout out to them for making my stay so fantastic please don’t change what 
you are doing you are all amazing The room was great xxRead moreReview 
collected in partnership with this hotelDate of stay: December 
2019HelpfulShare</t>
  </si>
  <si>
    <t>Pleasant stayWe were pleasantly surprised with our overnight stay here. The hotel has 
been recently refurbished. The room was clean and we were able to enter our 
room early. The breakfast was very good with a wider than usual selection 
for a vegan diet. The breakfast service was excellent. All in all better 
than a recent stay in the premier Inn. The only downside was the location, 
view of unattractive housing and lack of nearby parking. This hotel is 
quite a walk from Waterloo.Read moreDate of stay: February 2020HelpfulShare</t>
  </si>
  <si>
    <t>Mairi0658 wrote a review Dec 2019Airdrie, United Kingdom6 contributions3 
helpful votes</t>
  </si>
  <si>
    <t>antonykillaspy wrote a review Feb 20201 contribution</t>
  </si>
  <si>
    <t>friends trip to londonWe used the travel lodge because of location and value for money. 
Everything was as expected. Room was clean and functional. The staff though 
were very helpful and accommodating, especially Dionne and Attena, who 
tried to make everything run as smoothly as possible in accommodation a 
large group of friends arriving at different times .Read moreReview 
collected in partnership with this hotelDate of stay: December 
2019HelpfulShare</t>
  </si>
  <si>
    <t>My stay at Waterloo Travelodge.Well situated in Waterloo for visiting the surrounding area. The reception 
was well placed and the service was very good.The tariff for rooms was 
reasonable for central London. The facilities were good.Read moreReview 
collected in partnership with this hotelDate of stay: February 
2020HelpfulShare</t>
  </si>
  <si>
    <t>debbiekears wrote a review Dec 20191 contribution</t>
  </si>
  <si>
    <t>https://www.tripadvisor.co.uk/Hotel_Review-g186338-d1812157-Reviews-or40-Travelodge_London_Waterloo_Hotel-London_England.html#REVIEWS</t>
  </si>
  <si>
    <t>Weekend tripStaff very polite and helpful. Room was very outdated and needed a good 
deep clean (toilet seat was broken, stained toilet bowl, dirt round the 
edge of the bathroom floor) room also took a long time to heat up because 
of an outdated heaterRead moreReview collected in partnership with this 
hotelDate of stay: December 2019HelpfulShareResponse from TravelodgeUK, 
James from the Social Media Team at Travelodge London Kings Cross Royal 
ScotResponded 18 Dec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</si>
  <si>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https://www.tripadvisor.co.uk/Hotel_Review-g186338-d243667-Reviews-or390-Travelodge_London_Kings_Cross_Royal_Scot-London_England.html#REVIEWS</t>
  </si>
  <si>
    <t>Freckles1990 wrote a review Dec 20191 contribution</t>
  </si>
  <si>
    <t>Anon_Kent_11 wrote a review Feb 2020Sevenoaks, United Kingdom62 
contributions22 helpful votes</t>
  </si>
  <si>
    <t>Good centrally located hotelWe stayed here on Brexit Night! The room was very comfortable. There was a 
hairdryer in the room which some hotels in the Travelodge chain only have 
behind reception. The breakfast was good with a wide choice of hot and cold 
food. It is a big hotel which perhaps explains why the catering and bar are 
better than others in the chain. It was quiet in the room. It is very near 
the Old Vic and Waterloo Station. The staff were very helpful and 
cheerful!Read moreDate of stay: January 2020HelpfulShare</t>
  </si>
  <si>
    <t>DO NOT STAY HERE - THEY EMPLOY THEIVES.So my partner and I stayed here this month. Someone entered our room, and 
stole an engagement ring out of my partners bag.. before he had the 
opportunity to propose. The hotel have performed a lacklustre investigation 
into their staff and weirdly, concluded there wasn’t a theft?? Well there 
was... because MY RING IS GONE, and your staff are thieves. They also don’t 
have a safe to keep your valuables safe.. We were only there for one night, 
and they managed to rob us not only of an engagement ring but of an amazing 
experience in Paris, as we travelled their the next day. Disgusting 
company, I would NEVER stay in another travelodge again. DO NOT STAY HERE. 
Vile company, nonexistent customer care and won’t take responsibility for 
the THIEVES they employ. Pathetic excuse for…Read moreDate of stay: 
December 2019HelpfulShareResponse from TravelodgeUK, Shaf from the Social 
Media Team. at Travelodge London Kings Cross Royal ScotResponded 19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</si>
  <si>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Gurjar alpesh wrote a review Feb 2020Burnley, United Kingdom2 contributions</t>
  </si>
  <si>
    <t>mich1252015 wrote a review Dec 2019London, United Kingdom7 contributions2 
helpful votes</t>
  </si>
  <si>
    <t>Wonderful HotelA very Nice hotel and room, what a shower oh my god it was amazing lush! 
Food was delicious and tasty and filling because of the big portions and 
the bar was well stocked. Massive shoutout to Atreyo and Mohammed these two 
lads were amazing, especially on a busy Wednesday evening they were 
extremely hardworking and smashing boys, always had a smile on their face 
as well as making my team feel very welcome. I hope next time I visit they 
are their to keep me company. Reception staff was also very helpful.Highly 
would recommend. ����...thanksRead moreDate of stay: February 
2020HelpfulShare</t>
  </si>
  <si>
    <t>Overnight stayStaff wonderful , couldn’t be more helpful. Position great for Kings 
Cross/St Pancras. However rooms very disappointing- need need serious 
refurbishment, need new carpets and a coat of paint. Really lets the place 
down. Not the standard I expect from a travelodge.Read moreReview collected 
in partnership with this hotelDate of stay: December 2019HelpfulShare</t>
  </si>
  <si>
    <t>campingguru2017 wrote a review Feb 2020Devon, United Kingdom4 
contributions1 helpful vote</t>
  </si>
  <si>
    <t>Nadia W wrote a review Dec 20192 contributions</t>
  </si>
  <si>
    <t>Best travelodge I've stayed in yet. Superb all roundSuperb value for central London. The room was really quiet at night with 
very little external noise which is great as I live in Devon which is 
always quiet. Slept like a log and for longer than I would do at home too. 
All the staff I interacted with where excellent and really helpful.I'll be 
booking again for a stay in June on business.Read moreDate of stay: 
February 2020HelpfulShare</t>
  </si>
  <si>
    <t>London breakCame to London for a 3 night city break. Hotel was quiet and had great a 
great location for transport, however, the rooms are very dated. Carpets 
are worn and the bathroom is tired but for somewhere just to sleep it was 
fine. Was dissaponted that they didn't change the sheets during the room 
clean.Read moreReview collected in partnership with this hotelDate of stay: 
December 2019HelpfulShareResponse from TravelodgeUK, Ben from the Social 
Media Team at Travelodge London Kings Cross Royal ScotResponded 18 Dec 
2019Thank you for taking the time to write a review about our London Kings 
Cross Royal Scot hotel. We're pleased to hear that your room was quiet and 
you liked the hotels location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</si>
  <si>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https://www.tripadvisor.co.uk/Hotel_Review-g186338-d1812157-Reviews-or45-Travelodge_London_Waterloo_Hotel-London_England.html#REVIEWS</t>
  </si>
  <si>
    <t>Dennis wrote a review Dec 2019Zoetermeer, The Netherlands1 contribution</t>
  </si>
  <si>
    <t>Chan1003 wrote a review Feb 20201 contribution</t>
  </si>
  <si>
    <t>Poor quality, disappointingWe booked through Eurostar and where foolishly enough expecting the same 
amount of class from the hotel. Far from it. It seemed like the Eurostar 
websites uses pictures of the rooms from several decades ago. Dirty carpet, 
half dismantled furniture (drawers removed), outdated and damaged bathroom, 
filthy sink, really noisy and overall just looks cheap. Only positive part 
was the friendly front desk staff. We'll never stay there again.Read 
moreDate of stay: December 2019HelpfulShareResponse from TravelodgeUK, Ben 
from the Social Media Team at Travelodge London Kings Cross Royal 
ScotResponded 17 Dec 2019Thank you for taking the time to write a review 
about our London Kings Cross Royal Scot hotel. We're pleased to hear that 
you found the hotel team to be friendly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</si>
  <si>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Overnight stay - could have been betterWe stayed at the hotel on a Sunday expecting it may be a quieter time to 
stay. It was easy to find from the station and a good price for London. 
There is also a few restaurants alongside the street if people do not want 
to stay in the hotel. On arrival I had paid extra for early check in 
however, was disappointed that I did not get my room key until 1.15pm after 
paying additional on my booking. I queried this and was told that normal 
check in was 3 in a way that I shouldn’t have been unhappy with not having 
my room until after 1. Room was basic and typical style for a general 
Travelodge. One of the worst things was that on the Monday morning at 10am 
the cleaner started to let herself into the room whilst we were still in 
the room without knocking! We had a chair against the…Read moreDate of 
stay: February 2020HelpfulShareResponse from TravelodgeUK, James from the 
Social Media Team at Travelodge London Waterloo HotelResponded 19 Feb 
2020Thank you for reviewing our Travelodge London Waterloo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</si>
  <si>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lovol2 wrote a review Dec 2019Chester, United Kingdom17 contributions</t>
  </si>
  <si>
    <t>natalierankin wrote a review Feb 2020Hastings, United Kingdom155 
contributions64 helpful votes</t>
  </si>
  <si>
    <t>Good Service, Old, Tired RoomsService was nice and friendly, even managed to get pizza at 2:30am. The 
rooms and corridors are very tired. toilet handle was wobbly, holes in the 
skirting boards, wallpaper/liningpaper peeling etc. Also, somone put the 
electric heater on MAX (rather than 4,5,6,7) so it was on constantly and 
the room was way too hot... it wasn't on when I left the room the first 
time!Read moreReview collected in partnership with this hotelDate of stay: 
December 2019HelpfulShareResponse from TravelodgeUK, James from the Social 
Media Team at Travelodge London Kings Cross Royal ScotResponded 17 Dec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</si>
  <si>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Small Family RoomEnjoyed our one night stay here. All staff very friendly at checkin and at 
breakfast. # Atreyo was particularly chatty at the bar for a quick drink 
before bed. Room larger than we’d imagined, clean and bed very comfy. 
Didn’t realise room did not come with hair dryer but got one no fuss from 
the reception. Good location and tasty breakfast.Read moreDate of stay: 
February 2020HelpfulShare</t>
  </si>
  <si>
    <t>https://www.tripadvisor.co.uk/Hotel_Review-g186338-d243667-Reviews-or395-Travelodge_London_Kings_Cross_Royal_Scot-London_England.html#REVIEWS</t>
  </si>
  <si>
    <t>Cal wrote a review Feb 20201 contribution</t>
  </si>
  <si>
    <t>hcory2015 wrote a review Dec 2019South Devon, United Kingdom2 contributions</t>
  </si>
  <si>
    <t>5 starsGood stay at hotel breakfast is good and meals are good value Also staff 
are very good but especially Lindsay, she looked after us and very helpful, 
nothing was a problem, very bubbly made our stay a lot betterRead moreDate 
of stay: February 2020HelpfulShare</t>
  </si>
  <si>
    <t>Great staffStayed 3 nights staff very helpful and friendly room quiet. Bathroom small 
but adequate for price if you want a twin room ring and ask them usually 
able to comply. Clean although could do with a few more teas and 
coffees.Read moreReview collected in partnership with this hotelDate of 
stay: December 2019HelpfulShare</t>
  </si>
  <si>
    <t>purple005 wrote a review Feb 2020Gillingham, United Kingdom4 contributions</t>
  </si>
  <si>
    <t>Friendly, helpful staff. Stay very good value for money.Good location for train and bus routes. All interactions from staff were 
very friendly and helpful. The room was clean and we found the bed 
comfortable. The bathroom was cramped, but the shower was good. We enjoyed 
the breakfast. Would definitely stay again.Read moreReview collected in 
partnership with this hotelDate of stay: February 2020HelpfulShare</t>
  </si>
  <si>
    <t>stevengF1524JB wrote a review Dec 2019Leeds, United Kingdom2 contributions</t>
  </si>
  <si>
    <t>https://www.tripadvisor.co.uk/Hotel_Review-g186338-d1812157-Reviews-or50-Travelodge_London_Waterloo_Hotel-London_England.html#REVIEWS</t>
  </si>
  <si>
    <t>Perfect stayFriendly warm welcome from staff. Always happy to help. Very clean and tidy 
room. Very little traffic noise during the day or an evening. A pleasurable 
and pleasant experience. Would definitely recommendRead moreReview 
collected in partnership with TravelodgeDate of stay: December 
2019HelpfulShare</t>
  </si>
  <si>
    <t>Will wrote a review Feb 20201 contribution</t>
  </si>
  <si>
    <t>Great stay, brilliant staffArrived early afternoon and checked into our room, room was clean and tidy. 
We had a wander around London until returning and ordering food in the bar 
cafe. Sammi served us and was very polite and friendly. When leaving the 
bar cafe we were introduced to Lindsay who sorted the bill for us. Lindsay 
was a very fun and enthusiastic character. Friday evening we returned to 
the hotel after having a Valentine’s Day meal. We stopped in the bar for a 
couple of drinks before heading back to our room. We were once again 
greated with Sammi and Lindsay. Incredibly welcoming and making you feel 
welcome in the bar. Great fun at the bar.Read moreDate of stay: February 
2020HelpfulShare</t>
  </si>
  <si>
    <t>https://www.tripadvisor.co.uk/Hotel_Review-g186338-d1812157-Reviews-or435</t>
  </si>
  <si>
    <t>christinemR4300NV wrote a review Feb 2020Glasgow, United Kingdom1 
contribution</t>
  </si>
  <si>
    <t>julie k wrote a review Dec 2019Chesterfield, United Kingdom33 
contributions9 helpful votes</t>
  </si>
  <si>
    <t>Great weekendDown in London for a long weekend and had a great stay in this Travelodge. 
The staff were helpful and friendly, going that extra mile. Room was 
comfortable and clean. Breakfast was extremely good with lots of options. 
Great location for getting around. Couldn't fault our stay!Read moreReview 
collected in partnership with this hotelDate of stay: February 
2020HelpfulShare</t>
  </si>
  <si>
    <t>1 Night StayStayed 1 night before our trip to Paris next few days..we were very pleased 
with all aspects of our stay- rooms were very clean, smelled fresh, bed 
linen amazingly crisp/clean &amp; staff great- we were treated well &amp; enjoyed 
our visitRead moreReview collected in partnership with TravelodgeDate of 
stay: December 2019HelpfulShare</t>
  </si>
  <si>
    <t>https://www.tripadvisor.co.uk/Hotel_Review-g186338-d1812157-Reviews-or55-Travelodge_London_Waterloo_Hotel-London_England.html#REVIEWS</t>
  </si>
  <si>
    <t>https://www.tripadvisor.co.uk/Hotel_Review-g186338-d243667-Reviews-or400-Travelodge_London_Kings_Cross_Royal_Scot-London_England.html#REVIEWS</t>
  </si>
  <si>
    <t>Tim P wrote a review Dec 2019Torremolinos, Spain2 contributions</t>
  </si>
  <si>
    <t>Sam B wrote a review Feb 2020Kettering, United Kingdom1 contribution</t>
  </si>
  <si>
    <t>Great Location and HotelLovely comfortable room. All areas of the hotel were clean and tidy. Great 
location just 10 minutes walk from Waterloo station. Stayed on third floor, 
very quiet. Only downside was the shower curtain not long enough and the 
floor got very wet!Read moreReview collected in partnership with 
TravelodgeDate of stay: February 2020HelpfulShare</t>
  </si>
  <si>
    <t>Good but needs updatingExcellent helpful staff. Good position. Good value if you book ahead.Beds 
in twin rooms are too narrow. Rooms are OK but have maintenence issues. 
Could be so much better if they updated. I've stayed in many travelodges 
but they do have much better ones nearby.Read moreReview collected in 
partnership with this hotelDate of stay: December 2019HelpfulShareResponse 
from TravelodgeUK, Shaf from the Social Media Team. at Travelodge London 
Kings Cross Royal ScotResponded 16 Dec 2019Thank you for reviewing our 
London Kings Cross Royal Scot Travelodge. We're really pleased to hear you 
liked the location of the hotel, team were friendly and you got this room 
at a good rate. We're really sorry to learn of your disappointment 
regarding the twin beds in this hotel. Travelodge are always reviewing our 
hotels for refurbishments and we will ensure to pass your comments on to 
the relevant department. Feedback is invaluable and our Hotel Managers 
regularly review their TripAdvisor reviews in order to fix any issues 
raised and pass on feedback to their team. Thank you once again and we do 
hope you will stay with us in the future.Read more</t>
  </si>
  <si>
    <t>bethanydickins0n wrote a review Dec 2019Leeds, United Kingdom1 contribution</t>
  </si>
  <si>
    <t>Excellent!I've stayed at Travelodge multiple times and they are very accommodating. 
The staff in this particular travelodge were lovely and went above and 
beyond to help. The room was clean and the assistant manager made sure to 
place us in a good room! Thank you!Read moreReview collected in partnership 
with this hotelDate of stay: December 2019HelpfulShare</t>
  </si>
  <si>
    <t>Lozza wrote a review Feb 20203 contributions5 helpful votes</t>
  </si>
  <si>
    <t>Catryn I wrote a review Dec 20193 contributions</t>
  </si>
  <si>
    <t>Excellent stayGreat location for what we needed, we had a room facing the road but it was 
very quiet. We had a corner room which meant the room was a bit smaller but 
this was no issue. The room was very modern. Hotel was clean and quiet all 
round. Stay were very friendly. We didn't have breakfast but did have 
evening meal in the bar. Reasonable prices and good choices. Staff were 
great here and gave us a complimentary drink due to an error with our food. 
In all a great stay! One of the top travelodges I have stayed in!Read 
moreDate of stay: February 2020HelpfulShare</t>
  </si>
  <si>
    <t>Excellent experienceExcellent stay. Comfortable room, comfortable bed, very efficient, 
friendly, helpful, supportive staff. Excellent convenient location, close 
to Euston railway station and easy to access taxis from the hotel.Read 
moreReview collected in partnership with this hotelDate of stay: December 
2019HelpfulShare</t>
  </si>
  <si>
    <t>https://www.tripadvisor.co.uk/Hotel_Review-g186338-d1812157-Reviews-or60-Travelodge_London_Waterloo_Hotel-London_England.html#REVIEWS</t>
  </si>
  <si>
    <t>https://www.tripadvisor.co.uk/Hotel_Review-g186338-d243667-Reviews-or405-Travelodge_London_Kings_Cross_Royal_Scot-London_England.html#REVIEWS</t>
  </si>
  <si>
    <t>HannahB wrote a review Dec 20191 contribution</t>
  </si>
  <si>
    <t>Janice A wrote a review Feb 20201 contribution</t>
  </si>
  <si>
    <t>Great breakfast.After poor breakfast experiences in another Travelodge hotel this hotel was 
spot on. The service (in particular, Wendy) was well organised and 
everything was cleared and restocked efficiently. Well done!Read moreDate 
of stay: February 2020HelpfulShare</t>
  </si>
  <si>
    <t>Awful hotel!Awful room do not stay here! Bathroom was full of mould and holes in the 
walls, the shower was so disgusting we couldn’t use it and the room was 
dirty. The staff however were lovely but it’s a shame the hotel is so poor 
and in desperate need of some refurbishment especially compared to the 
price. We won’t be staying here again all we were looking for was a clean 
comfortable basic room we left very disappointed.Read moreReview collected 
in partnership with this hotelDate of stay: December 
2019HelpfulShareResponse from TravelodgeUK, Zack from The Social Media Team 
at Travelodge London Kings Cross Royal ScotResponded 15 Dec 2019Thank you 
for taking the time to share your experience with us. We are happy to learn 
you were pleased with the service provided by the hotel team, however we 
are sorry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</si>
  <si>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leesN1722KF wrote a review Dec 2019Maidstone, United Kingdom5 contributions</t>
  </si>
  <si>
    <t>Sarah S wrote a review Feb 2020Toronto, Canada187 contributions58 helpful 
votes</t>
  </si>
  <si>
    <t>So poor - do not stayThis is hotel is a joke - do Not stay unless it is the last room in London 
- sleeping on the streets is probably more appealing than staying here 
again. The hotel staff are inept they charge extra for early check in then 
cant do it, say they will do things and then don't, They then lose bags, 
The rooms have been recently decorated but so have the all the furniture. 
Very shabby, poor . You have been warned.Read moreReview collected in 
partnership with TravelodgeDate of stay: December 2019HelpfulShareResponse 
from TravelodgeUK, Shaf from the Social Media Team. at Travelodge London 
Kings Cross Royal ScotResponded 15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</si>
  <si>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Fairly goodPretty much what to expect of a Travelodge - mostly clean, economic rooms. 
Mine had a horrible damp mouldy smell that penetrated all of my belongings 
sadly. Even my suitcase stinks days later. Weird that there is next to no 
room to put anything away. 5 hangers is nice, but a single drawer would be 
super helpful Resto/Bar was great and we spent lots of time there. All the 
staff I interacted with were friendly and helpful. Not certain of the 
price, but feel we go what we paid for. Good nights sleep, zero frills. If 
it wasn't for the damp mouldy smell it would have been perfect for what I 
needed.Read moreDate of stay: January 2020HelpfulShareResponse from 
TravelodgeUK, James from the Social Media Team at Travelodge London 
Waterloo HotelResponded 6 Feb 2020Thank you for reviewing our Travelodge 
London Waterloo Hotel. We're happy to hear you were pleased with the 
cleanliness of the hotel during this stay but we're very sorry to hear of 
the issues experienced with room cleanliness and the facilities of your 
room. Please rest assured the hotel managers check Tripadvisor reviews of 
their hotels so your comments will be reviewed by the hotel's team. Thank 
you again for leaving this review and we do hope that you choose to stay 
with us again in the future.Read more</t>
  </si>
  <si>
    <t>Victor M wrote a review Feb 2020Leicester, United Kingdom24 contributions11 
helpful votes</t>
  </si>
  <si>
    <t>barbarawalsh7 wrote a review Dec 2019Glasgow, United Kingdom3 contributions</t>
  </si>
  <si>
    <t>Bangin' Tunes in SE1We've stayed here many times-probably around a dozen. Brilliant position. 
Useful transport links. Loads of places to eat and drink and Lower Marsh is 
a hidden gem. This time we had a top floor room with spectacular views 
across to The Shard.: No Free WiFi in the rooms (unlike every other Budget 
hotel in the area). No idea why the (otherwise excellent) bar blasts out 
high decibel continental Dance Music every night. If it was meant to 
encourage us to drink else where,it did. One pub round the corner,one 
opposite and many others withing walking distance. All without high 
volume,high intensity screaming Dance Tunes.Read moreReview collected in 
partnership with TravelodgeDate of stay: February 2020HelpfulShare</t>
  </si>
  <si>
    <t>Outstanding serviceCurrently staying in this hotel for 2 nights business trip. Excellent 
experience every single member of staff I have engaged with has been so 
very friendly and could not possibly do more for me. Outstanding customer 
service well doneRead moreDate of stay: December 2019HelpfulShare</t>
  </si>
  <si>
    <t>jacquiellewellyn wrote a review Feb 20201 contribution</t>
  </si>
  <si>
    <t>paula048 wrote a review Dec 2019Barrow-in-Furness13 contributions5 helpful 
votes</t>
  </si>
  <si>
    <t>Perfect Stop OverThe hotel location was perfect, just a short walk from Waterloo Station and 
the underground. Did not try the restaurant so unable to comment. Staff 
friendly, welcoming and helpful. Definitely one to choose againRead 
moreReview collected in partnership with TravelodgeDate of stay: February 
2020HelpfulShare</t>
  </si>
  <si>
    <t>Very good value for money considering average accommodation prices in LondonThis is 'no frills' accommodation but is generally clean and comfortable. 
Breakfast is good value with a good selection provided. As usual with 
inexpensive hotels, there were only scrambled eggs rather than fried or 
poached and gluten free bread was not available.Read moreReview collected 
in partnership with TravelodgeDate of stay: December 2019HelpfulShare</t>
  </si>
  <si>
    <t>https://www.tripadvisor.co.uk/Hotel_Review-g186338-d1812157-Reviews-or65-Travelodge_London_Waterloo_Hotel-London_England.html#REVIEWS</t>
  </si>
  <si>
    <t>https://www.tripadvisor.co.uk/Hotel_Review-g186338-d243667-Reviews-or410-Travelodge_London_Kings_Cross_Royal_Scot-London_England.html#REVIEWS</t>
  </si>
  <si>
    <t>michaeltV6235IB wrote a review Dec 2019Worcestershire, United Kingdom3 
contributions</t>
  </si>
  <si>
    <t>A bit tired for central London hotelThis building or certainly it’s rooms needs a good refresh - the rooms (or 
certainly was scruffy) I don’t think the carpets had been properly cleaned 
in a long time rooms and hallways, the bathroom is desperately in need of 
TLC. Location is good and the breakfast was nice but not up to a standard 
of nearly £200 a night Travelodge - sorry I won’t be backRead moreReview 
collected in partnership with this hotelDate of stay: December 
2019HelpfulShareResponse from TravelodgeUK, Shaf from the Social Media 
Team. at Travelodge London Kings Cross Royal ScotResponded 12 Dec 2019Thank 
you for reviewing our London Kings Cross Royal Scot Travelodge. We're 
pleased to hear you liked the location of the hotel and breakfast were 
nice. We really are sorry to learn the cleanliness were not up to 
standards. Feedback is invaluable and our Hotel Managers regularly review 
their TripAdvisor reviews in order to fix any issues raised and pass on 
feedback to their team. Thank you once again and we do hope you will stay 
with us in the future.Read more</t>
  </si>
  <si>
    <t>45Typevysr54 wrote a review Feb 2020Portsmouth, United Kingdom476 
contributions22 helpful votes</t>
  </si>
  <si>
    <t>Travelsmart wrote a review Dec 20191 contribution</t>
  </si>
  <si>
    <t>100% ExcellentWarm welcome with smiling staff spotless clean room and bathroom- nice bar 
area with reasonable priced drinks - did not eat the obviously excellent 
value breakfast which we usually do take advantage of, due to commitments 
outside. Booked in Friday approx 2/3 pm really nice staff-thank you.Read 
moreDate of stay: February 2020HelpfulShare</t>
  </si>
  <si>
    <t>Outstanding StaffWhen I booked this hotel so cheaply in February, I was expecting a 'no 
frills', budget stay but the experience was far from it! I was blown away 
by the warmth of the welcome I received by all of the staff. I arrived 
completely drenched, exhausted and carrying a lot of bags and was greeted 
sympathetically as I walked through the door by a member of staff offering 
me a cup of tea- this was before I'd even approached the reception desk. 
Another team member jumped to help carry my bags to my room several floors 
up. Additionally, the room was affordable, clean and warm and the hotel 
itself was a conveniently short walk from Kings Cross station. After such a 
pleasant stay- I decided to return again this December and received the 
same outstanding customer service, if not better!…Read moreDate of stay: 
December 2019HelpfulShare</t>
  </si>
  <si>
    <t>Andy G wrote a review Feb 2020Coventry, United Kingdom20 contributions2 
helpful votes</t>
  </si>
  <si>
    <t>jamesbird76 wrote a review Dec 2019Chatham, United Kingdom1 contribution</t>
  </si>
  <si>
    <t>Staying over after meeting friendsI’ve stayed at this Travelodge a few times now, and will continue to do so. 
At just over £63 for a double room including a varied buffet-style 
breakfast, this is great value for accommodation in this part of London. 
The staff in the restaurant at breakfast deserve a special mention; all 
were friendly and helpful. Real ‘service with a smile’. A very enjoyable 
stay, and I look forward to returning soon.Read moreDate of stay: February 
2020HelpfulShare</t>
  </si>
  <si>
    <t>ExcellentI thought the hotel was great, the staff were very friendly and par light, 
the rooms were clean and tidy, I thought the food was good standard, I 
would highly recommend anyone staying in London for a break this hotel.Read 
moreReview collected in partnership with this hotelDate of stay: December 
2019HelpfulShare</t>
  </si>
  <si>
    <t>wings903 wrote a review Feb 20201 contribution</t>
  </si>
  <si>
    <t>chriskennedy519 wrote a review Dec 20193 contributions1 helpful vote</t>
  </si>
  <si>
    <t>Base to catch a showA quite central lodge, walking distance to central London or train station. 
Perfect as a base to explore all day and see shows in the evening. Room 
comfortable, Breakfast very filling ( all you can eat!) What's not to love! 
Thank you.Read moreReview collected in partnership with TravelodgeDate of 
stay: January 2020HelpfulShareResponse from TravelodgeUK, James from the 
Social Media Team at Travelodge London Waterloo HotelResponded 3 Feb 
2020Thank you for reviewing our Travelodge London Waterloo Hotel. We are 
very happy to hear that you enjoyed this stay with us. Please rest assured 
that the hotel's management team do check up on reviews of their hotels so 
your comments have been passed on. Once again we'd like to thank you for 
leaving this lovely review and we do hope that you stay with us again!Read 
more</t>
  </si>
  <si>
    <t>Useful location near Kings Cross but in walking distance of central London.Having stayed in this hotel before our stay was just as we expected. The 
breakfast room looked to be much enlarged which made breakfast on the 
busiest mornings much better than had been previously. The area around 
Kings Cross is now much more improved and interesting for an evening 
walk.Read moreReview collected in partnership with this hotelDate of stay: 
December 2019HelpfulShare</t>
  </si>
  <si>
    <t>tagalfie89 wrote a review Dec 2019Derby, United Kingdom14 contributions9 
helpful votes</t>
  </si>
  <si>
    <t>https://www.tripadvisor.co.uk/Hotel_Review-g186338-d1812157-Reviews-or70-Travelodge_London_Waterloo_Hotel-London_England.html#REVIEWS</t>
  </si>
  <si>
    <t>Excellent staffWhat can I say it's a travelodge but it's an affordable convenient stay in 
London and serves a purpose. The biggest plus point is the staff very 
helpful and friendly especially the bar staff where nothing is too much 
trouble, thank you.Read moreDate of stay: December 2019HelpfulShare</t>
  </si>
  <si>
    <t>SeasiderGed wrote a review Jan 2020Portsmouth, United Kingdom4 
contributions2 helpful votes</t>
  </si>
  <si>
    <t>https://www.tripadvisor.co.uk/Hotel_Review-g186338-d243667-Reviews-or415-Travelodge_London_Kings_Cross_Royal_Scot-London_England.html#REVIEWS</t>
  </si>
  <si>
    <t>Friendly &amp; HelpfulA good location close to Waterloo Station with friendly staff that were 
happy to help with any queries. The room was clean and comfortable - Good 
value for a London stopover and with a good level of security.Read 
moreReview collected in partnership with TravelodgeDate of stay: January 
2020HelpfulShare</t>
  </si>
  <si>
    <t>Colin K wrote a review Dec 2019Urquhart, United Kingdom20 contributions12 
helpful votes</t>
  </si>
  <si>
    <t>s_pun29 wrote a review Jan 2020Surrey, United Kingdom2 contributions</t>
  </si>
  <si>
    <t>Good hotelThis is a good hotel in a good location for us. Staff are excellent and we 
have stayed here many times before. This trip was marred by being allocated 
a disabled room (04) beside the access door from reception to the lifts. 
This door bangs constantly with guests coming and going all hours. 2am and 
6am was about the only quiet time.Avoid rooms 3 and 4 and you will have an 
enjoyable stay here.Read moreReview collected in partnership with this 
hotelDate of stay: December 2019HelpfulShare</t>
  </si>
  <si>
    <t>Pleasant HotelLocation - 2min walk from Waterloo station Room - Nice, clean &amp; tidy Staff 
- Friendly &amp; attentive I mean what more do you want from a hotel? I 
thoroughly enjoyed my 1 night stay at their Waterloo branch, will return in 
future for sure.Read moreReview collected in partnership with 
TravelodgeDate of stay: January 2020HelpfulShare</t>
  </si>
  <si>
    <t>rossmichael1990 wrote a review Dec 2019Colchester, United Kingdom1 
contribution</t>
  </si>
  <si>
    <t>rachelmbailey wrote a review Jan 2020Romsey, United Kingdom7 contributions2 
helpful votes</t>
  </si>
  <si>
    <t>Get what you paid for!The room was what I expected for the cheap price we paid so can't really 
have any complaints. However, when queuing up to check in, there was only 1 
staff member and she was at one point away from the check in desk doing 
something else. There were 2 staff members in the office and one even came 
out then went back in to the office when there was a massive line of 
customers waiting! I was shocked that she saw the line but didn't think to 
to step in and help. Very poor customer service and needs improve. When we 
checked out, the lady said to me 'please leave us a review and we expect to 
get at least 9 out of 10 from you'... I found this a bit forward and rude 
to be honest. Overall, I am satisfied with our stay as we did pay a great 
price for 1 night but I do believe your…Read moreReview collected in 
partnership with this hotelDate of stay: December 2019HelpfulShare</t>
  </si>
  <si>
    <t>Family trip to londonFab base 5 mins from waterloo train station. Staff were so helpful and room 
neatly and cleanly presented with everything that we needed for my 
daughters first sight seeing trip to London. Breakfast very ample and 
kettle etc in room. We were allowed to leave baggage for the day for free 
and pick it up again on the way to the train.Read moreReview collected in 
partnership with this hotelDate of stay: January 2020HelpfulShare</t>
  </si>
  <si>
    <t>kelseyandabs wrote a review Dec 2019Scarborough, United Kingdom1 
contribution</t>
  </si>
  <si>
    <t>Brillat-Saverin wrote a review Jan 202019 contributions7 helpful votes</t>
  </si>
  <si>
    <t>Affordable London HotelCovers all needs, close to Kings Cross, staff friendly and helpful. Stayed 
numerous times, every time has been lovely, some rooms need updating but 
all clean, comfy beds and most of all value for money.Read moreReview 
collected in partnership with TravelodgeDate of stay: December 
2019HelpfulShare</t>
  </si>
  <si>
    <t>Excellent once moreVery clean and well maintained hotel. This is in a very accessible location 
and convenient for the tube and main line station. The staff are very 
friendly and helpful. The bar area is attractive. The QE Hall is very near 
byRead moreReview collected in partnership with TravelodgeDate of stay: 
January 2020HelpfulShare</t>
  </si>
  <si>
    <t>carolebroadbent wrote a review Dec 2019Bradford, United Kingdom2 
contributions</t>
  </si>
  <si>
    <t>https://www.tripadvisor.co.uk/Hotel_Review-g186338-d1812157-Reviews-or75-Travelodge_London_Waterloo_Hotel-London_England.html#REVIEWS</t>
  </si>
  <si>
    <t>Great few daysEnjoyable stay room was clean and comfortable. Nice beds had a good night's 
sleep and was in a good location close to kings cross station and 
underground. Have stayed before and will definitely stay againRead 
moreReview collected in partnership with this hotelDate of stay: December 
2019HelpfulShare</t>
  </si>
  <si>
    <t>LisaVisitsPlaces wrote a review Jan 2020Leicester, United Kingdom1 
contribution</t>
  </si>
  <si>
    <t>Lesley W wrote a review Dec 2019Witham, United Kingdom12 contributions4 
helpful votes</t>
  </si>
  <si>
    <t>Great service and nice room for the price!Reception staff were very friendly and helpful. There wasn’t an iron or 
hairdryer in the room but they gave us these when requested. Room was 
spacious for the price paid. It wasn’t big, but I have certainly seen 
smaller rooms for hotels around this price. The room was fairly basic, 
though was clean and great for the price paid. The train station (including 
underground) was only a few minutes walk away on the same road. I’d 
certainly stay here again if you’re looking for somewhere clean and 
convenient to stay in central London, with friendly staff.Read moreReview 
collected in partnership with this hotelDate of stay: January 
2020HelpfulShare</t>
  </si>
  <si>
    <t>Nights stayNever again!! The best part of the hotel were the staff, we arrived to a 
room smelling of dampness, the room was small hardly any plugs small TV, 
noisy outside cars in the car park, people slamming doors throughout the 
night, and we also had breakfast which was not good for 9 pound each, we 
will not be returning, definetely not worth what we paid for the night 
which I think was £130Read moreDate of stay: December 
2019HelpfulShareResponse from TravelodgeUK, James from the Social Media 
Team at Travelodge London Kings Cross Royal ScotResponded 9 Dec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</si>
  <si>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https://www.tripadvisor.co.uk/Hotel_Review-g186338-d243667-Reviews-or420-Travelodge_London_Kings_Cross_Royal_Scot-London_England.html#REVIEWS</t>
  </si>
  <si>
    <t>206sviken wrote a review Jan 20201 contribution</t>
  </si>
  <si>
    <t>Sharon L wrote a review Dec 20191 contribution</t>
  </si>
  <si>
    <t>Clean and friendlyClean rooms with good standard and enough space, Very friendly and service 
minded staff, Good breakfast and a comfortable little bar welcome you in 
the evening. Perfect located with access to Waterloo station. This was our 
second stay and the standard had improved since last time. We will be 
back!Read moreReview collected in partnership with this hotelDate of stay: 
January 2020HelpfulShare</t>
  </si>
  <si>
    <t>brickie_12 wrote a review Jan 2020Gloucester, United Kingdom10 
contributions11 helpful votes</t>
  </si>
  <si>
    <t>Awful - avoid!The place is not worth staying in. Dirty, tired &amp; funny smell. When booked 
was told to ask at reception for a hairdryer, when we arrived we asked for 
a hairdryer only to be told that there wasnt any, one receptionist tried to 
find one the other was just rude. Was given the key ho our room on the 6th 
floor only to find when we walked in it was still occupied! On check out we 
was asked if everything ok was telling her what wasnt ok but she turned to 
ask her colleague to put the news on! Just avoid this place &amp; pay a little 
extra elsewhere!Read moreReview collected in partnership with this 
hotelDate of stay: November 2019HelpfulShareResponse from TravelodgeUK, 
Zack from The Social Media Team at Travelodge London Kings Cross Royal 
ScotResponded 9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</si>
  <si>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Great stayFor the price can’t beat this hotel ,very clean room , soft towels , 
friendly staff ,good value breakfast , Waterloo very handy for visiting 
around London , train station 10 minutes walk away, parking not to bad,Read 
moreReview collected in partnership with TravelodgeDate of stay: January 
2020HelpfulShare</t>
  </si>
  <si>
    <t>Stacey R wrote a review Dec 2019Glenrothes, United Kingdom12 contributions2 
helpful votes</t>
  </si>
  <si>
    <t>https://www.tripadvisor.co.uk/Hotel_Review-g186338-d1812157-Reviews-or80-Travelodge_London_Waterloo_Hotel-London_England.html#REVIEWS</t>
  </si>
  <si>
    <t>Not good value for moneyI have just returned from a 2 night stay at this hotel.. The staff I cannot 
fault however the room was disgusting.. The bedding had hair on it and the 
pillows were all stained. The carpet was sticky and stained also. The 
bathroom you cannot swing a cat in and was filthy. We were not due 2 check 
out till 12 but we left ASAP. I paid over 150 pound for this room so I am 
appauled. Your cleaners clearly need to be given some Training on what is 
clean. We slept on top of the bedding cause I wasn't brave enough to check 
the mattress. Our stay at the Hotel has definetly put a dampner on our trip 
to London. We were placed at the back of the hotel above the delivery area 
I assume and deliveries were arriving at 6am. The noise was unreal. I asked 
to be moved rooms on both the frisay and…Read moreDate of stay: December 
2019HelpfulShareResponse from TravelodgeUK, Zack from The Social Media Team 
at Travelodge London Kings Cross Royal ScotResponded 9 Dec 2019Thank you 
for taking the time to share your experience with regards to your stay at 
our London Kings Cross Royal Scot Travelodge. We are pleased to learn you 
were happy with the Hotel teams service, however we would like to sincerely 
apologise for the issues that impacted your stay. Your feedback is 
extremely valuable to us as it allow us to improve the service we offer. We 
would like to thank you for the time you have taken to write this review 
and we do hope to see you again soon.Read more</t>
  </si>
  <si>
    <t>JWMW wrote a review Jan 2020Sutton Coldfield, West Midlands42 
contributions7 helpful votes</t>
  </si>
  <si>
    <t>Great, friendly staffI stay at this hotel regularly while working in London during the week. The 
staff are always efficient and friendly. This week, Wasim went out of his 
way to help me when I realised I had forgotten to pack my mobile phone 
charger. My phone was dead and, without his help, I would not have been 
able to phone home. I'm really grateful to Wasim for his help - thanks 
Wasim!Read moreDate of stay: January 2020HelpfulShare</t>
  </si>
  <si>
    <t>https://www.tripadvisor.co.uk/Hotel_Review-g186338-d1812157-Reviews-or440</t>
  </si>
  <si>
    <t>Carly B wrote a review Dec 2019Clacton, null, United Kingdom8 
contributions3 helpful votes</t>
  </si>
  <si>
    <t>Camper647045 wrote a review Jan 20201 contribution</t>
  </si>
  <si>
    <t>Perfect for Families!We have had an amazing stay in Travelodge Waterloo. The facilities at this 
Travelodge are perfect and the STAFF is just amazing!!! Way better than any 
5 star hotels I have stayed. Thank You Travelodge for a fantastic stay. We 
will be back on Easter Break!Read moreDate of stay: January 2020HelpfulShare</t>
  </si>
  <si>
    <t>Stay at Farringdon InsteadWe recently stayed at the Kings Cross Hotel as it was a short walk from the 
station and we were going to a gig. The hotel looks quite modern downstairs 
but as soon as the lift doors opened on the 2nd floor it was like walking 
in to the hotel from the Shining. We stayed in room 2018 which was 
IMPOSSIBLE to find! (Don't do it drunk, you'll just give up and sleep in 
the hallway). When we eventually found our room (after going up to the 2nd 
floor, around a maze of corridors, getting completely lost, then going back 
down a flight of stairs) we were met by a tiny room which looked out over 
the hotels bins (that close, we could have easily got out our window rather 
than work our way back through the maze of corridors). Everything looked 
old and worn, including the TV which was wobbling…Read moreDate of stay: 
November 2019HelpfulShareResponse from TravelodgeUK, Shaf from the Social 
Media Team. at Travelodge London Kings Cross Royal ScotResponded 8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</si>
  <si>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E Franklin wrote a review Jan 2020Dewsbury, United Kingdom15 contributions4 
helpful votes</t>
  </si>
  <si>
    <t>Nicola W wrote a review Dec 2019Birmingham, United Kingdom19 contributions7 
helpful votes</t>
  </si>
  <si>
    <t>Very cleanThe hotel was very clean from when you walked in to the rooms themselves. 
The beds were comfy and relaxing. The staff were helpful with directions 
and helpful with amenities for the rooms. Hairdryers and irons were 
available from reception. The bar had a good choice of drinks and the bar 
staff were friendly and polite. Overall, lovely experience.Read moreDate of 
stay: January 2020HelpfulShare</t>
  </si>
  <si>
    <t>BournemouthFamily wrote a review Jan 2020Bournemouth, United Kingdom2 
contributions</t>
  </si>
  <si>
    <t>There is a reason that this is the cheapest Travelodge in the areaWhen you book with a large hotel chain, you normally do so because you know 
what to expect and believe that they have the same level of cleanliness and 
general upkeep throughout the company. This is definitely not the case 
here. It’s dirty, tired and damp. I want to start by saying that the 
reception staff were very friendly and helpful but given the queues to 
check in every time we walked through reception, they are clearly under 
staffed. Five computers available with only ever one member of staff. There 
is also no ramp or even rail along the side of the steps at the front. The 
kind reception staff will let you put the fire exit at the back which is 
step free however, it takes you out onto a poorly maintained wonky pavement 
which is on a hill, less than ideal. This hotel…Read moreDate of stay: 
December 2019HelpfulShareResponse from TravelodgeUK, James from the Social 
Media Team at Travelodge London Kings Cross Royal ScotResponded 8 Dec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</si>
  <si>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A night awayWe had a lovely relaxing night away - the room was a decent size, the staff 
were very friendly and helpful and the location of the hotel was excellent 
- very good value for money! We thoroughly enjoyed it and will gladly come 
back to visit -Read moreReview collected in partnership with TravelodgeDate 
of stay: January 2020HelpfulShare</t>
  </si>
  <si>
    <t>https://www.tripadvisor.co.uk/Hotel_Review-g186338-d243667-Reviews-or425-Travelodge_London_Kings_Cross_Royal_Scot-London_England.html#REVIEWS</t>
  </si>
  <si>
    <t>pollyanna714 wrote a review Dec 2019Glasgow, United Kingdom77 
contributions18 helpful votes</t>
  </si>
  <si>
    <t>https://www.tripadvisor.co.uk/Hotel_Review-g186338-d1812157-Reviews-or85-Travelodge_London_Waterloo_Hotel-London_England.html#REVIEWS</t>
  </si>
  <si>
    <t>Sleepless nightHav stayed in many travelodges and have always enjoyed my 
stays.unfortunately this visit was not a gd one.apart from the gr8 location 
it was disappointing.our first night was very noisy with other residents 
and not helped by noises in pipes/heating,not sure what it was but it kept 
us awake.not good when you are doing the tourist thing the next day!Read 
moreDate of stay: November 2019HelpfulShareResponse from TravelodgeUK, Ben 
from the Social Media Team at Travelodge London Kings Cross Royal 
ScotResponded 9 Dec 2019Thank you for taking the time to write a review 
about our London Kings Cross Royal Scot hotel. We're pleased to hear that 
you liked the hotels location however we are sorry to learn that your stay 
was affected by noise from other guests. If customers are causing noise 
that may disrupt other guests our hotel teams will ensure that they 
politely ask them to lower the noise levels. We strive to make our 
customers as comfortable as possible and we would like to apologise if on 
this occasion we were not able to offer you a good night's sleep. We 
appreciate all the feedback we receive and our Hotel Managers regularly 
review their TripAdvisor reviews in order to fix any issues raised and pass 
on feedback to their team. Thank you once again and we do hope you will 
stay with us in the future.Read more</t>
  </si>
  <si>
    <t>ilysjoyjones41 wrote a review Jan 2020Knutsford, United Kingdom1 
contribution</t>
  </si>
  <si>
    <t>CardMagik wrote a review Dec 2019Roswell, Georgia59 contributions8 helpful 
votes</t>
  </si>
  <si>
    <t>Efficient and friendly service, excellent location for a surprisingly low 
priceWell placed, with clean comfortable rooms, friendly service, a good 
breakfast, and all at a very low price. We heard nothing of the traffic 
outside, and the view from our room on the top floor was amazing.Read 
moreReview collected in partnership with TravelodgeDate of stay: January 
2020HelpfulShare</t>
  </si>
  <si>
    <t>Paul B wrote a review Jan 20201 contribution</t>
  </si>
  <si>
    <t>You get what you pay for - but this sucked anywayVery unhappy with the room, the service, the charges for everything extra, 
the width of the supposed twin beds, the dirtiness, no tissues, no 
washcloths. London is expensive and this isn’t bad price-wise. The place is 
packed probably because of it. The staff are probably low-paid and 
insufficient. Lines at the reception seem to take forever. But our favorite 
hotel chain goes for 600 quid a night versus the 130 here (at time of this 
writing, 2019), so it was an awful 3 nights but it was doable. Some of the 
staff are extremely pleasant, but you can see the exasperation on many of 
their faces because probably customers are complaining and they can do 
nothing about it.Read moreDate of stay: December 2019HelpfulShareResponse 
from TravelodgeUK, Ben from the Social Media Team at Travelodge London 
Kings Cross Royal ScotResponded 8 Dec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</si>
  <si>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Theatre break in LondonGreat location for Central London. We found the hotel clean and quiet, only 
a couple of minor issues, the shower was lack luster in power and heating 
was not as controllable as I'd of liked. Staff were polite and helpful.Read 
moreDate of stay: January 2020HelpfulShare</t>
  </si>
  <si>
    <t>mark o wrote a review Dec 2019Newcastle upon Tyne, United Kingdom20 
contributions3 helpful votes</t>
  </si>
  <si>
    <t>Elinor E wrote a review Jan 2020Llanelli, United Kingdom4 contributions</t>
  </si>
  <si>
    <t>Royal Scotthe room was dirty i told reception i was told hotel was full , no chance 
of a new room was told it would be cleaned wait till next day cleaner 
turned up changed sheets and left , told reception again still no joy, i 
have taken photos , i was there from Monday 2nd dec to Thursday 5th dec 
seen cleaner once ,left card on door, bedding was changed that's it.Read 
moreReview collected in partnership with TravelodgeDate of stay: December 
2019HelpfulShareResponse from TravelodgeUK, Zack from The Social Media Team 
at Travelodge London Kings Cross Royal ScotResponded 8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</si>
  <si>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Spursnut wrote a review Dec 2019King's Lynn, United Kingdom8 contributions6 
helpful votes</t>
  </si>
  <si>
    <t>Great value for moneyExcellent value for money. Just a short walk to Waterloo train and 
underground station. We had a huge room, double bed and 2 singles. Would 
definitely stay here again. Staff were fantastic and very helpful.Read 
moreReview collected in partnership with this hotelDate of stay: January 
2020HelpfulShare</t>
  </si>
  <si>
    <t>Days awayNormally when we stay here it’s good but this time let us down toilet dirty 
sink all scummy around plug hole as was bath plus shower adjuster Brocken 
worst bit I had to clear loads toe nail clippings off floor where been 
leftRead moreReview collected in partnership with this hotelDate of stay: 
December 2019HelpfulShareResponse from TravelodgeUK, James from the Social 
Media Team at Travelodge London Kings Cross Royal ScotResponded 9 Dec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</si>
  <si>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https://www.tripadvisor.co.uk/Hotel_Review-g186338-d1812157-Reviews-or90-Travelodge_London_Waterloo_Hotel-London_England.html#REVIEWS</t>
  </si>
  <si>
    <t>https://www.tripadvisor.co.uk/Hotel_Review-g186338-d243667-Reviews-or430-Travelodge_London_Kings_Cross_Royal_Scot-London_England.html#REVIEWS</t>
  </si>
  <si>
    <t>Go792602 wrote a review Dec 20193 contributions</t>
  </si>
  <si>
    <t>Karen V wrote a review Jan 20201 contribution</t>
  </si>
  <si>
    <t>Recent staygreat location and great staff especially Lyndsey and Hashim so helpful and 
customer focused. Clean room great shower and good breakfast offering. 
Location is good to use as a base for exploring London as so close to 
underground and bus linksRead moreReview collected in partnership with 
TravelodgeDate of stay: January 2020HelpfulShare</t>
  </si>
  <si>
    <t>Don't do itPeeling paper off the walls, mirror in wardrobe filthy.(mascara and all 
sorts) the rooms are absolutely awful. The only redeeming feature about the 
place was the reception staff. Lovely, polite and helpful. Far too good for 
that place.Read moreDate of stay: December 2019HelpfulShareResponse from 
TravelodgeUK, James from the Social Media Team at Travelodge London Kings 
Cross Royal ScotResponded 5 Dec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</si>
  <si>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Jenny B wrote a review Jan 2020Bristol, United Kingdom23 contributions18 
helpful votes</t>
  </si>
  <si>
    <t>misslaughter82 wrote a review Dec 2019Skegness, United Kingdom1 contribution</t>
  </si>
  <si>
    <t>Comfortable and excellent location for Fireworks at New YearHotel easy to find. Located by nice restaurant and small supermarket. We 
travelled to the New Year fireworks and easy to find. Breakfast was good, a 
little busy, but it was New Year! First hotel I have stayed in for a while 
where the window actually opens! Loved fresh air!Read moreReview collected 
in partnership with TravelodgeDate of stay: December 2019HelpfulShare</t>
  </si>
  <si>
    <t>ServiceThe service of the staff was great. Checking in was good and at the 
breakfast area the staff were very friendly. The room was good. The 
corridors were clean and well maintained. Breakfast was very nice and lots 
of variety.Read moreReview collected in partnership with this hotelDate of 
stay: November 2019HelpfulShare</t>
  </si>
  <si>
    <t>Blackbird316 wrote a review Jan 20201 contribution</t>
  </si>
  <si>
    <t>isabelcmoniz wrote a review Dec 2019Amadora3 contributions3 helpful votes</t>
  </si>
  <si>
    <t>Pretty goodThe room was pretty good, this is a good place for value over money. Two 
points I think could be improved is the breakfast which was very dull 
(taste wise) every morning and the paid WiFi which other hotels supply for 
free and not only 30 minutes.Read moreReview collected in partnership with 
this hotelDate of stay: December 2019HelpfulShare</t>
  </si>
  <si>
    <t>Small and confortableWe had a double room reservation, but we were given a twin one, because all 
the doubles taken. The beds were to small and the bedroom was smaller than 
the usual doubles we get in our previous visits. You should guarantee that 
you have what people ask and pay for.Read moreReview collected in 
partnership with this hotelDate of stay: November 2019HelpfulShare</t>
  </si>
  <si>
    <t>Kelly C wrote a review Jan 2020Isle of Wight, United Kingdom2 
contributions14 helpful votes</t>
  </si>
  <si>
    <t>angelalay1942 wrote a review Dec 2019Hartlepool, United Kingdom25 
contributions21 helpful votes</t>
  </si>
  <si>
    <t>Good be betterReception staff very pleasant and helpful, did not use restaurant or bar so 
cannot comment. The rooms were ok but could do with a total refurbish. 
Stayed 3 nights two were very noisy, don’t think will stay in that travel 
lodge again.Read moreReview collected in partnership with this hotelDate of 
stay: November 2019HelpfulShare</t>
  </si>
  <si>
    <t>lisacE2262XH wrote a review Dec 2019Kingston-upon-Hull, United Kingdom18 
contributions8 helpful votes</t>
  </si>
  <si>
    <t>Good stay but lacking something!!!We have stayed here on many many occasions and overall it’s always been 
good, not great but good value, close to kings cross and the staff have 
always been great. We stayed here for 2 nights ( Friday &amp; Saturday) and 
chose here due to getting off the Eurostar at 7 pm and wanting a close 
hotel to the station. The check in was quick and pleasant and the girl was 
very friendly and accommodating. We was on the 2nd floor and let me first 
say that when we got out of the lift, if I could have I would have left the 
hotel. The carpets were filthy and old and the wood and decor is very old 
and in need of a major make over. When we entered the room it was the 
smallest room we have ever stayed in and had I not been tired I would have 
asked for a different room. Once I was over the initial…Read moreDate of 
stay: November 2019HelpfulShare</t>
  </si>
  <si>
    <t>Brilliant StayThis hotel is perfectly situated. You can see the london eye from it! 
Plenty of restaurants in the area. I say this because I have never been a 
fan of Travelodge food (no offence), the room was really clean. Every 
member of staff I came across was friendly and greeted you. I will 100% use 
this hotel again. I would like to say a special thanks to Lindsay on the 
bar, you are fantastic, I use to run a hote myself and I would of loved 
someone like you on my team! I hope your managers read this and know you 
are a credit to them. From the sister of the poorly birthday boy! LolRead 
moreDate of stay: January 2020HelpfulShare</t>
  </si>
  <si>
    <t>https://www.tripadvisor.co.uk/Hotel_Review-g186338-d243667-Reviews-or435-Travelodge_London_Kings_Cross_Royal_Scot-London_England.html#REVIEWS</t>
  </si>
  <si>
    <t>Keith E wrote a review Dec 2019Worcester34 contributions25 helpful votes</t>
  </si>
  <si>
    <t>https://www.tripadvisor.co.uk/Hotel_Review-g186338-d1812157-Reviews-or95-Travelodge_London_Waterloo_Hotel-London_England.html#REVIEWS</t>
  </si>
  <si>
    <t>Competitive cost average hotel accommodationAlways difficult to get a decent price in London. This hotel is competitive 
but there are comorimises, mainly around the size and quality of the 
bathroom. Clean enough but not well maintained and only one person can 
enter at a time, yes it really is that small.Read moreReview collected in 
partnership with this hotelDate of stay: November 2019HelpfulShare</t>
  </si>
  <si>
    <t>missr200 wrote a review Jan 2020Cardiff, United Kingdom14 contributions9 
helpful votes</t>
  </si>
  <si>
    <t>kathyabirch wrote a review Dec 2019Norwich, United Kingdom2 contributions</t>
  </si>
  <si>
    <t>Air con had mind of its ownEverything great at this hotel except for loud air con gurgling and 
powering up a night even when switched off at the mains. Terrible night's 
sleep if you're a light sleeper. Not isolated to one room - have stayed in 
three different rooms and they were all the same - reception staff 
confirmed that even when switched off the air con is like a fridge that 
will loudly power up even when turned off.Read moreDate of stay: January 
2020HelpfulShare</t>
  </si>
  <si>
    <t>Good valuePolite staff and good value. 2ft 6" single beds so quite narrow. Food 
available was basic pizza and salad but great options close by. Small 
kettle but nice to have the option to make a cup of tea. Good location.Read 
moreReview collected in partnership with this hotelDate of stay: November 
2019HelpfulShare</t>
  </si>
  <si>
    <t>smellafrica wrote a review Jan 20201 contribution</t>
  </si>
  <si>
    <t>jkaecram wrote a review Dec 2019Newcastle upon Tyne, United Kingdom6 
contributions</t>
  </si>
  <si>
    <t>surpringly goodStayed for two nights at Travelodge Waterloo. Having stayed at other 
Travelodges which were basic and passable our expectations were not high 
for this stay.. How wrong we could be. This Travelodge, a Travelodge Plus 
was brigh,t airy extremely well run, clean , with friendly proactive staff 
and as much as you can eat breakfast. Great value for money and perfectly 
located in Waterloo for the sights of London .Let' s hope other Travelodges 
follow the model of this one.Read moreReview collected in partnership with 
TravelodgeDate of stay: January 2020HelpfulShare</t>
  </si>
  <si>
    <t>Not travel lodge usual standardStayed in a lot of travel lodges, this is not their usual standard at all. 
Staff are very friendly and helpful but rooms are dirty and in desperate 
need of updating. A handful of rooms on first floor have been updated but 
still not clean. Hotel very noisy at night , several groups of drunk people 
evicted on our first night. Won’t be back to this hotelRead moreReview 
collected in partnership with this hotelDate of stay: November 
2019HelpfulShareResponse from TravelodgeUK, James from the Social Media 
Team at Travelodge London Kings Cross Royal ScotResponded 4 Dec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</si>
  <si>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Fabrice D wrote a review Jan 2020Paris, France5 contributions1 helpful vote</t>
  </si>
  <si>
    <t>Hirsty1970 wrote a review Dec 2019Castleford, United Kingdom12 
contributions1 helpful vote</t>
  </si>
  <si>
    <t>Very nice !The stay was very nice in this hotel. The hotel is very affordable for 
london, and is in a good place, near to the london eye, wesminster(Palace , 
and abbey), Big ben, victoria. According to our room, it was nice, small, 
the good necessary to have some days. The only issue was the noise some 
times we can hear in the hallway. Also we had a room in the ground floor, 
but didn't really suffered about it. In conclusion, i highly recommend, 
especially when you are low budget.Read moreDate of stay: January 
2020HelpfulShare</t>
  </si>
  <si>
    <t>Tired roomsThis is a very busy hotel. The rec.eption and dining area are modern but 
the rooms are very tired looking. Needs new furniture in my opinion. I've 
stayed here twice and both rooms doors/locks dont exactly leave you feeling 
safely locked in or secureRead moreDate of stay: November 
2019HelpfulShareResponse from TravelodgeUK, Ben from the Social Media Team 
at Travelodge London Kings Cross Royal ScotResponded 3 Dec 2019Thank you 
for taking the time to write a review about our London Kings Cross Royal 
Scot hotel.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</si>
  <si>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Isabel wrote a review Jan 20202 contributions</t>
  </si>
  <si>
    <t>robertswa wrote a review Dec 2019Shropshire, United Kingdom3 contributions1 
helpful vote</t>
  </si>
  <si>
    <t>Great little travelodgeStayed here for a weekend trip to London, hotel is located a few minutes 
walk from Waterloo train and underground station, and is only a 5 minute 
walk to the London eye and Thames. We stayed here once before about 5 years 
ago so decided to come back this time. Our room was a bit smaller and the 
bathroom was very compact but it did the job and for the price we paid it 
was more than enough. We had the buffet breakfast which was also great for 
the price paid, lots of hot food of a good quality, and nice fresh fruit 
also available. Would definitely come back again when I next visit 
London.Read moreReview collected in partnership with this hotelDate of 
stay: January 2020HelpfulShare</t>
  </si>
  <si>
    <t>Londonhappy with our stay, we have stayed before but this time the floor we 
stayed on needed a bit of an update, staff where all very polite and 
friendly. good for a base for seeing the sights as close to Kings Cross 
station but not to close.Read moreReview collected in partnership with this 
hotelDate of stay: November 2019HelpfulShare</t>
  </si>
  <si>
    <t>Niall M wrote a review Jan 2020Southampton, United Kingdom1 contribution</t>
  </si>
  <si>
    <t>Great rooms, friendly and helpful staffExcellent location for getting to most places. Perfect if you’re arriving 
at Waterloo. Only a 10 minute walk. Have stayed here before this visit and 
will be back again. Variety a places to eat within 10 minute walk also.Read 
moreReview collected in partnership with this hotelDate of stay: January 
2020HelpfulShare</t>
  </si>
  <si>
    <t>https://www.tripadvisor.co.uk/Hotel_Review-g186338-d243667-Reviews-or440-Travelodge_London_Kings_Cross_Royal_Scot-London_England.html#REVIEWS</t>
  </si>
  <si>
    <t>https://www.tripadvisor.co.uk/Hotel_Review-g186338-d1812157-Reviews-or100-Travelodge_London_Waterloo_Hotel-London_England.html#REVIEWS</t>
  </si>
  <si>
    <t>Z2922DWsylwias wrote a review Jan 2020Sheffield, United Kingdom1 
contribution</t>
  </si>
  <si>
    <t>james_wright_93 wrote a review Dec 20191 contribution</t>
  </si>
  <si>
    <t>Great hotelGreat location close to most London attractions walking distance to rail 
station very nice staff very clean room and pleasant stay . Bar have good 
drink selection will use again when in London next timeRead moreReview 
collected in partnership with this hotelDate of stay: January 
2020HelpfulShare</t>
  </si>
  <si>
    <t>Vix20124 wrote a review Jan 2020Stourbridge, United Kingdom6 contributions2 
helpful votes</t>
  </si>
  <si>
    <t>Very sub-standard TravelodgeVery dated, poorly maintained rooms. Tatty rooms/bathrooms, dated decor, 
mouldy bathroom. Had to transfer rooms as the first was so poor. I would 
not stay in this hotel again unless on a very tight budget and this was all 
that was affordable.Read moreReview collected in partnership with 
TravelodgeDate of stay: November 2019HelpfulShareResponse from 
TravelodgeUK, Ben from the Social Media Team at Travelodge London Kings 
Cross Royal ScotResponded 3 Dec 2019Thank you for taking the time to write 
a review about our London Kings Cross Royal Scot hotel.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</si>
  <si>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Jonathan M wrote a review Dec 2019Cardiff, United Kingdom2 contributions1 
helpful vote</t>
  </si>
  <si>
    <t>Excellent hotel and good valueThis hotel is by far the best Travelodge I have stayed in and it even beats 
some Premier Inns. Very modern and clean. Every single member of staff was 
friendly and happy to engage in conversation. The evening meal was good 
quality and excellent value. Breakfast was also impressive with plenty of 
choice and it was permanently being replenished. Although it is a large 
hotel there was hardly any noise in the rooms and very little noise could 
be heard from outside. Will definitely be staying at this hotel again.Read 
moreReview collected in partnership with this hotelDate of stay: January 
2020HelpfulShare</t>
  </si>
  <si>
    <t>Karen W wrote a review Jan 2020Manchester, United Kingdom2 contributions</t>
  </si>
  <si>
    <t>Excellent Value for Money in London !Loved staying at The Royal Scot in Kings Cross Road, London. Great 
reception area/staff, huge warm double bedroom and ensuite bath/shower 
room, lovely crisp bedding. Breakfast amazing value at under £10. Lovely 
stay, and much better value than nearby Premier Inn. Cant wait to go back 
!Read moreReview collected in partnership with TravelodgeDate of stay: 
November 2019HelpfulShare</t>
  </si>
  <si>
    <t>Manchester girlsSpend two great days here, hotel is very clean, the staff here are very 
friendly and helpful. Nothing was too much trouble especially one member of 
staff called Wendy. Thank you for making our stay so pleasurable.Read 
moreDate of stay: January 2020HelpfulShare</t>
  </si>
  <si>
    <t>Jade O wrote a review Nov 2019St Peter Port, United Kingdom181 
contributions20 helpful votes</t>
  </si>
  <si>
    <t>jmr717 wrote a review Jan 2020Maldon, United Kingdom4 contributions3 
helpful votes</t>
  </si>
  <si>
    <t>Great value basic hotelA very welcoming hotel with all the basics that are needed for a 
comfortable stay in a central location. Thank you to all the staff who made 
our stay pleasant. Next time I need a hotel in central London, I would be 
happy to stay here again.Read moreReview collected in partnership with 
TravelodgeDate of stay: January 2020HelpfulShare</t>
  </si>
  <si>
    <t>Dirty rooms, noisy, mouse problem, staff say it’s “rank” and they don’t 
know why people stayI stayed her for two nights with family. They allocated us 2015 room 
initially. It seemed to be in the depths of the basement (it wasn’t) as we 
had to carry our heavy suitcases down two flights of stairs. The room was a 
double when I’d booked twin. It was absolutely freezing. The window didn’t 
shut properly and the heater wasn’t working. It was one of the most fated 
hotel rooms I’ve stayed in. I went to reception to ask to move. They 
offered us 216 instead. Had to carry the cases back up the stairs. As we 
were heading to the new room a mouse was running along the corridor!! The 
new room was alright. It was dirty. Needed dusting. The bed trim was 
stained. Heater was hanging off the wall. We made a complaint to the 
manager only to be told there wasn’t an issue with mice. He…Read moreDate 
of stay: December 20191 Helpful voteHelpfulShareResponse from TravelodgeUK, 
Shaf from the Social Media Team. at Travelodge London Kings Cross Royal 
ScotResponded 2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</si>
  <si>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LISA C wrote a review Nov 2019Manchester, United Kingdom11 contributions2 
helpful votes</t>
  </si>
  <si>
    <t>https://www.tripadvisor.co.uk/Hotel_Review-g186338-d1812157-Reviews-or105-Travelodge_London_Waterloo_Hotel-London_England.html#REVIEWS</t>
  </si>
  <si>
    <t>Good for what you needThis hotel was fine. Comfy beds and clean. Room was very small and the 
hotel is quite dated. Think there needs to be an upgrade of facilities. All 
we needed the room for was a place to sleep and it achieved that. Very good 
location near Kings Cross and walkable to city centre.Read moreReview 
collected in partnership with this hotelDate of stay: November 
2019HelpfulShare</t>
  </si>
  <si>
    <t>https://www.tripadvisor.co.uk/Hotel_Review-g186338-d243667-Reviews-or445-Travelodge_London_Kings_Cross_Royal_Scot-London_England.html#REVIEWS</t>
  </si>
  <si>
    <t>davidelsy wrote a review Nov 2019Ripon, United Kingdom2 contributions</t>
  </si>
  <si>
    <t>Young retired couple wrote a review Jan 20201 contribution</t>
  </si>
  <si>
    <t>Good value for London but needs a revamp.Having stayed in a number of Travelodges I find this one in need of a 
revamp as many of the others have had. Paintwork scruffy in areas and 
repairs not profesionally undertaken look more like bad DIY jobs.Read 
moreReview collected in partnership with TravelodgeDate of stay: November 
2019HelpfulShare</t>
  </si>
  <si>
    <t>https://www.tripadvisor.co.uk/Hotel_Review-g186338-d1812157-Reviews-or445</t>
  </si>
  <si>
    <t>High quality budget hotelTravelodge Waterloo was refurbished last year and is now of a far superior 
standard to other budget hotels. My husband and I stayed for 2 nights and 
we were very pleased with the general appearance of the hotel. Our room was 
spotlessly clean with attractive decor and tea making facilities well 
stocked with known branded tea, with extra supplies readily available at 
Reception. The breakfast room was kept tidy and the food was of a high 
standard with a good choice of cereal, fruit, pastries and full English 
cooked breakfast. The Reception and bar staff were very welcoming and 
helpful. In fact all the staff were friendly and seemed to be very happy in 
their work! Can definitely recommend.Read moreDate of stay: January 
2020HelpfulShare</t>
  </si>
  <si>
    <t>F6652GCmichaels wrote a review Nov 2019Nottinghamshire2 contributions</t>
  </si>
  <si>
    <t>Recent stayStandard travel lodge room. Staff helpful and friendly. Easy walk to and 
from st Pancras train station. Issue with water leak outside the room in 
the corridor. Left in a mess until maintenance people arrived day 
after.Read moreReview collected in partnership with this hotelDate of stay: 
November 2019HelpfulShare</t>
  </si>
  <si>
    <t>JaymeSwiftt wrote a review Jan 2020Portsmouth, United Kingdom1,351 
contributions6,069 helpful votes</t>
  </si>
  <si>
    <t>Holly wrote a review Nov 20196 contributions1 helpful vote</t>
  </si>
  <si>
    <t>1 nightWe stayed in this travelodge for 1 night whilst staying in London. Check in 
when we got there on the self service machine , few minutes after using it 
, it says faulty machine please go to the desk so yeah that was abit 
annoying. We asked for a high floor room which was nice we got floor 7. 
Nice lifts , nice staff, nice clean hotel. The room was good. ‘Teas and 
coffees was good and tv on the wall and the air con . Now the tv is good 
wanted to watch a few films at night but no signal on a few good channels 
which was annoying and also that bloody air con now it’s good don’t get me 
wrong but they are noisy. We actually turned ya off and it kept coming on 
every 45 mins or something that’s what let it down . Kept waking me up a 
few times and I checked and it was definitely off every…Read moreDate of 
stay: January 202071 Helpful votes1 RepostHelpfulShareResponse from 
TravelodgeUK, James from the Social Media Team at Travelodge London 
Waterloo HotelResponded 12 Jan 2020Thank you for reviewing our Travelodge 
London Waterloo Hotel. We're happy to hear you were pleased with the hotels 
facilities as well as with the service from the hotel's team but we're 
sorry to hear of the issues experienced with air con and connection issues 
in your room as well as the internal noise issues. Please rest assured the 
hotel managers check Tripadvisor reviews of their hotels so your comments 
will be reviewed by the hotel's team. Thank you again for leaving this 
review and we do hope that you choose to stay with us again in the 
future.Read more</t>
  </si>
  <si>
    <t>Chris B wrote a review Jan 2020Yateley, United Kingdom71 contributions13 
helpful votes</t>
  </si>
  <si>
    <t>Excellent Travel LodgeGroup of 14 stayed on New Years Eve. Able to check-in early. Room was 
comfortable as was the bed for a good nights sleep, shower worked well. 
Breakfast was great value for money. Also looked after our bags when we 
checked out so we could go around London for the day. Great location for 
Waterloo Station (8 mins walk)- recommendedRead moreReview collected in 
partnership with TravelodgeDate of stay: December 2019HelpfulShare</t>
  </si>
  <si>
    <t>Utterly underwhelmingUpon arriving &amp; being put into a twin room as opposed to a double we 
thought that a clean &amp; comfortable room would be a nicer place to relax... 
we were wrong. Scruffy furniture, uncomfortable beds &amp; a shower that made 
you dirtier than cleaner. We were so disappointed that we actually booked 
another hotel for the night (Hub by Premier Inn we would 100% recommend if 
you’re looking for a better night sleep at a similar price point)Read 
moreDate of stay: November 20191 Helpful voteHelpfulShareResponse from 
TravelodgeUK, James from the Social Media Team at Travelodge London Kings 
Cross Royal ScotResponded 2 Dec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</si>
  <si>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Medem wrote a review Nov 2019Leeds, United Kingdom3 contributions</t>
  </si>
  <si>
    <t>https://www.tripadvisor.co.uk/Hotel_Review-g186338-d1812157-Reviews-or110-Travelodge_London_Waterloo_Hotel-London_England.html#REVIEWS</t>
  </si>
  <si>
    <t>MandM559 wrote a review Jan 2020Lincoln, United Kingdom66 contributions16 
helpful votes</t>
  </si>
  <si>
    <t>Travelodge Royal ScotA pretty unimpressive one night stay. Whole room rather shabby and an 
unpleasant smell from the bathroom. Had to leave the bedroom window open 
all night to try and clear the smell. Really not a pleasant stay at allRead 
moreReview collected in partnership with this hotelDate of stay: November 
2019HelpfulShareResponse from TravelodgeUK, James from the Social Media 
Team at Travelodge London Kings Cross Royal ScotResponded 2 Dec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</si>
  <si>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Excellent LocationLLoved this Travelodge. The location is great (6-7 minutes walk from 
Waterloo Station and underground and the river). Very friendly staff, clean 
rooms and an excellent restaurant for dinner and a fantastic hot breakfast 
at good prices for central London. We'll be back!Read moreDate of stay: 
January 2020HelpfulShare</t>
  </si>
  <si>
    <t>https://www.tripadvisor.co.uk/Hotel_Review-g186338-d243667-Reviews-or450-Travelodge_London_Kings_Cross_Royal_Scot-London_England.html#REVIEWS</t>
  </si>
  <si>
    <t>Gary Hibberd wrote a review Jan 2020England56 contributions45 helpful votes</t>
  </si>
  <si>
    <t>Ady B wrote a review Nov 2019Boston, United Kingdom2 contributions</t>
  </si>
  <si>
    <t>Not badStayed at this Travelodge a couple of times this year the first stay we had 
a nice big room on the first floor this last stay we were in the upper 
floor here the rooms are much smaller and very outraged paint peeling off 
walls very old looking bathroom ,breakfast was goodRead moreReview 
collected in partnership with this hotelDate of stay: November 
2019HelpfulShare</t>
  </si>
  <si>
    <t>Great location, and lovely peopleWhen you travel as much as I do, it's nice to come 'home' to a friendly 
face! The Travelodge, Waterloo Hotel is not just a nice hotel, it's a warm 
and inviting place to stay. Firstly about the hotel itself. It's situated 
near Waterloo Station (no surprise there), but this is a great location if 
you're visiting the city and need somewhere clean and inviting to stay. The 
rooms are clean and a good size, and while the hotel is on a main road, it 
is very quiet, so a good nights rest is assured. Now on to my favourite 
thing about this hotel; The people. On entering, the receptionist welcomes 
you with a smile and a 'How was your day' greeting. Personally, I judge a 
hotel by this first interaction as it tells me a lot about how the hotel is 
run. This is a great start. Then…Read moreDate of stay: January 
2020HelpfulShare</t>
  </si>
  <si>
    <t>petejcZ58177ME wrote a review Nov 2019York, United Kingdom4 contributions1 
helpful vote</t>
  </si>
  <si>
    <t>waz1961 wrote a review Jan 20202 contributions</t>
  </si>
  <si>
    <t>Good value roomVery comfortable bed and good facilities. Room decoration was a bit tired 
and I didn't like the long walk and steps to get to the room. However, it 
was away from the main road and quiet so overall good.Read moreReview 
collected in partnership with this hotelDate of stay: November 
2019HelpfulShare</t>
  </si>
  <si>
    <t>So CentralThis Travelodge is splitting distance from Waterloo station. I’m disabled 
and this was the perfect place to stay when we came up for a show. A quick 
tube journey and you’re at the theatre without the extra cost for the bed. 
Staff helpful and pleasant, so perfect reallyRead moreReview collected in 
partnership with this hotelDate of stay: December 2019HelpfulShare</t>
  </si>
  <si>
    <t>553valerie wrote a review Nov 2019Edinburgh, United Kingdom1 contribution</t>
  </si>
  <si>
    <t>Santosh Singh wrote a review Jan 2020Manchester, United Kingdom1 
contribution</t>
  </si>
  <si>
    <t>Excellent place, nice staffIt is very strategically located with some very nice family rooms. Staff is 
very nice and friendly. We went for breakfast and dinner included as 
prepaid in our deal. This was an added help as it helped us to view more 
attractions without searching for food.Read moreReview collected in 
partnership with this hotelDate of stay: December 2019HelpfulShare</t>
  </si>
  <si>
    <t>Never again!I paid £168.49 for one night in November Plus points - Staff were very 
pleasant, bedding was clean, breakfast was lovely Minus points - Entire 
hotel needs refurbished, old wood, stale carpets in corridors and room, no 
handrails to get up steps at front door. Springs on my bed were poking out 
all along side of bed very painful to touch, no complimentary toiletries, 
no hair dryer, £20 for a bottle of wine in bar is ridiculousRead moreReview 
collected in partnership with this hotelDate of stay: November 
2019HelpfulShareResponse from TravelodgeUK, Zack from The Social Media Team 
at Travelodge London Kings Cross Royal ScotResponded 28 Nov 2019Thank you 
for reviewing our London Kings Cross Royal Scot hotel. We are pleased to 
hear you found our staff to be friendly and the bedding and breakfast to be 
pleasant, however we are so sorry to hear of the issues that impacted your 
stay. Please be assured the hotel managers check Tripadvisor reviews of 
their hotels so your comments will be reviewed by the hotel's team. Thank 
you again for leaving this review and we do hope that you choose to stay 
with us again in the future.Read more</t>
  </si>
  <si>
    <t>maplecanuck2019 wrote a review Nov 20191 contribution</t>
  </si>
  <si>
    <t>Skip the BreakfastHotel was average value for money. Disappointed that there was only 30 mins 
of free WiFi. Most places where you spend 100 GBP/nt offer free WiFi (even 
most AirBnB's do). Breakfast was mediocre to average. Orange juice tasted 
like watery orange and coffee/cappuccino machines made weak watery coffee. 
Skip the breakfast and go to a local Costa coffee shop &amp; grab a pastry and 
java.Read moreReview collected in partnership with TravelodgeDate of stay: 
November 2019HelpfulShareResponse from TravelodgeUK, Zack from The Social 
Media Team at Travelodge London Kings Cross Royal ScotResponded 28 Nov 
2019Thank you for reviewing our London Kings Cross Royal Scot hotel. We are 
sorry to hear of your disappointment with the WiFi extra and also for your 
disappointment with the breakfast provided at the hotel. Please be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</si>
  <si>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https://www.tripadvisor.co.uk/Hotel_Review-g186338-d1812157-Reviews-or115-Travelodge_London_Waterloo_Hotel-London_England.html#REVIEWS</t>
  </si>
  <si>
    <t>Philip T wrote a review Nov 2019Henley-on-Thames, United Kingdom5 
contributions3 helpful votes</t>
  </si>
  <si>
    <t>Ian K wrote a review Jan 2020Portsmouth, United Kingdom4 contributions</t>
  </si>
  <si>
    <t>Super clean comfortable room with a viewFrom arrival, where the reception team - Humayra, Kaisa and Tiber - were 
very welcoming, to the quiet, well-appointed room with a view of the 
LondonEye, the whole experience was very special. We felt a million dollars 
without breaking the bank!Read moreReview collected in partnership with 
this hotelDate of stay: January 2020HelpfulShare</t>
  </si>
  <si>
    <t>Travelodge London Kings Cross Royal Scot - disappointingThe bed was clean and comfortable. That was the only good point. Poor value 
for money - price in no way justified by the offering. Room facilities 
non-existent or 'tired', basic and utilitarian. No heating or light 
controlRead moreReview collected in partnership with TravelodgeDate of 
stay: November 2019HelpfulShareResponse from TravelodgeUK, Zack from The 
Social Media Team at Travelodge London Kings Cross Royal ScotResponded 28 
Nov 2019Thank you for taking the time to share your experience.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Your feedback has been noted and we thank you once again for reviewing our 
hotel. We do hope you will stay with us in the future.Read more</t>
  </si>
  <si>
    <t>https://www.tripadvisor.co.uk/Hotel_Review-g186338-d243667-Reviews-or455-Travelodge_London_Kings_Cross_Royal_Scot-London_England.html#REVIEWS</t>
  </si>
  <si>
    <t>Carol21 wrote a review Jan 2020Jakarta, Indonesia12 contributions</t>
  </si>
  <si>
    <t>MidlandsButterNut wrote a review Nov 2019Nuneaton, United Kingdom117 
contributions43 helpful votes</t>
  </si>
  <si>
    <t>A Decent Hotel in the City CenterThe hotel is clean and comfortable, quite spacious not too cramped, there 
are some space to open the luggage. It is the perfect place to rest after 
exploring the city the whole day. Travelodge Waterloo location is perfect, 
a short walk to Waterloo station, a few eateries and mini market just next 
door. The shower is good, the water pressure and hot water is good. The 
lift is quite fast and the size is okay, The breakfast is good, plenty of 
seating area and the food is good, but the same menu every day. The only 
downside is that the free Wifi not working properly, should have provide 
free wifi for all customers. We arrived early in the morning, they helped 
us stored our luggage and let us use the toilet too. Will be happy to 
return to this hotel if we come to London again in the…Read moreReview 
collected in partnership with TravelodgeDate of stay: December 
2019HelpfulShare</t>
  </si>
  <si>
    <t>Good location for stations but had key probkemStayed for one night this week. Had difficulty finding it at first. Checked 
in and was given a key. It let me in to where the lifts were but not the 
room. Returned to reception and given another room, same key. Same problem, 
returned to reception. Then had to wait for a member of staff to go to the 
room with me with the same key and tool kit. Had several attempts and 
success, good light showed. Room was tiny, bed pushed against the wall, no 
table to put your morning tea on, room tired and in need of a refresh, 
rusty shower rail, one mug dirty, no nets at the window so those in the 
houses opposite could see you, noisy. Already late for a black tie event so 
decided not to complain (again). Positives? An excellent little Italian 
cafe on the way to Kings Cross station named…Read moreReview collected in 
partnership with this hotelDate of stay: November 2019HelpfulShareResponse 
from TravelodgeUK, Zack from The Social Media Team at Travelodge London 
Kings Cross Royal ScotResponded 28 Nov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</si>
  <si>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dbow1964 wrote a review Jan 20201 contribution</t>
  </si>
  <si>
    <t>Great weeiGreat place and great staff service in restaurant was good and Customer 
service Staff could not do enough to make sure we where I'm Would stay 
there again if I goto London again . Good was great and well cooked 
breakfast was lovelyRead moreReview collected in partnership with 
TravelodgeDate of stay: January 2020HelpfulShare</t>
  </si>
  <si>
    <t>gingerpip wrote a review Jan 2020Deepest Sussex195 contributions93 helpful 
votes</t>
  </si>
  <si>
    <t>Julia L wrote a review Nov 20191 contribution</t>
  </si>
  <si>
    <t>A Good Weekend BreakWe had a super room for our two night stay, which had a coffee machine and 
hairdryer, neither of which we used. The room was very clean, the bed 
comfortable and the water hot. We paid for breakfast, and there was a good 
selection of cooked food, fruit, and cereal. The hotel is well positioned 
for the station and tube, and we found the buses, were a good way of 
getting across the river. A very enjoyable stay, and good value.Read 
moreDate of stay: January 2020HelpfulShare</t>
  </si>
  <si>
    <t>pleasure tripHotel was OK, staff were friendly, but it was noisy with traffic on a 
night, but ideally situated not far from kings cross. Beds were comfy and 
rooms were clean. I would have liked fried eggs at breakfast but it was 
scrambled only but never mind &gt;Read moreReview collected in partnership 
with this hotelDate of stay: November 2019HelpfulShareResponse from 
TravelodgeUK, Zack from The Social Media Team at Travelodge London Kings 
Cross Royal ScotResponded 28 Nov 2019Thank you for taking the time to share 
your experience with regards to your stay at our London Kings Cross Royal 
Scot Travelodge. We are pleased to learn you were happy with the Hotels 
location and you found the room to be clean and comfortable, however we 
would like to sincerely apologise for the your disappointment with the 
traffic noise and lack of fried eggs at breakfast. Your feedback is 
extremely valuable to us as it allow us to improve the service we offer. We 
would like to thank you for the time you have taken to write this review 
and we do hope to see you again soon.Read more</t>
  </si>
  <si>
    <t>https://www.tripadvisor.co.uk/Hotel_Review-g186338-d1812157-Reviews-or120-Travelodge_London_Waterloo_Hotel-London_England.html#REVIEWS</t>
  </si>
  <si>
    <t>ruthikins2019 wrote a review Nov 2019Ipswich, United Kingdom1 contribution</t>
  </si>
  <si>
    <t>SENTHILKUMAR N wrote a review Jan 20201 contribution</t>
  </si>
  <si>
    <t>Needs smartening upNeeds smartening up. The rooms were a little dated. There were dents in the 
door, walls and bins. There were stains on the carpet. The hallway smelled 
stale and needed air. The road was quite noisy and sounded liked the window 
was open but it wasn't.Read moreReview collected in partnership with 
TravelodgeDate of stay: November 2019HelpfulShare</t>
  </si>
  <si>
    <t>Stay in London Waterloo TravelodgeHad a good experience except for a couple of glitches. Breakfast and Dinner 
were tasty but could have had a little more variety. The staff who served 
us Dinner commands a special mention. Maintenance staffs were good.Read 
moreReview collected in partnership with TravelodgeDate of stay: December 
2019HelpfulShare</t>
  </si>
  <si>
    <t>Excursion51583496154 wrote a review Dec 2019Hemel Hempstead, United 
Kingdom2 contributions</t>
  </si>
  <si>
    <t>https://www.tripadvisor.co.uk/Hotel_Review-g186338-d243667-Reviews-or460-Travelodge_London_Kings_Cross_Royal_Scot-London_England.html#REVIEWS</t>
  </si>
  <si>
    <t>Simply Good ValueWe were meeting family and needed a hotel that was central and comfortable 
for a good night's sleep before our activities next day. The Travelodge 
Waterloo ticked all those boxes for an excellent price, close to the middle 
of London.Read moreReview collected in partnership with TravelodgeDate of 
stay: December 2019HelpfulShare</t>
  </si>
  <si>
    <t>Sian R wrote a review Nov 20192 contributions1 helpful vote</t>
  </si>
  <si>
    <t>Keith C wrote a review Dec 2019Andover, United Kingdom2 contributions</t>
  </si>
  <si>
    <t>Excellent Little FindI stayed in the hotel recently due to a local appointment, I was very 
pleasently surprised with this hotel, the staff were wonderful, having food 
available was amazing as my disability means trying to find something 
locally can be difficutl and room was spacious, clean and adequate. Aside 
from the noise of the bathroom fan which was quite loud, I couldnt fimd any 
other fault with this hotel.Read moreReview collected in partnership with 
this hotelDate of stay: November 2019HelpfulShare</t>
  </si>
  <si>
    <t>Travelodge WaterlooGood central location to public transport hubs and all sights and 
facilities of London. Rooms and Shower Rooms are smaller than average 
acceptable for an over night stay BUT not longer in our opinion. Not the 
best hotel BUT reasonably priced.Read moreReview collected in partnership 
with TravelodgeDate of stay: December 2019HelpfulShare</t>
  </si>
  <si>
    <t>wasatthechine wrote a review Nov 2019Saltburn-by-the-Sea, United Kingdom1 
contribution</t>
  </si>
  <si>
    <t>jackie w wrote a review Dec 2019Devon, United Kingdom7 contributions1 
helpful vote</t>
  </si>
  <si>
    <t>kings x TravelodgeSurprisingly quiet for city centre hotel. Staff v friendly and helpful. 
Location excellent with good access to Islington , the West End and very 
near major train stations. difficult to fault on price or cleanliness.Room 
was comfortable but would benefit from an opening window and better 
extraction fanRead moreReview collected in partnership with this hotelDate 
of stay: November 2019HelpfulShare</t>
  </si>
  <si>
    <t>Great location, clean and very comfortableBed comfortable , clean and very close to the south bank and train station. 
Easy for the tube to get you all overr london, and would recommend the Fire 
station for breakfast. Very quiet rooms and we had a great nights sleepRead 
moreReview collected in partnership with TravelodgeDate of stay: December 
2019HelpfulShare</t>
  </si>
  <si>
    <t>David B wrote a review Nov 2019Inverness, United Kingdom2 contributions</t>
  </si>
  <si>
    <t>https://www.tripadvisor.co.uk/Hotel_Review-g186338-d1812157-Reviews-or125-Travelodge_London_Waterloo_Hotel-London_England.html#REVIEWS</t>
  </si>
  <si>
    <t>Michael D wrote a review Dec 2019Greater London, United Kingdom57 
contributions87 helpful votes</t>
  </si>
  <si>
    <t>Dated and very noisyMy partner and I have stayed in a number of travelodges in the past and not 
really had any issues, but did not have a good experience here. The staff 
on arrival were very friendly, and the hotel is located very well for kings 
cross so access is very good. Unfortunately they were the only positives to 
say. The decor is very dated, could tell walking down the hall it hasn't 
been touched in about 50 years. The bathroom was very old in the room, the 
sink didn't drain properly, and there was an issue with the flush on the 
toilet. The beds were comfy enough, but when you did try and go to sleep 
you can hear every sound in the hotel. Everybody that walks past and all 
the doors on the floor slamming shut. On the last night the fire alarm went 
off at 2am which also ruined our sleep.…Read moreDate of stay: November 
2019HelpfulShareResponse from TravelodgeUK, Ben from the Social Media Team 
at Travelodge London Kings Cross Royal ScotResponded 27 Nov 2019Thank you 
for taking the time to write a review about our London Kings Cross Royal 
Scot hotel. We're pleased to hear that you liked the hotels location and 
you found the team to be friendly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</si>
  <si>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Waterloo Road comfortMy first experience of Travelodge was very positive. The room was basic but 
comfortable, very quiet and well kept. The breakfast was excellent with a 
great choice of items and very good value. Dinner was also very good with a 
good if limited choice of menu but good nonetheless and very good 
value.Read moreReview collected in partnership with TravelodgeDate of stay: 
December 2019HelpfulShare</t>
  </si>
  <si>
    <t>Jonathant9964 wrote a review Nov 201910 contributions6 helpful votes</t>
  </si>
  <si>
    <t>Issue with NoiseThis is the second stay there and on both occasions the fire alarm has gone 
off at around 2 am causing people to evacuate . They must have an issue 
with the alarms which they havent or cant resolve A very poor night sleep 
and ruined the next day. I wouldent stay there again due to this obvious 
issue.Read moreReview collected in partnership with this hotelDate of stay: 
November 2019HelpfulShareResponse from TravelodgeUK, Ben from the Social 
Media Team at Travelodge London Kings Cross Royal ScotResponded 27 Nov 
2019Thank you for taking the time to share your experience. We are sorry to 
learn that during your stay at our London Kings Cross Royal Scot hotel you 
were disturbed by a fire alarm. We appreciate all the feedback we receive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again 
for your review.Read more</t>
  </si>
  <si>
    <t>Dazmeister22 wrote a review Nov 2019Hemel Hempstead, United Kingdom66 
contributions19 helpful votes</t>
  </si>
  <si>
    <t>Dan Q wrote a review Dec 201912 contributions</t>
  </si>
  <si>
    <t>Basic but acceptableStayed on a Sunday evening as part of a group booking so only paid £29 so 
an absolute bargain given London prices. The room was basic but clean and 
comfortable. The breakfast was as described by many others pretty average. 
The orange juice tastes like weak orange squash but the rest of the 
breakfast was reasonable and there were croissants. The staff were friendly 
and helpful. Not the sort of place at which you would want to stay more 
than one night, but if you can get a good rate for the room it's not 
bad.Read moreDate of stay: November 2019HelpfulShareResponse from 
TravelodgeUK, Ben from the Social Media Team at Travelodge London Kings 
Cross Royal ScotResponded 27 Nov 2019Thank you for taking the time to write 
a review about our London Kings Cross Royal Scot hotel. We're pleased to 
hear that you found your stay to be good value, the team were friendly and 
helpful and your room was clean and comfortable however we are sorry to 
learn that you felt the facilities were basic and of your disappointment 
with the breakfast. We appreciate all the feedback we receive and our Hotel 
Managers regularly review their TripAdvisor reviews in order to fix any 
issues raised and pass on feedback to their team. Thank you once again and 
we do hope you will stay with us in the future.Read more</t>
  </si>
  <si>
    <t>Travel lodge stay 2 nights, 16th 17th 18th.. Visiting DJ Growth lab 
conference at the minstory &amp; after party ��I just wanted to give you quick review, I certainly felt safe &amp; secure, the 
food is outstanding as well as the staff, comfortable &amp; enjoyable stay A 5 
walk to the minstory of sound night club, perfectRead moreDate of stay: 
November 2019HelpfulShare</t>
  </si>
  <si>
    <t>Linandmike2014 wrote a review Dec 2019Daventry, United Kingdom130 
contributions65 helpful votes</t>
  </si>
  <si>
    <t>https://www.tripadvisor.co.uk/Hotel_Review-g186338-d243667-Reviews-or465-Travelodge_London_Kings_Cross_Royal_Scot-London_England.html#REVIEWS</t>
  </si>
  <si>
    <t>Not as good as previous staysThe first room we stayed in had a free standing heater. We used it whilst 
in the room but noticed the plug got very hot and it smelled. We took the 
plug from the socket to find it was burning . Luckily we found out in time 
and were moved to another room. Unfortunately the next room was equally as 
cold. Took a photo which we shared with reception.Read moreReview collected 
in partnership with TravelodgeDate of stay: December 2019HelpfulShare</t>
  </si>
  <si>
    <t>GOgirl wrote a review Nov 2019United Kingdom286 contributions115 helpful 
votes</t>
  </si>
  <si>
    <t>You get what you pay forWe usually use Premier inns which are pretty consistent so the standard of 
this Travelodge came as a bit of a shock. The first room we were allocated 
was down 2 flights of stairs with no lift. This is not acceptable when you 
have full size suitcases. This room was in very poor condition with a 
window which didn’t close and a heater which didn’t work. It was freezing. 
We complained so were re allocated (having to lift the cases back up the 
stairs). This room was better but still dusty and rundown. The heater was 
hanging off the wall but at least it was working. During our walk to the 
new room allocation we saw a mouse run up the corridor in front of us. I 
reported this to the duty manager who claimed they didn’t have a problem 
with mice until I pointed out that trip advisor…Read moreDate of stay: 
November 2019HelpfulShareResponse from TravelodgeUK, Ben from the Social 
Media Team at Travelodge London Kings Cross Royal ScotResponded 28 Nov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</si>
  <si>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https://www.tripadvisor.co.uk/Hotel_Review-g186338-d1812157-Reviews-or130-Travelodge_London_Waterloo_Hotel-London_England.html#REVIEWS</t>
  </si>
  <si>
    <t>thughes62019 wrote a review Nov 2019Tamworth, United Kingdom1 contribution</t>
  </si>
  <si>
    <t>Ronja wrote a review Dec 2019Malmö, Sweden26 contributions4 helpful votes</t>
  </si>
  <si>
    <t>Nice stayWe had a good stay and the location was great for our trip! The room was 
clean, check-in went easily and the staff was friendly. Nothing fancy but 
we were definitely cozy. Never ate in the restaurant.Read moreDate of stay: 
December 2019HelpfulShare</t>
  </si>
  <si>
    <t>GrottyFilthy, bath taps broke &amp; no plug hole! Staff didn’t even know where the 
euro star was when I asked &amp; I could also barely understand them. Breakfast 
was awful, the scrambled eggs were like rubber &amp; the bacon just overcooked 
wafers! The beds were really uncomfortable &amp; everywhere looked like it 
needed to be made over it’s all very dated &amp; dirtyRead moreReview collected 
in partnership with this hotelDate of stay: November 
2019HelpfulShareResponse from TravelodgeUK, James from the Social Media 
Team at Travelodge London Kings Cross Royal ScotResponded 26 Nov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</si>
  <si>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Lisa Wilson wrote a review Dec 2019Jaen, Spain9 contributions</t>
  </si>
  <si>
    <t>Nicola K wrote a review Nov 2019Mexborough, England, United Kingdom2 
contributions</t>
  </si>
  <si>
    <t>FabulousThe rooms and bathrooms were clean and well presented, the cleaning staff 
worked tremendously hard and were happy to help with all requests. The 
manager was welcoming and helpful. The dinning room was clean and well 
stocked. The staff lady with red hair at breakfast time was an absolute 
delight, she was very helpful and so polite. The receptionists were patient 
and helpful despite having to change my door card several times. The staff 
definitely make this travelodge.Read moreDate of stay: December 
2019HelpfulShare</t>
  </si>
  <si>
    <t>NoisyThe staff were friendly and helpful. The place however was very noisy and 
we didn’t really get much sleep. This was my first time in travel lodge and 
will probably be my last. The hotel set up was very confusing too almost 
like a maze.Read moreReview collected in partnership with this hotelDate of 
stay: November 2019HelpfulShareResponse from TravelodgeUK, Ben from the 
Social Media Team at Travelodge London Kings Cross Royal ScotResponded 26 
Nov 2019Thank you for taking the time to write a review about our London 
Kings Cross Royal Scot hotel. We're pleased to hear that you found the team 
to be friendly and helpful however we are sorry to learn that you found the 
hotel to be noisy. If customers are causing noise that may disrupt other 
guests our hotel teams will ensure that they politely ask them to lower the 
noise levels. We strive to make our customers as comfortable as possible 
and we would like to apologise if on this occasion we were not able to 
offer you a good night's sleep. We appreciate all the feedback we receive 
and our Hotel Managers regularly review their TripAdvisor reviews in order 
to fix any issues raised and pass on feedback to their team. Thank you once 
again and we do hope you will stay with us in the future.Read more</t>
  </si>
  <si>
    <t>swannic wrote a review Nov 201945 contributions20 helpful votes</t>
  </si>
  <si>
    <t>Clare C wrote a review Dec 20191 contribution</t>
  </si>
  <si>
    <t>Overnight Stay in Central LondonExcellent location, only 5 minutes walk from Waterloo Station. The room was 
clean, very comfortable and surprisingly spacious for the price. The coffee 
machine is a nice touch and I would definitely use this hotel again for an 
overnight stay in a central London location.Read moreReview collected in 
partnership with this hotelDate of stay: November 2019HelpfulShare</t>
  </si>
  <si>
    <t>Okay, convenient location for Kings CrossRooms clean but small and dated. Rooms could be darker, little lights 
inside room and curtains didn’t block out all external light. Very basic, 
okay for a stopover before Eurostar if on a budget. Hotel has bar and 
restaurant which we didn’t try. Staff friendly and helpful.Read moreReview 
collected in partnership with this hotelDate of stay: November 
2019HelpfulShareResponse from TravelodgeUK, Niki from The Social Media Team 
at Travelodge London Kings Cross Royal ScotResponded 26 Nov 2019Thank you 
for sharing your experience with us. It is great to hear, that you have 
enjoyed your stay with us at our London Kings Cross Royal Scot hotel. Rest 
ensured, that we will take you comments for further encouragement within 
the hotel team to ensure a friendly welcome and a comfortable stay is 
provided again for your next visit with us. Thank you again for taking the 
time to share your experience and we hope to have the chance to welcome you 
back soon.Read more</t>
  </si>
  <si>
    <t>DSS454 wrote a review Dec 2019Dorset, United Kingdom3 contributions</t>
  </si>
  <si>
    <t>Great for Waterloo Station and Central LondonThis hotel is a very short walk from Waterloo Station so is ideal for those 
arriving by train here. The area is also well served by buses. The prices 
are reasonable for London and many tourist attractions are within easy 
walking distance. The rooms are modern, simple but comfortable and it was 
ideal for our long weekend visit. There are restaurants and bars nearby and 
we enjoyed the fish and chips at Masters Superfish which is almost next 
door.Read moreReview collected in partnership with TravelodgeDate of stay: 
December 2019HelpfulShare</t>
  </si>
  <si>
    <t>https://www.tripadvisor.co.uk/Hotel_Review-g186338-d243667-Reviews-or470-Travelodge_London_Kings_Cross_Royal_Scot-London_England.html#REVIEWS</t>
  </si>
  <si>
    <t>https://www.tripadvisor.co.uk/Hotel_Review-g186338-d1812157-Reviews-or135-Travelodge_London_Waterloo_Hotel-London_England.html#REVIEWS</t>
  </si>
  <si>
    <t>Cheltonian2014 wrote a review Nov 2019Cheltenham, United Kingdom23 
contributions14 helpful votes</t>
  </si>
  <si>
    <t>naywilk wrote a review Dec 2019West Sussex, United Kingdom2 contributions</t>
  </si>
  <si>
    <t>Travelodge Royal Scot- King's CrossThe rooms are tired and on the smaller size. The bathroom is particularly 
small and could not fit two people in at the same time. One HUGE plus is 
the staff in reception, special mention to Joel who was really kind and 
welcoming!Read moreReview collected in partnership with this hotelDate of 
stay: November 2019HelpfulShareResponse from TravelodgeUK, Zack from The 
Social Media Team at Travelodge London Kings Cross Royal ScotResponded 25 
Nov 2019Thank you for leaving your review of our London Kings Cross Royal 
Scot hotel. We are pleased to hear that our staff provided great service 
during your stay, however we are sorry to hear of your disappointment with 
the size of the room and bathroom that you were allocated. Please be 
assured the hotel managers check Tripadvisor reviews of their hotels so 
your comments will be reviewed by the hotel's team. Thank you again for 
leaving this review and we do hope that you choose to stay with us again in 
the future.Read more</t>
  </si>
  <si>
    <t>Great stayWe only stayed at the hotel for one night for a party nearby, but had a 
good stay. Staff on reception helpful, room very clean with everything that 
we needed, and breakfast was lovely with lots of options. Great location 
too.Read moreReview collected in partnership with this hotelDate of stay: 
November 2019HelpfulShare</t>
  </si>
  <si>
    <t>joodsutt wrote a review Nov 2019York, United Kingdom1 contribution</t>
  </si>
  <si>
    <t>martinfoster154 wrote a review Dec 20191 contribution</t>
  </si>
  <si>
    <t>London tripYou know what You’re getting with Travelodge...clean, comfortable and 
reasonably priced. however, you also know there won’t be enough members of 
staff on reception so expect delay for checking in. Will still come 
again.Read moreReview collected in partnership with this hotelDate of stay: 
November 2019HelpfulShare</t>
  </si>
  <si>
    <t>Waterloo travelodgeGreat position, easy walk to Southbank. Lovely helpfull staff. A window 
that opened! Small clean room. Restaurant and bar on site. Shame that 
there's no car park but parking on Southbank easy enough and close 
enough.Read moreReview collected in partnership with this hotelDate of 
stay: December 2019HelpfulShare</t>
  </si>
  <si>
    <t>robharris5 wrote a review Nov 2019Bromley, United Kingdom6 contributions</t>
  </si>
  <si>
    <t>stevencoe08 wrote a review Dec 2019Southampton, United Kingdom1 contribution</t>
  </si>
  <si>
    <t>Great hotel, staff and locationAmazing value for money and perfect location for an early train from King's 
Cross or St Pancras. Enough places to eat nearby but the hotel food is 
equally good and affordable. Also worth mentioning how friendly the staff 
were on my visit.Read moreReview collected in partnership with 
TravelodgeDate of stay: November 2019HelpfulShare</t>
  </si>
  <si>
    <t>Just what you needThe room it's self is as you would expect, very clean and very tidy. We had 
no complaints at all. The staff are very friendly and helpful too. We 
didn't stay for breakfast so I can't say much about that, but it did look 
and smell good.Read moreReview collected in partnership with this hotelDate 
of stay: December 2019HelpfulShare</t>
  </si>
  <si>
    <t>wendysmith2 wrote a review Nov 2019Dover, United Kingdom1 contribution</t>
  </si>
  <si>
    <t>Sarah G wrote a review Dec 2019Poulton Le Fylde, United Kingdom9 
contributions3 helpful votes</t>
  </si>
  <si>
    <t>Great locationYou know what to expect with Travelodge - clean rooms, friendly staff. This 
one is a great location too - five minutes walk from Kings Cross. 
Surprisingly quiet too. The walk includes Sainsbury’s, coffee shops, 
restaurants and cafes so if you don’t take advantage of the hotel’s bar and 
restaurant there is plenty of choice. Or take the tube into the city 
centre. Our second time here and not our last!Read moreReview collected in 
partnership with this hotelDate of stay: November 2019HelpfulShare</t>
  </si>
  <si>
    <t>Basic at bestNo hairdryer in the rooms but tea and coffee making facilities, must have 
been designed by a man!? Didn't realise there was no hairdryer till i'd had 
a shower and then realised there's also no phone in the room either. Tried 
to call reception using the number on the website, no answer, tried via the 
central line, still no answer ! Won't be staying again.Read moreDate of 
stay: December 20191 Helpful voteHelpfulShareResponse from TravelodgeUK, 
Shaf from the Social Media Team. at Travelodge London Waterloo 
HotelResponded 8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</si>
  <si>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https://www.tripadvisor.co.uk/Hotel_Review-g186338-d1812157-Reviews-or140-Travelodge_London_Waterloo_Hotel-London_England.html#REVIEWS</t>
  </si>
  <si>
    <t>michelle28852019 wrote a review Dec 2019Temple, Texas1 contribution</t>
  </si>
  <si>
    <t>Best for this priceGreat hotel! Friendly staff, has a bar in the lobby, vending machines for 
snacks, affordable breakfast! Nice location... best hotel for the price! 
First time in london and it was great! Will definitely be returningRead 
moreDate of stay: November 2019HelpfulShare</t>
  </si>
  <si>
    <t>Transportert5 wrote a review Dec 2019Barnsley, United Kingdom14 
contributions5 helpful votes</t>
  </si>
  <si>
    <t>https://www.tripadvisor.co.uk/Hotel_Review-g186338-d1812157-Reviews-or450</t>
  </si>
  <si>
    <t>Lovely HotelOur first visit to London in 35 yrs since being a teenager (for sightseeing 
anyway). We booked in at travelodge near Waterloo station. A very typical 
travelodge regarding clean, comfy nice surroundings, but what set this 
apart without any shadow of a doubt was the staff. Great team here, and in 
particular, Atreyo on the bar duties. Never have I wanted to spend more 
company in a staff members presence than this chap. He has an excellent 
knowledge of his bar, and has an infectious personality which kept us in 
his bar all night. Hats off travelodge in Waterloo. Staff 5*Read moreDate 
of stay: December 2019HelpfulShare</t>
  </si>
  <si>
    <t>Andy S wrote a review Dec 2019Hastings, United Kingdom28 contributions26 
helpful votes</t>
  </si>
  <si>
    <t>Dirty long weekendJust got back from 4 days in London, the hotel was lovely, really modern, 
clean and fresh. The staff were friendly and helpful, especially Lindsey 
who worked her backside off. Thanks for a great few days. We stayed in a 
super room, definitely recommend the extra cost, very quiet and modern.Read 
moreDate of stay: December 2019HelpfulShare</t>
  </si>
  <si>
    <t>https://www.tripadvisor.co.uk/Hotel_Review-g186338-d243667-Reviews-or475-Travelodge_London_Kings_Cross_Royal_Scot-London_England.html#REVIEWS</t>
  </si>
  <si>
    <t>Llewellyn L wrote a review Nov 20192 contributions1 helpful vote</t>
  </si>
  <si>
    <t>https://www.tripadvisor.co.uk/Hotel_Review-g186338-d1812157-Reviews-or145-Travelodge_London_Waterloo_Hotel-London_England.html#REVIEWS</t>
  </si>
  <si>
    <t>pancho1967 wrote a review Dec 2019Oxford, United Kingdom153 contributions39 
helpful votes</t>
  </si>
  <si>
    <t>Things 'vanished' from room after departureSpent two nights here for a conference. Left in a hurry and left a bunch of 
things in the room. I called them up within a couple of hours and a 
gentleman told me he would 'have a look before the cleaners arrived'. 
Subsequently nothing was found, despite a pile of clothes being left 
explicitly in view on the table. I have come to the natural logical 
conclusion that these clothes 'vanished' as I can fathom why anyone would 
take sweaty sports gear, worn underwear and tatty old work shirts. Anyway, 
regardless, if you're around on business, I suggest you look for a hotel 
where leftover belongings do not vanish the instant you leave your room, as 
this can be an inconvenience. Perhaps look for one with a functioning lost 
property process, as this has been known to countenance the…Read moreDate 
of stay: November 2019HelpfulShareResponse from TravelodgeUK, Ben from the 
Social Media Team at Travelodge London Kings Cross Royal ScotResponded 25 
Nov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</si>
  <si>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Friendly Quiet and comfortableOften stay here . It's quiet and comfortable. Staff are super friendly. 
Breakfast starts early and is is always tasty . Ask for a room on the 
higher floors for a silent room . Would nice to get unlimited wifi . Hotel 
is very convenient for Waterloo station and StThomas hospitalRead moreDate 
of stay: February 2017HelpfulShare</t>
  </si>
  <si>
    <t>KenT163 wrote a review Nov 2019Pontefract, United Kingdom72 contributions15 
helpful votes</t>
  </si>
  <si>
    <t>Great place to stay to explore LondonVery comfortable rooms and very friendly staff, this hotel is ideally 
located to explore London being near to Kings Cross station and tube links. 
The rooms were very quiet and the hotel is manned 24 hours making it very 
safe and secure. Highly recommended and reasonably pricedRead moreReview 
collected in partnership with this hotelDate of stay: November 
2019HelpfulShare</t>
  </si>
  <si>
    <t>Crazy55 wrote a review Dec 2019Henlow, United Kingdom16 contributions10 
helpful votes</t>
  </si>
  <si>
    <t>Jenny F wrote a review Nov 20191 contribution</t>
  </si>
  <si>
    <t>Locations is greatWe had another wonderful stay here for the Remembrance Parade at the 
Cenotaph. never anything wrong . Staff very helpful. Rooms clean. Food 
great. We couldn't ask for a better hotel to stay in and so close to 
Waterloo Station.Read moreReview collected in partnership with this 
hotelDate of stay: November 2019HelpfulShare</t>
  </si>
  <si>
    <t>Dirty / dated room.Dirty room, black mould in bathroom, pubic hairs in bath, stains on carpet. 
Kettle dirty, tv remote back missing so batteries kept falling out. 
Aarrgghhh......Booked 10 weeks in advance and paid £109.95 for 1 night 
without breakfast!!! The best part was checkout. AVOID.Read moreReview 
collected in partnership with this hotelDate of stay: November 
2019HelpfulShareResponse from TravelodgeUK, Ben from the Social Media Team 
at Travelodge London Kings Cross Royal ScotResponded 24 Nov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</si>
  <si>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Bearwords wrote a review Dec 2019Derby, United Kingdom9 contributions4 
helpful votes</t>
  </si>
  <si>
    <t>Ewan_Mclean1 wrote a review Nov 2019Aberdeen, United Kingdom1 contribution</t>
  </si>
  <si>
    <t>Excellent valueThis hotel is excellent value considering it’s central location. It is 
within walking distance of major train and tube stations, surrounded by 
plenty of shops and eating places. The hotel is clean, quiet and convenient 
for exploring central LondonRead moreReview collected in partnership with 
this hotelDate of stay: November 2019HelpfulShare</t>
  </si>
  <si>
    <t>Tired hotel, not very cleanWe stayed for 5 nights in November 2019. We were there to eat out, see some 
shows and some sights so had little intention of spending long in the hotel 
beyond sleeping so we're happy to go with somewhere cheap and central. 
Expectations were quite low at this price point but with a travel lodge we 
thought that certain standards of cleanliness would be in place. The 
entrance was clean and staff were friendly but a little awkward. The hall 
had light bulbs out but was in decent repair. The room had flaking paint, 
dust in corners and on skirting boards, cups had hair and gunk in them. Bed 
was comfy and shower warm and powerful. The safe was missing as was an 
ironing board. The staff said they were kept next to the vending machines, 
if they weren't there then there were none and I…Read moreDate of stay: 
November 2019HelpfulShareResponse from TravelodgeUK, Ben from the Social 
Media Team at Travelodge London Kings Cross Royal ScotResponded 24 Nov 
2019Thank you for taking the time to write a review about our London Kings 
Cross Royal Scot hotel.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</si>
  <si>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https://www.tripadvisor.co.uk/Hotel_Review-g186338-d1812157-Reviews-or150-Travelodge_London_Waterloo_Hotel-London_England.html#REVIEWS</t>
  </si>
  <si>
    <t>simonskemp wrote a review Nov 2019Sheerness, United Kingdom118 
contributions52 helpful votes</t>
  </si>
  <si>
    <t>https://www.tripadvisor.co.uk/Hotel_Review-g186338-d243667-Reviews-or480-Travelodge_London_Kings_Cross_Royal_Scot-London_England.html#REVIEWS</t>
  </si>
  <si>
    <t>Fantastic place great staffJust came back from Waterloo travel lodge and it was for three days, room 
was very clean staff behind the bar are fantastic very helpful and friendly 
to the guests. The hotel is close enough to walk to the London eye and 
everything else , you look on your phone at the map and stuff looks a very 
long way away but we walked from hotel to Hyde park 25 mins . Just now the 
Christmas markets are about by the London eye and by nelsons column also 
winter wonderland, which you must see there is nothing like it.Read 
moreDate of stay: November 2019HelpfulShare</t>
  </si>
  <si>
    <t>1louise2016 wrote a review Nov 2019Alton, United Kingdom14 contributions11 
helpful votes</t>
  </si>
  <si>
    <t>Karen L wrote a review Nov 2019San Francisco4 contributions1 helpful vote</t>
  </si>
  <si>
    <t>Good location for Waterloo Station &amp; nearby areaStayed here for a weekend with a group of friends recently. The hotel was 
clean and well kept, apart from only one lift working at the time. Ideally 
located for access to Waterloo Station and the South Bank. Staff were 
efficient, helpful and friendly and I would consider staying there 
again.Read moreReview collected in partnership with TravelodgeDate of stay: 
November 2019HelpfulShare</t>
  </si>
  <si>
    <t>Great hotel, rubbish restaurantThe hotel was lovely, great little room, absolutely perfect. Lovely welcome 
at reception. As far as the hotel was concerned, I would give it 5 stars. 
Having used the restaurant here before, many years ago, I didn't intend 
using it this time. But we got back very late at night so against my better 
judgement we opted for pizza in the restaurant which is served all night. 
Bad idea. 40 minutes after ordering we realised they had lost our order. 
When they brought the pizzas out, they weren't cooked enough, so we sent 
them back. When they brought them out again one of them was still not 
cooked through. At this point we asked for a refund on the uncooked pizza 
because we were fed up waiting.Read moreReview collected in partnership 
with this hotelDate of stay: November 2019HelpfulShare</t>
  </si>
  <si>
    <t>Nigel S wrote a review Nov 2019Lightwater, United Kingdom5,263 
contributions214 helpful votes</t>
  </si>
  <si>
    <t>lewiskathryn wrote a review Nov 2019Crewe, United Kingdom7 contributions4 
helpful votes</t>
  </si>
  <si>
    <t>Overpriced and poor internet policyWhen we started using this hotel it was often reasonably priced, but lately 
it has become overpriced for what it is. The wi-fi policy is rediculous 
considering the need of the modern traveller. 2 devices only can be 
attached and when you consider everyone has a smartphone, then we travel 
with laptops and an iPad each, its wrong. Strangely, they have added two 
USB sockets either side of the bed and a further two at the desk. The room 
was a bit small and the shower curtain didn't reach the pan and so water 
leaked all over the floor during a shower, and as they only supplied two 
bath towels and one handtowel, it was difficult. On the up side the staff 
generally were great as was the breakfast and location.Read moreDate of 
stay: November 20191 Helpful voteHelpfulShareResponse from TravelodgeUK, 
Ben from the Social Media Team at Travelodge London Waterloo HotelResponded 
28 Nov 2019Thank you for taking the time to write a review about our London 
Waterloo hotel. We're pleased to hear that you liked the hotels location, 
the team and the breakfast however we are sorry to learn that you did not 
find your room to be of great value, and we are sorry to learn of the 
disappointment caused by other aspects of your stay.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We appreciate all 
the feedback we receive and our Hotel Managers regularly review their 
TripAdvisor reviews in order to fix any issues raised and pass on feedback 
to their team. Thank you once again and we do hope you will stay with us in 
the future.Read more</t>
  </si>
  <si>
    <t>Kings Cross Royal Scot Travelodge stayI often stay at this Travelodge as it one of the most affordable in Central 
London and not too far from the main rail stations. I have given it an 
average score as it is a little tired in decor with carpet stains etc, 
although clean enough. The staff have always been friendly and helpful.Read 
moreDate of stay: November 2019HelpfulShareResponse from TravelodgeUK, 
James from the Social Media Team at Travelodge London Kings Cross Royal 
ScotResponded 21 Nov 2019Thank you for reviewing our Travelodge London 
Kings Cross Royal Scot Hotel. We are very happy to hear that you enjoyed 
this stay with us but we're sorry to hear of the wear and tear experienced 
at the hotel. Please rest assured that the hotel's management team do check 
up on reviews of their hotels so your comments have been passed on. Once 
again we'd like to thank you for leaving this review and we do hope that 
you stay with us again!Read more</t>
  </si>
  <si>
    <t>jolyonjago wrote a review Nov 2019London, United Kingdom1 contribution</t>
  </si>
  <si>
    <t>AMG81 wrote a review Nov 2019Cirencester, United Kingdom7 contributions</t>
  </si>
  <si>
    <t>Dont stay hereBed and wifi great everything else rubbish. Room stifling hot on arrival 
and had to hunt down the hidden heater that was on full blast. Then went to 
have my pre-paid dinner to find the waitress ranting and raving and 
threatening to walk out. Smashing plates around and shouting at staff in 
the kitchen over a walkie talkie well within earshot of families with 
children. I left to find a safe place to eat. All staff generally not happy 
and the place is clearly very poorly managedRead moreReview collected in 
partnership with TravelodgeDate of stay: November 2019HelpfulShareResponse 
from TravelodgeUK, Zack from The Social Media Team at Travelodge London 
Waterloo HotelResponded 28 Nov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</si>
  <si>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Gwhite55 wrote a review Nov 2019Lincoln, United Kingdom15 contributions7 
helpful votes</t>
  </si>
  <si>
    <t>TerribleMy partner and I booked to stay here for 2 nights as it was close to 
central London. We arrived late on a Sunday evening. After getting to our 
room we discovered we had been given a twin room instead of a double. We 
went back to reception and they happily swapped it for a double. The new 
room was in the far bottom corner of level 2. As we entered it was 
absolutely freezing. There was a small heater on one of the walls that 
didn’t work. I then went into the bathroom to have a shower only to find 
the shower still had other persons hair in it. The sink was blocked and 
took all night to drain. I should of gone back to reception then but as it 
was late I thought I’d leave it until the morning. We left in the morning 
leaving the please clean room sign on the door and mentioned the…Read 
moreDate of stay: November 2019HelpfulShareResponse from TravelodgeUK, 
James from the Social Media Team at Travelodge London Kings Cross Royal 
ScotResponded 21 Nov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</si>
  <si>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phil007h2609 wrote a review Nov 2019Westbury, United Kingdom10 
contributions2 helpful votes</t>
  </si>
  <si>
    <t>Avoid.Broken air conditioning in the room reduced me to climbing into bed to keep 
warm. Emerging and going for some food - shouldn’t have bothered. The pizza 
was a disgrace to the name, the kitchen and staff in chaos. Couple next to 
me were served cold food and promptly left. - and I don’t blame ‘em. Couple 
it all up with normal london service mediocrity from people likely earning 
the minimum wage whilst the room costs £100+ for a night, well, save your 
money and go elsewhere. Anywhere.Read moreReview collected in partnership 
with TravelodgeDate of stay: November 2019HelpfulShareResponse from 
TravelodgeUK, Zack from The Social Media Team at Travelodge London Waterloo 
HotelResponded 28 Nov 2019Thank you for taking the time to provide your 
feedback following your recent stay with us. We are sorry to learn of your 
experience in our room and bar cafe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</si>
  <si>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A good stayHad a very good stay The room was very clean and tidy staff very helpful 
the location is easy to get to small shops around if you need anything 
would definitely recommend staying here Breakfast is very nice as wellRead 
moreReview collected in partnership with this hotelDate of stay: November 
2019HelpfulShare</t>
  </si>
  <si>
    <t>https://www.tripadvisor.co.uk/Hotel_Review-g186338-d1812157-Reviews-or155-Travelodge_London_Waterloo_Hotel-London_England.html#REVIEWS</t>
  </si>
  <si>
    <t>https://www.tripadvisor.co.uk/Hotel_Review-g186338-d243667-Reviews-or485-Travelodge_London_Kings_Cross_Royal_Scot-London_England.html#REVIEWS</t>
  </si>
  <si>
    <t>Barbara C wrote a review Nov 2019Yeovil, United Kingdom10 contributions3 
helpful votes</t>
  </si>
  <si>
    <t>Escape39502444584 wrote a review Nov 2019Bristol, United Kingdom3 
contributions</t>
  </si>
  <si>
    <t>Easy acesss to station &amp; EmbankmentThe Hotel was very conveint to Station minute walk to express shops &amp; 
Embankment, Shard all within easy walking ideal, lovely friendly Hotel 
clean and good Staff, Breakfast was lovely, Plenty of it, good value, comfy 
beds too, very quiet, been here many times before and keep coming back,Read 
moreReview collected in partnership with TravelodgeDate of stay: November 
2019HelpfulShare</t>
  </si>
  <si>
    <t>Budget stay in convenient locationConvenient for overnight stay near Scala. Tired room: rusty shower rail, 
ripped shower curtain, flush system not working every time, chipped mug. 
Good shower pressure. Friendly front of house staff, tea bags etc on 
reception desk so could help self.Read moreReview collected in partnership 
with this hotelDate of stay: November 2019HelpfulShareResponse from 
TravelodgeUK, Zack from The Social Media Team at Travelodge London Kings 
Cross Royal ScotResponded 21 Nov 2019Thank you for leaving your review of 
our London Kings Cross Royal Scot hotel. We are pleased to hear that you 
found the location to be ideal and that our staff were helpful and friendly 
during your stay, however we are sorry to hear of your disappointment with 
the bathroom within the room. Please be assured the hotel managers check 
Tripadvisor reviews of their hotels so your comments will be reviewed by 
the hotel's team. Thank you again for leaving this review and we do hope 
that you choose to stay with us again in the future.Read more</t>
  </si>
  <si>
    <t>pm26273 wrote a review Nov 20197 contributions3 helpful votes</t>
  </si>
  <si>
    <t>Ray R wrote a review Nov 2019Gibraltar2 contributions</t>
  </si>
  <si>
    <t>ExcellentI can not fault this hotel, it is the best travel lodge I have ever stayed 
in. Excellent location. I think the staff are a real credit to the hotel, 
ALL the staff were polite and helpful. No question or request was too much. 
Excellent friendly bar staff also and food and drink came out really 
quickly and with a warm friendly smile. Kitchen staff and housekeeping were 
also very helpful and friendly, in fact everyone was. We had a super room 
and have no complaints about that either. It was such a quiet room and 
everything was clean and all the gadgets worked, great shower too and 
that's hard to find in a hotel! Breakfast was well worth the price and the 
food was better then the boutique hotel we stayed in the previous night 
which was almost three times the price! Thank you to…Read moreDate of stay: 
November 2019HelpfulShare</t>
  </si>
  <si>
    <t>A pleasant stayThe hotel was a short walk from the train station and restaurants. The room 
was quite Small basic but clean and has all essentials. Staff were helpful 
especially receptionist Bella. Good value for money. We would stay 
again.Read moreReview collected in partnership with this hotelDate of stay: 
November 2019HelpfulShare</t>
  </si>
  <si>
    <t>Geoff C wrote a review Nov 2019Weymouth, United Kingdom12 contributions5 
helpful votes</t>
  </si>
  <si>
    <t>Jane_Ali_Neilson wrote a review Nov 2019Stirling, United Kingdom5 
contributions3 helpful votes</t>
  </si>
  <si>
    <t>Not at all badBeing a Travelodge, the prices fluctuate from the sublime to the ridicules, 
but we managed to pick up a Wednesday and Thursday night stay, in April, 
for £30 per night. It’s situated in reasonable walking distance, with case, 
from Waterloo mainline and underground station, it’s easy to get to. Nearer 
the station is a Sainsbury’s local and a Tesco Express. Pubs close by: the 
converted fire brigade station (called the fire brigade station), the 
Wellington, on the main road by the bridge, and opposite, up Mepham street, 
towards the main line station; a quirky little pub called the hole in the 
wall. Plenty of bus routes to chose from; going both north and south of the 
river.Read moreDate of stay: April 2019HelpfulShare</t>
  </si>
  <si>
    <t>Great stay!Enjoyed a comfortable stay. Great location, near kings cross station. 
Plenty fast food outlets nearby. Hotel staff very friendly and helpful. 
Free coffee in downstairs lounge for guests was a nice touch.Read 
moreReview collected in partnership with this hotelDate of stay: November 
2019HelpfulShare</t>
  </si>
  <si>
    <t>Sally K wrote a review Nov 2019Southampton, United Kingdom2 contributions2 
helpful votes</t>
  </si>
  <si>
    <t>ewan27 wrote a review Nov 2019Cockermouth, United Kingdom14 contributions9 
helpful votes</t>
  </si>
  <si>
    <t>Comfortable stayWe were here for one night to stay over after a concert. Room was clean, 
fresh and comfortable.The staff were all kind and helpful. Checking in was 
simple too! Realised there wasn’t a hairdryer in the room after washing my 
hair! Must remember to collect one from reception first next time!!Read 
moreReview collected in partnership with this hotelDate of stay: November 
2019HelpfulShare</t>
  </si>
  <si>
    <t>Excellent overnight hotelGood location, comfortable bed, bathroom with bath and shower. Quiet room 
so good sleep. Easy to get to from Euston. Good Italian restaurant close 
by...also Exmouth market. Safe area . Bedroom spaciousRead moreReview 
collected in partnership with TravelodgeDate of stay: November 
2019HelpfulShare</t>
  </si>
  <si>
    <t>Coxy86 wrote a review Nov 2019northampton,england4 contributions</t>
  </si>
  <si>
    <t>hippo1721 wrote a review Nov 20191 contribution</t>
  </si>
  <si>
    <t>Fab stay for Remembrance weekendGreat welcome, service and presentation of the hotel and rooms. Everyone 
made an effort and was very friendly and smiley. Everywhere was clean and 
tidy. Was impressed by the gluten free options for breakfast too. Our rooms 
were opposite each other, one had a view of the Shard and the other of the 
London Eye. The staff were great with the kids and put the travel cot up 
for us. Great location too. Lots of restaurants, cafes and bars nearby. 
Really close to Southbank so it was great for us and the kids to see some 
live graffiti and skateboarding. Mulled wine for the adults! Thanks to all 
the staff for making it an easy trip away :)Read moreDate of stay: November 
2019HelpfulShare</t>
  </si>
  <si>
    <t>overall not badvisited London for remembrance weekend this hotel is good for overnight 
stay and cheaper than most London hotels ,however prices seem to go up when 
a major event is on, place is clean and staff are welcomingRead moreReview 
collected in partnership with TravelodgeDate of stay: November 
2019HelpfulShare</t>
  </si>
  <si>
    <t>https://www.tripadvisor.co.uk/Hotel_Review-g186338-d1812157-Reviews-or160-Travelodge_London_Waterloo_Hotel-London_England.html#REVIEWS</t>
  </si>
  <si>
    <t>https://www.tripadvisor.co.uk/Hotel_Review-g186338-d243667-Reviews-or490-Travelodge_London_Kings_Cross_Royal_Scot-London_England.html#REVIEWS</t>
  </si>
  <si>
    <t>geoff r wrote a review Nov 2019Broadstairs, United Kingdom246 
contributions76 helpful votes</t>
  </si>
  <si>
    <t>Two different reps, two different stories, two different prices!My wife and I had booked into a hotel nearby which proved unsuitable so, 
having used travelodge for years, we went to this one for a four night 
stay. we phoned first and was told they had rooms for £59 per night which 
we thought quite reasonable so I said we would confirm in two minutes after 
I had cancelled the other hotel. I did this and was then told by another 
rep that it was now £145 per night! I told the rep that I had been quoted 
£59 but she said all the rooms at that rate had suddenly gone. Within 2 
minutes? Now being stranded we had to give in to this extortion only to 
find when I arrived and spoke to some of the staff that there were several 
rooms vacant at £59. To add insult to injury we were also charged an extra 
£10 per day per person for breakfast. Plus the air…Read moreDate of stay: 
November 2019HelpfulShareResponse from TravelodgeUK, Tilly from The Social 
Media Team at Travelodge London Waterloo HotelResponded 22 Nov 2019Thank 
you for submitting your review of our London Waterloo Hotel. We are so 
sorry to hear about your experience and will ensure your comments are 
passed to the hotel team to improve the service we offer. If you wish to 
report this to our customer service team please may we kindly request you 
contact them via our website. May we thank you for sharing your experience 
and we hope you stay with us in the future.Read more</t>
  </si>
  <si>
    <t>H Black wrote a review Nov 20193 contributions1 helpful vote</t>
  </si>
  <si>
    <t>Angel2858 wrote a review Nov 2019Birmingham, United Kingdom5 contributions</t>
  </si>
  <si>
    <t>Great service by staffAll of the staff were very welcoming, always smiling and happy to help. In 
particular Sam who served us for dinner was excellent, apparently a new 
member of staff she looked after us to such a high standard - thank you 
Sam!Read moreDate of stay: November 2019HelpfulShare</t>
  </si>
  <si>
    <t>GS2401 wrote a review Nov 2019Andover, United Kingdom68 contributions14 
helpful votes</t>
  </si>
  <si>
    <t>overnightStopped overnight as near rail station for early start following 
morning,reception staff were friendly and the room was clean and tidy. 
Secuirty good,key card was used to get into hotel and room as all doors 
were locked as we arrived after 10 pm.Read moreReview collected in 
partnership with TravelodgeDate of stay: November 2019HelpfulShare</t>
  </si>
  <si>
    <t>Great location - great staffAnother great stay at Travelodge Waterloo. All the staff were great and 
treated me very well. They are all very personable and care about their 
customers. The location is great for the train station and central for 
everywhere.Read moreReview collected in partnership with TravelodgeDate of 
stay: November 2019HelpfulShare</t>
  </si>
  <si>
    <t>JohnM wrote a review Nov 2019London, United Kingdom1 contribution</t>
  </si>
  <si>
    <t>JuanC wrote a review Nov 20192 contributions</t>
  </si>
  <si>
    <t>Where’s the staff?Ok before I start let me say one thing I would work for Travelodge in a 
heartbeat because customer service is my thing. So finally got to my room 
after leaving bags and opting to go to Regent Street. So we came back later 
at 8:30pm got seen instantly by the two receptionists one male one female. 
I get to the room get unpacked and no toilet paper. So off I go to 
reception after all they’ve only had all day to put the essentials in the 
room. Get to reception and it’s busy but two on so no bother. Then the male 
member to my amazement left a busy reception, so the poor lady who i have 
to say was keeping her cool but was visibly frustrated as I would have 
been. For what seemed like forever I finally get served after three others. 
Customers are priorities and supporting your…Read moreDate of stay: 
November 2019HelpfulShareResponse from TravelodgeUK, Niki from The Social 
Media Team at Travelodge London Kings Cross Royal ScotResponded 19 Nov 
2019Thank you for your review. It’s really important to us that our staff 
provide a fantastic service to our customers at all times so we are sorry 
to learn that you feel this was not the case on this occasion. Sometimes 
our staff members do important work behind the scenes and have to leave the 
reception desk to make our guests stay as comfortable as possible. Your 
feedback has been passed onto the hotel manager and we hope to have the 
chance to welcome you back again soon.Read more</t>
  </si>
  <si>
    <t>Great location, ok place to stayWe spent a long weekend there, location is great and hotel is fine. Rooms 
are small and basic but comfortable. Typical english breakfast, good enough 
for the price. The staff is nice but didn´t provide much information about 
what to do in the city or suggestions to do something out of the ordinary 
things. In our case, price was a little bit high but makes up for the great 
location.Read moreReview collected in partnership with TravelodgeDate of 
stay: November 2019HelpfulShare</t>
  </si>
  <si>
    <t>Amanda D wrote a review Nov 2019Warrington, United Kingdom3 contributions1 
helpful vote</t>
  </si>
  <si>
    <t>Great location and venueI booked this hotel as I was coming to London for business meetings and 
meeting freinds at night for dinner. It was perfect for getting to and 
being in the centre of London, hopping on and off tubes and food to meet 
with friends. Staff were friendly and helpful when I asked for directions. 
Good stay all round!Read moreReview collected in partnership with 
TravelodgeDate of stay: November 2019HelpfulShare</t>
  </si>
  <si>
    <t>https://www.tripadvisor.co.uk/Hotel_Review-g186338-d1812157-Reviews-or165-Travelodge_London_Waterloo_Hotel-London_England.html#REVIEWS</t>
  </si>
  <si>
    <t>dmf19602018 wrote a review Nov 20198 contributions1 helpful vote</t>
  </si>
  <si>
    <t>Short stayA little walk to the hotel from the train station but the friendly 
welcoming from the receptionist made up for it. Clean and tidy room a 
little dated but unless you’re staying in your room for long periods of 
time it did not matter.Read moreReview collected in partnership with this 
hotelDate of stay: November 2019HelpfulShare</t>
  </si>
  <si>
    <t>Katy P wrote a review Nov 2019Peterborough, Canada2 contributions</t>
  </si>
  <si>
    <t>https://www.tripadvisor.co.uk/Hotel_Review-g186338-d243667-Reviews-or495-Travelodge_London_Kings_Cross_Royal_Scot-London_England.html#REVIEWS</t>
  </si>
  <si>
    <t>wendy w wrote a review Nov 2019Brighton, United Kingdom1 contribution</t>
  </si>
  <si>
    <t>Clean great location amazing staffWe stayed for our daughters birthday, when the staff found out about her 
birthday they made her feel really special. They even offered a 
complimentary drink. We were able to check in early. The room was 
spacious,clean and well provided. We had a great night sleep with a lovely 
breakfast. Again the staff were very helpful full of smiles. We stayed her 
to visit madam tussards which was easily assessable via the near by tube. 
Special mention to the staff Hilina, Renisa and Humayra. FANTASTIC CUSTOMER 
SERVICE an asset to the hotel.Read moreDate of stay: November 
2019HelpfulShare</t>
  </si>
  <si>
    <t>City break hotelRoom was comfortable in every respect, beds, temperature etc. Facilities 
were available. However the sink was cracked and the room was dated and in 
need of redecoration. The stay was value for money but not luxury - a great 
place to sleep when exploring London but not a room to spend much time 
in.Read moreReview collected in partnership with TravelodgeDate of stay: 
November 2019HelpfulShare</t>
  </si>
  <si>
    <t>Misslouboutin19 wrote a review Nov 2019Scotland, United Kingdom763 
contributions436 helpful votes</t>
  </si>
  <si>
    <t>nicholaverity wrote a review Nov 2019Leeds, United Kingdom1 contribution</t>
  </si>
  <si>
    <t>Great hotelBooked in to this hotel with family. Arrived before check in and were 
checked in there and then. Went to the rooms there is lifts available. Mine 
and my husbands room was absolutely huge we couldn’t believe how big it 
was. A double bed, and two single, a tv, ironing board, shower room, 
hangers for clothes, table with mirror and tea facilities in room. What 
more do u need and air con. Was so happy and especially for the price. 
Would say it’s about a 7 minute walk from the Waterloo train station. On 
the first night arrived back late from shopping and ended up having dinner 
in the hotel. Could not fault any of the staff so happy, friendly and 
nothing was too much hassle. The food was two courses for £12.50 which is 
so cheap. The menu had variety and to be honest I never eat in the…Read 
moreDate of stay: November 20191 Helpful voteHelpfulShare</t>
  </si>
  <si>
    <t>Dirty and in need to a refurbReally disappointed. The room was dirty and old. We arrived back at 1130pm 
and the hotel lobby was full of drunk people shouting, it felt unsafe. 
Almost like being in a hostel rather than a hotel Despite all that the 
staff were fantasticRead moreReview collected in partnership with this 
hotelDate of stay: November 2019HelpfulShareResponse from TravelodgeUK, 
Niki from The Social Media Team at Travelodge London Kings Cross Royal 
ScotResponded 19 Nov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</si>
  <si>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Kathryn D wrote a review Nov 2019Bury, United Kingdom3 contributions1 
helpful vote</t>
  </si>
  <si>
    <t>https://www.tripadvisor.co.uk/Hotel_Review-g186338-d1812157-Reviews-or455</t>
  </si>
  <si>
    <t>Excellent StayWould highly recommend this hotel for location, service, and great staff. 
Great local knowledge given regarding the use of the tube stations and bus 
service to get around the city. Great restaurant in the area, the hotel is 
located next to a great fish and chip restaurant.Read moreReview collected 
in partnership with TravelodgeDate of stay: November 2019HelpfulShare</t>
  </si>
  <si>
    <t>Linda H wrote a review Nov 2019southampton, England, United Kingdom6 
contributions1 helpful vote</t>
  </si>
  <si>
    <t>https://www.tripadvisor.co.uk/Hotel_Review-g186338-d243667-Reviews-or500-Travelodge_London_Kings_Cross_Royal_Scot-London_England.html#REVIEWS</t>
  </si>
  <si>
    <t>Waterloo TravelodgeExcellent stay as always. Great positioning for sightseeing and transport 
across London. Staff very professional and helpful. Rooms clean and fresh. 
Will definitely recommend and will be returning. Prices reasonable.Read 
moreReview collected in partnership with TravelodgeDate of stay: November 
2019HelpfulShare</t>
  </si>
  <si>
    <t>https://www.tripadvisor.co.uk/Hotel_Review-g186338-d1812157-Reviews-or170-Travelodge_London_Waterloo_Hotel-London_England.html#REVIEWS</t>
  </si>
  <si>
    <t>Bubbyh wrote a review Nov 2019indy5 contributions1 helpful vote</t>
  </si>
  <si>
    <t>Spencer D wrote a review Nov 20195 contributions11 helpful votes</t>
  </si>
  <si>
    <t>VacationPlace was clean and close to everything. Micheal our bartender was great!! 
He helped us with our Wi-Fi password and made great drinks for us. I booked 
my room a month ahead of time saved a lot of money must do it at least a 
month out.Read moreDate of stay: November 2019HelpfulShare</t>
  </si>
  <si>
    <t>Smithies2 wrote a review Nov 2019Brough6 contributions6 helpful votes</t>
  </si>
  <si>
    <t>Decent hotel, amazing staffThe hotel has been perfectly adequate, exactly what you expect from a 
Travelodge. This stay has been made so memorable by the wonderful staff. 
Everyone has been so friendly and helpful and the experience here has been 
fab. Tanzila, Raisa and Marcus are awesome. Thanks to them and the rest of 
the team.Read moreDate of stay: November 2019HelpfulShare</t>
  </si>
  <si>
    <t>Good location, great staffStayed for 2 nights, good location. The hotel is very tired but the staff 
more than make up for it. Everything was adequate, you get what you pay 
for, clean comfortable rooms at a good price for London. I would here stay 
again.Read moreReview collected in partnership with this hotelDate of stay: 
November 2019HelpfulShare</t>
  </si>
  <si>
    <t>smithcarolinea wrote a review Nov 20191 contribution</t>
  </si>
  <si>
    <t>Clean, efficient and friendlyFrom arriving to leaving, I felt the staff cared. I was quite heavily 
pregnant and they noticed this and offered me a nearby bedroom as well as 
to carry things. The room was basic but clean. The property was cheerful, 
welcoming and well located for major attractions, with a comfortable bar 
and extensive breakfast selection. Another bonus was the ability to store 
luggage free of charge after checking out. Overall very good value for 
money.Read moreReview collected in partnership with this hotelDate of stay: 
November 2019HelpfulShare</t>
  </si>
  <si>
    <t>Springermum wrote a review Nov 201911 contributions6 helpful votes</t>
  </si>
  <si>
    <t>AgstarUK wrote a review Nov 2019UK13 contributions3 helpful votes</t>
  </si>
  <si>
    <t>Extremely helpful staffI would recommend this hotel. Great location, comfortable beds but Would 
not recommend booking the twin rooms, the beds are very narrow, but the 
rooms were clean and the staff super helpful and friendly!Read moreReview 
collected in partnership with this hotelDate of stay: November 
2019HelpfulShare</t>
  </si>
  <si>
    <t>You get what you pay for ��Exactly what it says on the tin. It doesn’t have luxury soaps, dressing 
gowns or a phone. However, if you want no thrills, simple stopover, clean, 
fresh, tidy, friendly, breakfast, late night snack, bar...the list goes on. 
It’s perfect!!Read moreReview collected in partnership with this hotelDate 
of stay: November 2019HelpfulShare</t>
  </si>
  <si>
    <t>https://www.tripadvisor.co.uk/Hotel_Review-g186338-d243667-Reviews-or505-Travelodge_London_Kings_Cross_Royal_Scot-London_England.html#REVIEWS</t>
  </si>
  <si>
    <t>Australien-guy wrote a review Nov 20191 contribution</t>
  </si>
  <si>
    <t>shannonjones16 wrote a review Nov 2019Isle of Wight, United Kingdom1 
contribution</t>
  </si>
  <si>
    <t>Pretty receptionistAfter a long trip from Australia we were greeted by a pretty friendly 
receptionist I think she was called Diana she was very friendly and a 
pleasure, great stay will be back next year room was decent size clean and 
friendly breakfast staff great stay all round ��Read moreDate of stay: 
October 2019HelpfulShare</t>
  </si>
  <si>
    <t>First time staying at the Travelodge in londonCan not fault our stay at this Travelodge, the staff were so friendly and 
made sure you were comfortable. We checked in and the room was ready. The 
room was clean and had great facilities. The bar staff were great and 
friendly especially with the children as we had our children with us. They 
had a good conservation and they were relaxed too. When leaving the manager 
asked us about our stay and was very happy and gave our children a little 
treat which was chocolate bar. But very enjoyed staying here and in the 
future will be first one I pick as friendly, quick service and also close 
to transport too.Read moreReview collected in partnership with this 
hotelDate of stay: November 2019HelpfulShare</t>
  </si>
  <si>
    <t>Garry3479 wrote a review Nov 2019Colchester, United Kingdom1 contribution</t>
  </si>
  <si>
    <t>https://www.tripadvisor.co.uk/Hotel_Review-g186338-d1812157-Reviews-or175-Travelodge_London_Waterloo_Hotel-London_England.html#REVIEWS</t>
  </si>
  <si>
    <t>Wonderful stay! Great staff, room ok but made up to five stars by the 
serviceRoom was average but clean bed comfy and nice hot shower . All the staff 
were great . And really looked after us. I'd like to mention Natalja as she 
went out of her way to help us feel welcome and resolve all of the issues 
we received during our stay . I felt like we were a top being treated as a 
top class customer being looked after by the hotel manager .Read moreDate 
of stay: November 2019HelpfulShare</t>
  </si>
  <si>
    <t>mbeale2014 wrote a review Nov 2019Chatham, United Kingdom341 
contributions90 helpful votes</t>
  </si>
  <si>
    <t>Alice64723 wrote a review Nov 20191 contribution</t>
  </si>
  <si>
    <t>London TripThe staff at this hotel were friendly, helpful and efficient from Reception 
staff to breakfast staff. The room was clean and warm with tea and coffee 
on hand. It was quiet and comfortable. The bathroom was generally fine.Read 
moreReview collected in partnership with this hotelDate of stay: November 
2019HelpfulShare</t>
  </si>
  <si>
    <t>Graduation night awayQuite basic with smaller than average rooms. Evening meal was really slow. 
Breakfast was a total different story in that it was well organised and 
quickly replenished. We had 2 rooms each of which were small but clean.Read 
moreDate of stay: November 2019HelpfulShare</t>
  </si>
  <si>
    <t>mike g wrote a review Nov 2019Chester, United Kingdom1 contribution</t>
  </si>
  <si>
    <t>J L wrote a review Nov 2019Tavistock, United Kingdom362 contributions137 
helpful votes</t>
  </si>
  <si>
    <t>Quiet locationA fifteen minute walk from King's cross St. Pancras station. a good 
location if you want to escape the crowds. A short walk to coffee shops, 
take aways pubs and restaurants. This hotel is reasonably priced too.Read 
moreReview collected in partnership with this hotelDate of stay: October 
2019HelpfulShare</t>
  </si>
  <si>
    <t>Smart central hotelThis is a relatively new building in smarter condition than the nearby 
Covent Garden or Vauxhall travelodges. The room was clean and comfortable 
with usual amenities. It was a 5 minute walk to Waterloo station.Read 
moreDate of stay: November 20191 Helpful voteHelpfulShare</t>
  </si>
  <si>
    <t>https://www.tripadvisor.co.uk/Hotel_Review-g186338-d243667-Reviews-or510-Travelodge_London_Kings_Cross_Royal_Scot-London_England.html#REVIEWS</t>
  </si>
  <si>
    <t>Anna_maria052 wrote a review Nov 2019Hereford, United Kingdom16 
contributions6 helpful votes</t>
  </si>
  <si>
    <t>GailfromWorthing wrote a review Nov 20191 contribution</t>
  </si>
  <si>
    <t>Convenient location, clean hotel.I enjoyed my stay at the Central Waterloo Travelodge and would return 
again. The staff were friendly and helpful. The rooms were clean and 
although basic were comfortable and catered to my needs. The spare heater 
in the room did not work but the general heating system was adequate. I 
slept well, felt safe and found the location suitable for my needs.Read 
moreReview collected in partnership with TravelodgeDate of stay: October 
2019HelpfulShare</t>
  </si>
  <si>
    <t>Convenient locationA very convenient location for the stations, staff very helpful and 
welcoming. Food not great but filling. (There are plenty of other paces to 
eat in the surrounding area, so would suggest eating out!) Room was clean 
and building was quiet at night. Despite being busy it did not feel 
overcrowded, and staff were delightful even at busy times.Read moreReview 
collected in partnership with this hotelDate of stay: November 
2019HelpfulShare</t>
  </si>
  <si>
    <t>LucyS1234x wrote a review Nov 2019Plymouth, United Kingdom278 
contributions30 helpful votes</t>
  </si>
  <si>
    <t>Alan_Pratt23 wrote a review Nov 2019Newcastle upon Tyne, United Kingdom36 
contributions26 helpful votes</t>
  </si>
  <si>
    <t>Good location but that’s about it..The location of this hotel is great - literally a few minutes walk to 
Waterloo, 20 mins walk to London eye/Southbank and you can then walk on to 
central London. We were in room 333 and upon arrival there was an awful 
smell in the room which seemed like it was coming from the drains in the 
bathroom. The smell was even worse first thing in the morning meaning we 
had to keep the window open. The room and particularly the bathroom were 
quite small too. I was pleased that we were able to store our luggage in 
reception. The price wasn’t bad for a Saturday night in London but it was 
by no means cheap so I am a little disappointed.Read moreDate of stay: 
November 2019HelpfulShare</t>
  </si>
  <si>
    <t>Travelodge London Kings Cross Royal ScotI always stay at this hotel when I travel to London, it is very close to 
Kings Cross, as well as access to the tube, restaurants and shops. The 
rooms are a good size and always very clean, very good breakfast, the bar 
and restaurant is very convenient.Read moreReview collected in partnership 
with this hotelDate of stay: November 2019HelpfulShare</t>
  </si>
  <si>
    <t>Runner102018 wrote a review Nov 2019Bournemouth, United Kingdom11 
contributions4 helpful votes</t>
  </si>
  <si>
    <t>John D wrote a review Nov 2019Sunderland, United Kingdom6 contributions1 
helpful vote</t>
  </si>
  <si>
    <t>Beautiful and luxuriousStayed at Waterloo Travelodge with my children over half term. Wow!! What a 
luxurious Travelodge and definitely more than value for money. It says it’s 
a Travelodge Plus and this shows. The room was sparkling clean. We 
preferred the shower only, the room was a good size, the beds were super 
comfy. The receptionist, Ali, was warm and welcoming. He greeted us with a 
huge smile and made pleasant conversation whilst checking us in. The hotel 
has a lovely bar / dining area. Was very impressed with our stay and we’ll 
definitely be back when in that part of the country again.Read moreDate of 
stay: October 20191 SaveHelpfulShare</t>
  </si>
  <si>
    <t>Good locationNice hotel not far from Kings Cross Station, clean rooms and friendly hotel 
staff. Only down fall is that it is next to a police station so expect a 
bit of noise and flashing lights if your at the back of hotelRead 
moreReview collected in partnership with TravelodgeDate of stay: November 
2019HelpfulShare</t>
  </si>
  <si>
    <t>https://www.tripadvisor.co.uk/Hotel_Review-g186338-d243667-Reviews-or515-Travelodge_London_Kings_Cross_Royal_Scot-London_England.html#REVIEWS</t>
  </si>
  <si>
    <t>https://www.tripadvisor.co.uk/Hotel_Review-g186338-d1812157-Reviews-or180-Travelodge_London_Waterloo_Hotel-London_England.html#REVIEWS</t>
  </si>
  <si>
    <t>Voyager277858 wrote a review Nov 20191 contribution</t>
  </si>
  <si>
    <t>Relax50505297519 wrote a review Nov 20191 contribution</t>
  </si>
  <si>
    <t>Premier the BESTBrill location and staff will be back! Room 24 was sooo quiet never heard 
anything all night wonderful. Very handy to leave our cases for onward 
journey thanks again just 5 minutes walk tp Euston underground and 
station.Read moreReview collected in partnership with this hotelDate of 
stay: November 2019HelpfulShare</t>
  </si>
  <si>
    <t>An enjoyable stayWe stayed on a Thursday evening and were very impressed. Obviously, we knew 
the location would be ideal for accessing central London, but the quality 
of the overall experience was great. Three points stood out for us: a) the 
friendly and helpful staff; b) having a quiet room as requested, and c) a 
very good value breakfast.Read moreReview collected in partnership with 
this hotelDate of stay: October 2019HelpfulShare</t>
  </si>
  <si>
    <t>latlyn44 wrote a review Nov 2019Kingston-upon-Hull, United Kingdom19 
contributions2 helpful votes</t>
  </si>
  <si>
    <t>Helpful staffWe booked a twin room for 2 nights so we could go to wembley to watch the 
nfl. The beds were a bit small so they changed our room to a family room so 
it made our stay more comfortable. The staff were extremely helpful.Read 
moreReview collected in partnership with this hotelDate of stay: November 
2019HelpfulShare</t>
  </si>
  <si>
    <t>NannyMaryT wrote a review Oct 2019Hayling Island, United Kingdom4 
contributions5 helpful votes</t>
  </si>
  <si>
    <t>FriendlyVery friendly and helpful staff. Convenient location for Waterloo train/ 
underground station. Luggage storage is a great benefit as cases can be 
dropped off prior to room allocation and leaving hotel.Read moreReview 
collected in partnership with this hotelDate of stay: October 
2019HelpfulShareResponse from TravelodgeUK, Tilly from The Social Media 
Team at Travelodge London Waterloo HotelResponded 1 Nov 2019We're pleased 
to learn you had a peaceful stay recently at our London Waterloo Hotel and 
we thank you for sharing your positive stay with us. We aim to provide a 
comfortable stay for all of our guests and we're thankful this has been 
achieved. We will be sure to pass your kind comments to the hotel and we do 
hope you stay with us again.Read more</t>
  </si>
  <si>
    <t>resimmo wrote a review Oct 2019Denver, Colorado1 contribution</t>
  </si>
  <si>
    <t>https://www.tripadvisor.co.uk/Hotel_Review-g186338-d243667-Reviews-or520-Travelodge_London_Kings_Cross_Royal_Scot-London_England.html#REVIEWS</t>
  </si>
  <si>
    <t>Affordable, Central Location, ComfyThe hotel was very well located. The staff were very nice, overall. It was 
small but comfortable, for the Queen room. Bed was caved in the center, but 
still comfy enough. It was in a safe area, located close to train station 
and many attractions in a 15-25 minute walk.Read moreReview collected in 
partnership with TravelodgeDate of stay: October 2019HelpfulShare</t>
  </si>
  <si>
    <t>laurashannon wrote a review Oct 2019Newcastle upon Tyne, United Kingdom1 
contribution</t>
  </si>
  <si>
    <t>FantasticGreat hotel, from the checking in to breakfast I can’t fault anything. 
Staff helpful and very friendly. Rooms more than adequate and lovely 
breakfast. The hotel was lovely and clean and food/drinks in the bar 
reasonably priced. Great location to explore London as only a short walk 
from Waterloo.Read moreReview collected in partnership with this hotelDate 
of stay: October 2019HelpfulShare</t>
  </si>
  <si>
    <t>Yvonne K wrote a review Nov 2019York, United Kingdom348 contributions52 
helpful votes</t>
  </si>
  <si>
    <t>You generally get what you pay for!If you want to stay overnight in London then you expect to have to pay a 
certain amount for it. If you want to pay as little as possible, then you 
have to be prepared to compromise in some way. Travel Lodge Royal Scot is 
within easy walking distance of King’s Cross Station, has a left luggage 
service and has a bar. You also receive a lovely warm welcome from the 
plentiful reception staff waiting to greet you. Miguel (I think that was 
his name) was particularly friendly and welcoming. The rooms are basic, but 
adequate. They are clean, warm, comfortable and you have tea and coffee 
making facilities. There is soap and shower gel provided. Hairdryers and 
irons are not in the rooms but can be borrowed from reception. Breakfast is 
extra. You do get what you pay for but if all you…Read moreDate of stay: 
November 2019HelpfulShare</t>
  </si>
  <si>
    <t>https://www.tripadvisor.co.uk/Hotel_Review-g186338-d1812157-Reviews-or185-Travelodge_London_Waterloo_Hotel-London_England.html#REVIEWS</t>
  </si>
  <si>
    <t>ian145@hotmail.com wrote a review Nov 2019Scarborough, United Kingdom68 
contributions34 helpful votes</t>
  </si>
  <si>
    <t>PINGU16 wrote a review Oct 2019MERSEYSIDE48 contributions8 helpful votes</t>
  </si>
  <si>
    <t>BrilliantStayed here over the weekend The staff are very good Bee was excellent 
Breakfast was good Would recommend this staying here so close to kings 
cross train station rooms are clean and warm great staff We will be 
backRead moreDate of stay: November 2019HelpfulShare</t>
  </si>
  <si>
    <t>excellent stay.from when we got there until we left everything was good. The staff were 
very efficient. This was the best travelodge we had stayed in. Theres been 
a few. Everything was clean and staff were excellent. It was central for 
what we wanted.Read moreReview collected in partnership with TravelodgeDate 
of stay: October 2019HelpfulShare</t>
  </si>
  <si>
    <t>MickeyJOho wrote a review Nov 2019Bradford, United Kingdom1 contribution</t>
  </si>
  <si>
    <t>Great ValueCentral london - got everything you need in one place. Friendly staff, they 
even looked after my bags for the day. Would definitely stay there again 
and no need to say anymore because its a great place. Waha!Read moreReview 
collected in partnership with TravelodgeDate of stay: October 
2019HelpfulShare</t>
  </si>
  <si>
    <t>https://www.tripadvisor.co.uk/Hotel_Review-g186338-d243667-Reviews-or525-Travelodge_London_Kings_Cross_Royal_Scot-London_England.html#REVIEWS</t>
  </si>
  <si>
    <t>Kevan H wrote a review Oct 2019Bath, United Kingdom10 contributions2 
helpful votes</t>
  </si>
  <si>
    <t>Road728688 wrote a review Nov 20191 contribution</t>
  </si>
  <si>
    <t>Well maintained pleasant and comfortable hotel in a good location for Old 
Vic, Young Vic and National TheatreWe stayed only for Saturday night and did not eat supper or breakfast here, 
so can't comment on food. The room was on the top floor, and was spacious 
and comfortable. There was adequate space to hang clothes, and even coat 
hooks behind the door, unusual for Travelodge in my experience. As is 
always the case in Travelodge there wasn't any drawer space, and in this 
room not even a double shelf where the spare pillows were. The room 
temperature was controllable, and the window opened!! A big plus over the 
Southwark Travelodge. Bathroom was clean and the shower worked fine, just 
took a long time for the hot water to arrive, but we were on floor 8. Bed 
was very comfortable, and duvet war enough even with the window open an 
inch. Reception staff and bar staff were invariable very…Read moreReview 
collected in partnership with TravelodgeDate of stay: October 
2019HelpfulShare</t>
  </si>
  <si>
    <t>Good value on a discounted priceThe hotel offers value for money provided you get a good discounted price 
on booking. The hotel is about a 10 minute walk from Kings Cross/St 
Pancreas station. Very helpful that luggage can be deposited and collected 
outside the room booking time.Read moreReview collected in partnership with 
TravelodgeDate of stay: November 2019HelpfulShare</t>
  </si>
  <si>
    <t>360kazza wrote a review Nov 20191 contribution</t>
  </si>
  <si>
    <t>bjwojtas wrote a review Oct 20191 contribution</t>
  </si>
  <si>
    <t>Travelodge LondonThis hotel is located close to Kings Cross and was perfect for my one night 
business trip. Hotel was the cheapest branded available that night and 
didn’t let me down. Clean and comfortable room with my enormous bed for 
one.Read moreReview collected in partnership with TravelodgeDate of stay: 
November 2019HelpfulShare</t>
  </si>
  <si>
    <t>Travelodhe waterloo RdI highly recommend staying in this hotel. It is very clean, profesionally 
designed, rooms are comfortable and the Staff is very helpful and 
professional. It was located in a very good place so I had a few steps to 
the city center. i would choose this hotel during my next travel.Read 
moreReview collected in partnership with TravelodgeDate of stay: October 
2019HelpfulShare</t>
  </si>
  <si>
    <t>Annb09 wrote a review Oct 20192 contributions</t>
  </si>
  <si>
    <t>MsClogs wrote a review Nov 2019London, United Kingdom18 contributions16 
helpful votes</t>
  </si>
  <si>
    <t>Lovely stayMy sons first time away for the night he really enjoyed it and said it felt 
like luxury. The beds was clean and soft and a lovely breakfast. He was 
stunned by the breakfast and how much there was and choice wise he couldnt 
eat all his fry breakfast.Read moreReview collected in partnership with 
this hotelDate of stay: October 2019HelpfulShare</t>
  </si>
  <si>
    <t>OK but a bit datedWe stayed here for a work trip and it was in a good location for a good 
price but it was quite basic. The room was clean but very dated, the doors 
banged quite loudly so there was a fair amount of noise and the breakfasts 
were pretty shocking (watered-down orange squash masquerading as juice, 
flavourless fruit). Overall it was perfectly adequate as a budget 
hotel.Read moreReview collected in partnership with this hotelDate of stay: 
November 2019HelpfulShare</t>
  </si>
  <si>
    <t>https://www.tripadvisor.co.uk/Hotel_Review-g186338-d1812157-Reviews-or190-Travelodge_London_Waterloo_Hotel-London_England.html#REVIEWS</t>
  </si>
  <si>
    <t>billorrell wrote a review Nov 2019Stoke-on-Trent, United Kingdom7 
contributions2 helpful votes</t>
  </si>
  <si>
    <t>che_el_guapo wrote a review Oct 2019Portsmouth UK3 contributions</t>
  </si>
  <si>
    <t>Excellent ValueGood Staff, breakfast, room, parking and price. This hotel is a great 
location, and although the road is busy, the sound is quiet. Easy walking 
distance of London central. Lots of good places to eat around the hotel if 
required.Read moreReview collected in partnership with TravelodgeDate of 
stay: November 2019HelpfulShare</t>
  </si>
  <si>
    <t>London night with friendsGreat location. Very friendly staff, very good size room which was very 
clean and great value for money. Good breakfast. Very close to main line 
and tube stations. Would strongly recommend a London stay here.Read 
moreReview collected in partnership with this hotelDate of stay: October 
2019HelpfulShare</t>
  </si>
  <si>
    <t>Joy M wrote a review Oct 2019Freshwater, England, United Kingdom100 
contributions21 helpful votes</t>
  </si>
  <si>
    <t>https://www.tripadvisor.co.uk/Hotel_Review-g186338-d243667-Reviews-or530-Travelodge_London_Kings_Cross_Royal_Scot-London_England.html#REVIEWS</t>
  </si>
  <si>
    <t>Great location. Lovely staffStayed here a few times as the location is good, 5 min walk to Waterloo. 
Comfortable Quiet Only irritation is restrictions on free WiFi Skip tje 
hotel breakfast and go to Lower Marsh where there are a variety of fab 
cafes or street foodRead moreReview collected in partnership with this 
hotelDate of stay: October 2019HelpfulShare</t>
  </si>
  <si>
    <t>Londonboy789 wrote a review Nov 2019London6 contributions4 helpful votes</t>
  </si>
  <si>
    <t>JRauts wrote a review Oct 20191 contribution</t>
  </si>
  <si>
    <t>Great stayGreat stay. Great staff. Clean and spacious room. Would definitely stay 
again. Thanks so much for an excellent stay. Room was clean. Breakfast was 
delicious too with freshly prepared ingredients. Would definitely cisit 
againRead moreReview collected in partnership with this hotelDate of stay: 
October 2019HelpfulShare</t>
  </si>
  <si>
    <t>A bit run downOne night stay . The hotel is very tired and needs updating . Staff were 
chirpy and helpful . Location is great for Kings Cross Station . I was 
given a room with no bedding. It took some time for the staff to find some 
bedding , which was irritating as it was quite late .Read moreReview 
collected in partnership with this hotelDate of stay: November 
2019HelpfulShareResponse from TravelodgeUK, Zack from The Social Media Team 
at Travelodge London Kings Cross Royal ScotResponded 10 Nov 2019Thank you 
for taking the time to review our hotel. We are really sorry to hear that 
you encountered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you.Read more</t>
  </si>
  <si>
    <t>https://www.tripadvisor.co.uk/Hotel_Review-g186338-d1812157-Reviews-or460</t>
  </si>
  <si>
    <t>Richard wrote a review Oct 2019Mandaue, Philippines1 contribution</t>
  </si>
  <si>
    <t>diz23 wrote a review Nov 2019liverpool58 contributions34 helpful votes</t>
  </si>
  <si>
    <t>Thumbs Up!The hotel location is ideal and is just a 7 minute walk to St. George's 
Cathedral. While the front desk people are not warm, they are helpful. They 
immediately handed me a towel when I asked for one. People in the bar and 
diner are warm, friendly, and very helpful, especially Edna, Kuh, and 
Liliana.Read moreDate of stay: October 2019HelpfulShare</t>
  </si>
  <si>
    <t>Good service, needs an updateAs always, Travelodge is a clean and safe room for the night, no frills, ok 
price, although I wince at London prices. Old hotel, corridors particularly 
in need of an update, but room clean. Bar and restaurant looked fine, 
didn't try. Easy 5 mins walk to king's cross stationRead moreReview 
collected in partnership with this hotelDate of stay: November 
2019HelpfulShare</t>
  </si>
  <si>
    <t>https://www.tripadvisor.co.uk/Hotel_Review-g186338-d1812157-Reviews-or195-Travelodge_London_Waterloo_Hotel-London_England.html#REVIEWS</t>
  </si>
  <si>
    <t>Phil wrote a review Nov 20195 contributions</t>
  </si>
  <si>
    <t>chrisM5346KB wrote a review Oct 20191 contribution</t>
  </si>
  <si>
    <t>Good hotel and facilitesThis was my first time in london by myself on business and I easily found 
the hotel, the staff were friendly, the room was good and clean, the 
breakfast was very good and the restaurent staff were friendly and helpful, 
great experience overall.Read moreDate of stay: October 2019HelpfulShare</t>
  </si>
  <si>
    <t>Very Disappointing, Particularly the breakfast.When I arrived there was no queuing system and as a result someone pushed 
in not just in front of me but a couple who had arrived before me. The 
receptionists were polite but were asking people to give them reviews of 9 
out of 10 which seemed a bit desperate. The sink in the bathroom needed was 
in a bad state. The worst part was the breakfast the next morning. The 
orange juice was so weak it was like water and tasted disgusting. Some of 
the food was so bland it didn’t taste of anything even when I added salt. 
Will not be going back to this hotel when I next go to London.Read moreDate 
of stay: November 2019HelpfulShareResponse from TravelodgeUK, James from 
the Social Media Team at Travelodge London Kings Cross Royal ScotResponded 
10 Nov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</si>
  <si>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Nige13 wrote a review Oct 20191 contribution</t>
  </si>
  <si>
    <t>Yvonne D wrote a review Nov 2019Liverpool, United Kingdom8 contributions</t>
  </si>
  <si>
    <t>Smashing place to stayLovely hotel, clean, very friendly and helpful staff, bar and restaurant 
are a nice place to relax as you are not rushed. Close to Waterloo rail and 
tube station and the south bank and attractions in the area. Would 
recommend and when we are down in London this is where we’ll be 
staying.Read moreDate of stay: October 2019HelpfulShare</t>
  </si>
  <si>
    <t>Good mid range hotelThere hotel is near restaurants and bars on the doorstep. It is about a 
mile from Kings Cross station with a buses and plenty of taxis passing. 
Joel was friendly in checking me in and accommodating my needs. A decent 
breakfast and a decent sized room with a comfy bed and nice big windows in 
the room and a decent shower.Read moreReview collected in partnership with 
this hotelDate of stay: November 2019HelpfulShare</t>
  </si>
  <si>
    <t>phanou16 wrote a review Oct 20192 contributions</t>
  </si>
  <si>
    <t>https://www.tripadvisor.co.uk/Hotel_Review-g186338-d243667-Reviews-or535-Travelodge_London_Kings_Cross_Royal_Scot-London_England.html#REVIEWS</t>
  </si>
  <si>
    <t>Do not lose anything in this hotelI stayed there one night in October. I left my leather toiletry bag (a 
gift) with cufflinks from my grandfather inside. First it is almost 
impossible to get back in contact with the reception desk. Second when 
miraculously you can they have officially found nothing (I called less than 
24 hous after checking out)Read moreDate of stay: October 
2019HelpfulShareResponse from TravelodgeUK, Ben from the Social Media Team 
at Travelodge London Waterloo HotelResponded 22 Oct 2019Thank you for 
taking the time to write a review about our London Waterloo hotel. We are 
sorry to learn of the problems contacting the hotel after your stay and 
that they were unable to locate the items left behind after your stay. We 
appreciate all the feedback we receive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</si>
  <si>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David M wrote a review Nov 2019Dorchester, United Kingdom9 contributions1 
helpful vote</t>
  </si>
  <si>
    <t>https://www.tripadvisor.co.uk/Hotel_Review-g186338-d1812157-Reviews-or200-Travelodge_London_Waterloo_Hotel-London_England.html#REVIEWS</t>
  </si>
  <si>
    <t>Tony B wrote a review Oct 2019Manchester, United Kingdom40 contributions9 
helpful votes</t>
  </si>
  <si>
    <t>Terrible place. Don't go there.I've stayed in lots of London Hotels and lots of Travelodges and this was 
by far the worst ever. The area is run down with people urinating in the 
street outside, and people laying in the road. There was even a handbag 
snatched in Costa along the road where we had to go to get a decent cup of 
coffee as the ones in the restaurant (which is like a school dining hall) 
were to be kind, not nice! I know this is not Travelodges fault but the 
terrible stay we had there is. After arriving and checking in to a Twin 
room we found the tiniest single beds made in there, the windows were 
filthy, the towels ancient and threadbare, the back of the bathroom door in 
need of desperate decoration, the sink not draining and the quilts as thin 
as toilet paper. The noise went on all night with people…Read moreDate of 
stay: November 2019HelpfulShareResponse from TravelodgeUK, Ben from the 
Social Media Team at Travelodge London Kings Cross Royal ScotResponded 7 
Nov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</si>
  <si>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_Reet_188 wrote a review Nov 2019Hornsea, United Kingdom11 contributions6 
helpful votes</t>
  </si>
  <si>
    <t>Great location and good rooms depending on price!I have stayed at quite a few of the Travelodge sites, including this one a 
couple of times, so my review is based on multiple trips. First of all, the 
positive. The location of this hotel is about 10 minutes walk from 
Waterloo, coming out the exit by McDonalds, you walk past the Old Vic 
(classic theatre with some amazing productions) and it is located just down 
the road. The rooms that I have stayed in all seem to be an adequate size, 
they have air con (thankfully!) and most seem to have shower only options 
in the bathroom. I generally don't have breakfast at a Travelodge as I 
don't find them to be very good and there are plenty of places nearby for 
food and as I am in London for events or work, I am usually on my way 
somewhere. Evening meal deals can be good value for a…Read moreDate of 
stay: September 20191 Helpful voteHelpfulShare</t>
  </si>
  <si>
    <t>Marie B wrote a review Oct 20195 contributions</t>
  </si>
  <si>
    <t>Best Travelodge so far.Have stayed at several Travelodge around the country but this was the 
friendliest so far.Reception staff very welcoming and helpful especially 
Megan.All queries answered. Room a bit tired but clean.Bar staff good but 
couldn't get us a pizza at just after 10.30pm!! Breakfast staff very jolly 
and breakfast usual for Travelodge. Nice sausage. Reception staff lovely 
again as we left, asked if we had enjoyed our stay and wished us safe 
journey. Would highly recommend this Travelodge.Read moreReview collected 
in partnership with this hotelDate of stay: November 2019HelpfulShare</t>
  </si>
  <si>
    <t>lovely staffthe staff wihtin this travelodge were proffesional , friendly and exceeded 
expectations, much more pleasent than some other 5* hotels that i have 
stayed in. i would definatley recomeend staying here, and the breakfast was 
goodRead moreReview collected in partnership with TravelodgeDate of stay: 
October 2019HelpfulShare</t>
  </si>
  <si>
    <t>Martin C wrote a review Nov 2019Brighton, United Kingdom26 contributions12 
helpful votes</t>
  </si>
  <si>
    <t>M6785OUsimon wrote a review Oct 2019Dublin, Ireland1 contribution</t>
  </si>
  <si>
    <t>TiredOutdated and slightly scruffy aged art deco stylings in the corridors. Room 
was ok and the bed no the best I've slept in. Breakfast ok as you'd expect 
but the orange juice from both machines was tasteless and a weird colour. 
Probably won't use this one again the one down the road at Farringdon is 
much better.Read moreReview collected in partnership with this hotelDate of 
stay: October 2019HelpfulShare</t>
  </si>
  <si>
    <t>Good location but rooms varyUsed this hotel several times; very good location, well run and efficient, 
but room allocated in last stay was smaller, pokey window, unattractive. 
Previously we have no complaints. In all other respects we would recommend 
it but it's worth checking on room size and quality.Read moreReview 
collected in partnership with TravelodgeDate of stay: October 
2019HelpfulShareResponse from TravelodgeUK, Ben from the Social Media Team 
at Travelodge London Waterloo HotelResponded 21 Oct 2019Thank you for 
taking the time to write a review about our London Waterloo hotel. We're 
pleased to hear that you liked the hotels location and you have enjoyed 
previous stays however we are sorry to learn of your disappointment with 
the room provided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</si>
  <si>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https://www.tripadvisor.co.uk/Hotel_Review-g186338-d243667-Reviews-or540-Travelodge_London_Kings_Cross_Royal_Scot-London_England.html#REVIEWS</t>
  </si>
  <si>
    <t>Rachel W wrote a review Oct 2019Isle of Wight 9 contributions</t>
  </si>
  <si>
    <t>Holcroftcm wrote a review Nov 201932 contributions13 helpful votes</t>
  </si>
  <si>
    <t>Overnight stay in very clean hotel close to waterlooHotel was very clean and modern. Receptionist very welcoming and our room 
was available by 2pm, earlier than expected. Corner shop right next door, 
10 minute walk to Waterloo. Great for a short stopover.Read moreDate of 
stay: October 2019HelpfulShare</t>
  </si>
  <si>
    <t>Lovely night at this hotel.My cousin and I enjoyed a good night at this hotel. About a ten min walk to 
Kings Cross St Pancras. Large hotel once inside. Took us a while to locate 
our room. Very clean room. Good shower. Lovely staff at reception; very 
keen to make sure our stay was perfect. No complaints about breakfast; 
everything you could want was there. Thanks for a great night.Read 
moreReview collected in partnership with this hotelDate of stay: November 
2019HelpfulShare</t>
  </si>
  <si>
    <t>517dennis wrote a review Oct 20191 contribution</t>
  </si>
  <si>
    <t>jake19984 wrote a review Nov 2019Great Wyrley, United Kingdom6 
contributions2 helpful votes</t>
  </si>
  <si>
    <t>london travelodge waterlooStayed for the night due to attending a concert at the 02, absolutely 
wonderful stay, the staff were outstanding across the board and could not 
be more helpful, I would highly recommend this hotel to my family and 
friendsRead moreReview collected in partnership with TravelodgeDate of 
stay: October 2019HelpfulShare</t>
  </si>
  <si>
    <t>Trip with friendsWe good 4 night room was what we needed staff very nice and knowledgeable 
was very cold at night heater was very poor is decent for a trip on a 
budget will be back again and there key cards wipe very frequent had to get 
it reprogrammedRead moreReview collected in partnership with this hotelDate 
of stay: November 2019HelpfulShare</t>
  </si>
  <si>
    <t>Eatery_Reviewer wrote a review Nov 2019South East England, United 
Kingdom500 contributions64 helpful votes</t>
  </si>
  <si>
    <t>https://www.tripadvisor.co.uk/Hotel_Review-g186338-d1812157-Reviews-or205-Travelodge_London_Waterloo_Hotel-London_England.html#REVIEWS</t>
  </si>
  <si>
    <t>Ancient LodgeStayed for two nights. Pleasantly greeted by staff who were very helpful as 
were those in the breakfast area. I’d rate the staff 5/5 for customer 
service. The buffet breakfast was good with the bacon bring excellent; the 
tomatoes were tasteless and the baked beans were too watery to be called 
Heinz. The “Orange Juice” would be better described as weak orange squash. 
One toaster only toasted one side. Rating 3/5. The room 232 smelt of 
sewage, there must have been a leak somewhere so I kept the window open as 
I didn’t want to be gassed. Otherwise the room was clean albeit very tired. 
The hotel needs refurbishment, just see the corridors. If it wasn’t for the 
great staff, they would have got a 2 rating. I didn’t pursue a 50% refund, 
but I felt I deserved it.Read moreDate of stay: November 2019HelpfulShare</t>
  </si>
  <si>
    <t>Mralanwilliams S wrote a review Oct 2019Chorley, United Kingdom62 
contributions21 helpful votes</t>
  </si>
  <si>
    <t>Explorer797385 wrote a review Nov 20191 contribution</t>
  </si>
  <si>
    <t>London Musical, Only Fools and HorsesHaving had a bad experience at my last Travelodge stay not this one it was 
a pleasant surprise, reception staff were friendly and helpful, room was 
clean and tidy, bed was comfortable and shower was excellent, 
recommended.Read moreDate of stay: October 2019HelpfulShare</t>
  </si>
  <si>
    <t>HotelBusy hotel well run with nice receptionist 24 7 rooms are clean and beds 
very comfy all round good stay. Bar facilities and food reasonable prices. 
Plenty of places within walking distance of hotel to eat and drinkRead 
moreReview collected in partnership with this hotelDate of stay: November 
2019HelpfulShare</t>
  </si>
  <si>
    <t>Middleight wrote a review Oct 2019London, United Kingdom12 contributions2 
helpful votes</t>
  </si>
  <si>
    <t>Louis C wrote a review Nov 2019Ashford, United Kingdom577 contributions211 
helpful votes</t>
  </si>
  <si>
    <t>Nicely positioned for the West EndWe stayed here for a weekend with friends. The location is good for the 
West End within five minutes walk of Waterloo station. There are plenty of 
places to eat round about. Pricing is not bad for London and the 
location.Read moreReview collected in partnership with TravelodgeDate of 
stay: October 2019HelpfulShare</t>
  </si>
  <si>
    <t>Average£79 for a mid week double room. Stay in lots of Travelodge’s and this one 
seriously needs updating. Carpet must be at least 5 years old. Rooms and 
Bathrooms need a lick of paint and new suites. I did sleep though and the 
staff were helpful.Read moreDate of stay: November 2019HelpfulShare</t>
  </si>
  <si>
    <t>thisislisalisa wrote a review Oct 20191 contribution</t>
  </si>
  <si>
    <t>https://www.tripadvisor.co.uk/Hotel_Review-g186338-d243667-Reviews-or545-Travelodge_London_Kings_Cross_Royal_Scot-London_England.html#REVIEWS</t>
  </si>
  <si>
    <t>Amazing time in LondonThanks Travelodge that you made our stay as amazing, cozy and special as 
it's possible. The staff were super friendly and helpful. The rooms were 
clean, comfortable and had good facilities. Besides, it smelled heavenly. 
We really enjoyed and liked our room in floor 8th! The location is perfect, 
just minutes away from the subway and great sights, such as the London Eye. 
The only point of criticism is that I would have liked two comforters, 
instead of just one, but that's the only point, really. We will definitely 
come back!!Read moreReview collected in partnership with TravelodgeDate of 
stay: October 2019HelpfulShare</t>
  </si>
  <si>
    <t>Rock_intel wrote a review Nov 20191 contribution</t>
  </si>
  <si>
    <t>Andy M wrote a review Oct 2019Glasgow, United Kingdom136 contributions14 
helpful votes</t>
  </si>
  <si>
    <t>Ideal LocationThe hotel is ideally located if you want to go around central london. The 
rooms are quite old and beds as small but comfortable enough. The bathroom 
essentials needs better quality like the soap and shower gel/ shampoo. 
Overall great service as wellRead moreReview collected in partnership with 
this hotelDate of stay: October 2019HelpfulShare</t>
  </si>
  <si>
    <t>hhepworth wrote a review Nov 2019Scarborough, United Kingdom25 
contributions5 helpful votes</t>
  </si>
  <si>
    <t>Flawless.Stayed here for one night and can’t fault the place. Check in was quick and 
easy and my room was modern, well appointed and spotlessly clean. I even 
had a view of the Shard. We ate in the restaurant and the food was very 
good. Our waiter, I didn’t catch her name was excellent and very friendly 
and attentive. The buffet breakfast was superb with a huge choice. I would 
definitely stay her again when visiting. And it’s only a few minutes walk 
from the nearest tube station.Read moreDate of stay: October 
2019HelpfulShare</t>
  </si>
  <si>
    <t>London weekendStayed here numerous times before, so knew what to expect. One of the less 
modern lodges (a buy-in a number of years ago), and needs a bit of 
attention now, with some of fixtures and fittings being old and well used, 
eg wardrobe doors not fitting properly, bathroom towel rail needing 
refixing, stains on carpet. However, you gets what you pays for. The 
bedding and bathroom were exceptionally clean. This is a LARGE lodge. But 
much quieter off season, although still busy. No European or Asian coach 
groups in, who arrive evenings, and are up, about and out from 6 the next 
morning.Read moreReview collected in partnership with this hotelDate of 
stay: November 2019HelpfulShare</t>
  </si>
  <si>
    <t>mpescatori wrote a review Nov 2019Rome, Italy3 contributions</t>
  </si>
  <si>
    <t>https://www.tripadvisor.co.uk/Hotel_Review-g186338-d1812157-Reviews-or210-Travelodge_London_Waterloo_Hotel-London_England.html#REVIEWS</t>
  </si>
  <si>
    <t>Seaside06034497339 wrote a review Oct 20191 contribution</t>
  </si>
  <si>
    <t>Below expectationsHaving stayed at Travelodge elsewhere in Britain, I expected this 
particular hotel, in downtown London, to be higherthan average for the 
Company. I was wrong. The Lobby and Bar/Breakfast area are very well 
furnished and maintained. The Staff at Reception are excellent. The room(s) 
were a disappointment. The first room [530] we were assigned was OK at 
first glance; unfortunately, the toilet lavatory was clogged and would not 
drain; the toilet tank would flush only at the 3rd4th attempt; and to top 
it all, th waste bin was still full from the previous occupant! So… had 
they at least changed the bedsheets? We asked for another room, and were 
immediately reassigned to [537] Slighlty smaller, the window looked onto 
the street rather than the inside courtyard, so it was a better…Read 
moreReview collected in partnership with this hotelDate of stay: November 
2019HelpfulShareResponse from TravelodgeUK, Ben from the Social Media Team 
at Travelodge London Kings Cross Royal ScotResponded 6 Nov 2019Thank you 
for taking the time to write a review about our London Kings Cross Royal 
Scot hotel. We're pleased to hear that you found the hotel team to be 
excellent however we are sorry to learn of your disappointment with the 
rooms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</si>
  <si>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Not badI had a problem with the travel agency AMOMA.com and they didn't want to 
help me solve it. the location and cleanliness are very good ideal to go as 
a couple, family or alone. breakfast is in the average price of the 
cityRead moreReview collected in partnership with TravelodgeDate of stay: 
October 2019HelpfulShareResponse from TravelodgeUK, James from the Social 
Media Team at Travelodge London Waterloo HotelResponded 10 Oct 2019Thank 
you for reviewing our Travelodge London Waterloo Hotel. We're happy to hear 
you were pleased with the location of the hotel as well as with it's 
cleanliness but we're sorry to hear of the issues experienced with AMOMA. 
Please rest assured the hotel managers check Tripadvisor reviews of their 
hotels so your comments will be reviewed by the hotel's team. Thank you 
again for leaving this review and we do hope that you choose to stay with 
us again in the future.Read more</t>
  </si>
  <si>
    <t>DrS_10 wrote a review Nov 2019Cornwall, United Kingdom106 contributions36 
helpful votes</t>
  </si>
  <si>
    <t>Alan Chatting wrote a review Oct 2019Plymouth, United Kingdom3 
contributions2 helpful votes</t>
  </si>
  <si>
    <t>Good value hotel for its locationBasic, comfortable room in hotel close to Waterloo station. Upgraded to a 
family room at no extra cost because we were staying 5 nights. Food in the 
cafe a bit hit or miss, with grubby tables and food not always hot. Coffee 
machines were not always working at breakfast.Read moreReview collected in 
partnership with TravelodgeDate of stay: October 2019HelpfulShare</t>
  </si>
  <si>
    <t>You get what you pay forMidweek double room £74.99 in London, not a bad price, but room needed 
updating. It was a tiny double with bed pushed up against a wall. Bathroom 
was functional but shower curtain needed a good clean. Didn’t eat there. 
Simply a nights sleep before catching train home - walking distance of 
Kings Cross. Staff were friendly and helpful. If we were staying longer I 
would have asked to change rooms.Read moreDate of stay: October 
2019HelpfulShareResponse from TravelodgeUK, Zack from The Social Media Team 
at Travelodge London Kings Cross Royal ScotResponded 5 Nov 2019Thank you 
for leaving your review of our London Kings Cross Royal Scot hotel. We are 
pleased to hear that our staff were helpful during your stay and that you 
found the stay at a good price, however we are sorry to hear of the 
disappointment with the beds and the shower cleanliness. Please be assured 
the hotel managers check Tripadvisor reviews of their hotels so your 
comments will be reviewed by the hotel's team. Thank you again for leaving 
this review and we do hope that you choose to stay with us again in the 
future.Read more</t>
  </si>
  <si>
    <t>Ian and Rosemar... P wrote a review Nov 2019Kirkintilloch, United Kingdom9 
contributions2 helpful votes</t>
  </si>
  <si>
    <t>grannyelma wrote a review Oct 2019scotland1 contribution</t>
  </si>
  <si>
    <t>Travelodge Kings Cross Royal ScottRoom was basic but clean. Staff were extremely cheerful and helpful and can 
be highly commended. Disappointed no Gluten Free bread or rolls available. 
Adhering to a Gluten Free diet is a medical necessity if you are a Coeliac. 
Don't take breakfast juice. Totally tasteless! Overall a comfortable stay 
at a reasonable price.Read moreReview collected in partnership with this 
hotelDate of stay: October 2019HelpfulShare</t>
  </si>
  <si>
    <t>Excellent hotel to see LondonHotel for well positioned to travel round the many attractions. Hop on hop 
off bus is excellent and when we were there had a English speaking guide 
who was excellent. There is earphones and other languages to choose 
from.Read moreReview collected in partnership with TravelodgeDate of stay: 
October 2019HelpfulShare</t>
  </si>
  <si>
    <t>https://www.tripadvisor.co.uk/Hotel_Review-g186338-d243667-Reviews-or550-Travelodge_London_Kings_Cross_Royal_Scot-London_England.html#REVIEWS</t>
  </si>
  <si>
    <t>AlisonWackett wrote a review Nov 2019Northampton, United Kingdom1 
contribution</t>
  </si>
  <si>
    <t>https://www.tripadvisor.co.uk/Hotel_Review-g186338-d1812157-Reviews-or215-Travelodge_London_Waterloo_Hotel-London_England.html#REVIEWS</t>
  </si>
  <si>
    <t>Review of The Kings Cross Royal ScottHotel room was awful, unclean and needs updating !!!!!! Staff were very 
helpful and taxi service they offered us would have been great if one had 
turned up !! Hotel needs updating and cleaned properlyRead moreReview 
collected in partnership with this hotelDate of stay: November 
2019HelpfulShareResponse from TravelodgeUK, Zack from The Social Media Team 
at Travelodge London Kings Cross Royal ScotResponded 5 Nov 2019Thank you 
for taking the time to provide your feedback following your recent stay 
with us. We are pleased to hear the staff were helpful, however we are 
sorry to learn of your experience within the room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</si>
  <si>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Coastal11249583081 wrote a review Oct 20191 contribution</t>
  </si>
  <si>
    <t>Seo86 wrote a review Nov 2019Dublin, Ireland4 contributions7 helpful votes</t>
  </si>
  <si>
    <t>Horrible experienceThe first room smelt of mold. We had to complain twice to get them to move 
us. Then they had some construction all through the night with the 2nd 
room. we got no sleep and they say they may not be able to refund us for 
the night...Read moreReview collected in partnership with TravelodgeDate of 
stay: October 2019HelpfulShareResponse from TravelodgeUK, Shaf from the 
Social Media Team. at Travelodge London Waterloo HotelResponded 7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</si>
  <si>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Friendly staff, clean room and very centralThe receptionist Joel was very nice and welcoming. The room, while a little 
small, was clean and suited our purposes. It's a very central location. 
Would be nice if you could have internet included but overall it's 
recommended.Read moreReview collected in partnership with this hotelDate of 
stay: November 2019HelpfulShare</t>
  </si>
  <si>
    <t>LizGScotland wrote a review Oct 2019Scotland7 contributions1 helpful vote</t>
  </si>
  <si>
    <t>Annemarie X wrote a review Nov 2019Billericay, United Kingdom8 
contributions3 helpful votes</t>
  </si>
  <si>
    <t>Weekend tripThis was an ideal choice for a weekend in London. 5 minutes walk to 
Waterloo stations and underground. Room was spotless and exceptionally 
quiet overnight. Surprisingly. Reception and bar staff very helpful and 
friendly.. stayed here with my daughter for a sightseeing trip and would 
definitely stay here again.Read moreReview collected in partnership with 
TravelodgeDate of stay: September 2019HelpfulShare</t>
  </si>
  <si>
    <t>A convenient place to stay.The hotel was an easy walk from the underground and also St Pancras 
International. It was possible to eat an evening meal in the restaurant. 
The breakfast was very good. Hotel staff were very friendly and 
efficient.Read moreReview collected in partnership with this hotelDate of 
stay: October 2019HelpfulShare</t>
  </si>
  <si>
    <t>KayCee wrote a review Oct 20191 contribution</t>
  </si>
  <si>
    <t>mikeF8323FY wrote a review Nov 2019Whitehaven, United Kingdom1 contribution</t>
  </si>
  <si>
    <t>Business travelI have stayed in the hotel many nights for the past three months. Staff are 
always welcoming and are very friendly. Rooms are very comfortable. I would 
however recommend the Card system to open doors be revised. The cards 
easily get interference from your mobile phone or bank cards and stop 
working.Read moreDate of stay: October 2019HelpfulShare</t>
  </si>
  <si>
    <t>mamales2009 wrote a review Oct 2019Suffolk, United Kingdom1 contribution</t>
  </si>
  <si>
    <t>Weekend visitGood room, good breakfast, good price for london, other guests noisy but 
not that bad. Regularly stay here, always my first choice. Also introduced 
a good range of vegetarian , vegan and gluten free evening mealsRead 
moreReview collected in partnership with this hotelDate of stay: October 
2019HelpfulShare</t>
  </si>
  <si>
    <t>Lovely StayA very elegant hotel and worth the money to stay. The best place to relax 
and comfortable. A short walk from Westminster bridge. Staff has an 
excellent service, very accommodating and very helpful with queries.Read 
moreReview collected in partnership with TravelodgeDate of stay: September 
2019HelpfulShare</t>
  </si>
  <si>
    <t>Garyfinch wrote a review Nov 2019Halifax12 contributions14 helpful votes</t>
  </si>
  <si>
    <t>Convenient Kings Cross hotelAnother travelodge stay in one of the busier hotels close to KX station. 
Great staff and fast friendly check in. As usual the price is high, which 
is typical of all London hotels and particularly in this area these days 
but compared with alternatives it represented reasonable value.Read 
moreReview collected in partnership with this hotelDate of stay: October 
2019HelpfulShare</t>
  </si>
  <si>
    <t>https://www.tripadvisor.co.uk/Hotel_Review-g186338-d243667-Reviews-or555-Travelodge_London_Kings_Cross_Royal_Scot-London_England.html#REVIEWS</t>
  </si>
  <si>
    <t>https://www.tripadvisor.co.uk/Hotel_Review-g186338-d1812157-Reviews-or220-Travelodge_London_Waterloo_Hotel-London_England.html#REVIEWS</t>
  </si>
  <si>
    <t>SDWStuart wrote a review Nov 201932 contributions11 helpful votes</t>
  </si>
  <si>
    <t>PetziDus wrote a review Sep 2019Düsseldorf, Germany3 contributions6 helpful 
votes</t>
  </si>
  <si>
    <t>Very dated hotelWe only stayed here for the intended one night. We didn’t have enough 
towels, the wash basin was blocked, the bed/pillows were uncomfortable. The 
room hadn’t been set up correctly by housekeeping. We didn’t have enough 
towels or toiletries paper. It was a noisy hotel in that you could here the 
staff having a smoke at the rear yard. You could also hear bins being 
filled up during the night.Read moreReview collected in partnership with 
TravelodgeDate of stay: November 2019HelpfulShareResponse from 
TravelodgeUK, James from the Social Media Team at Travelodge London Kings 
Cross Royal ScotResponded 4 Nov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</si>
  <si>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Standard Chain Hotel With Significant AdvantagesThis was my first stay in a Travelodge hotel. Of course, this is a 
no-thrills chain of hotels. So what to expect? But I was positively 
surprised. Yes, furniture is very basic and lighting is sort of cold - and 
even clinical - though that can be helped with turning on only indirect 
lighting. BUT, compared to a luxury hotel I used during my last stay in 
London, this hotel had some significant advantages. Room and bed were just 
as clean, instant coffee, sugar, milk, and tea with water heater were also 
provided, but the room as such was much bigger, some extra pillows were in 
the room, and - biggest advantage - the window could be tilted, so I could 
completely avoid AC (which would have blown air right onto the bed). 
Location was quite central (close to Waterloo and Southwark…Read moreReview 
collected in partnership with TravelodgeDate of stay: September 
2019HelpfulShare</t>
  </si>
  <si>
    <t>Rachelizabethh wrote a review Nov 2019Leek, United Kingdom5 contributions</t>
  </si>
  <si>
    <t>akshattyagi wrote a review Sep 2019Meerut, India235 contributions91 helpful 
votes</t>
  </si>
  <si>
    <t>Good for the money����We had a savers deal which made it worth it. Simple room, generally clean. 
Staff were lovely! Wouldn’t have paid a higher price for it though. Quite 
noisy but this was other guests, no fault of the hotel.Read moreReview 
collected in partnership with this hotelDate of stay: October 
2019HelpfulShare</t>
  </si>
  <si>
    <t>Good Stay placeWe stayed here for about 6 days ,check in was smooth at 3 pm only if you 
arrive early they keep your baggage . We took a small family room which had 
an extra bed with little more space than other rooms. Split AC and Tea 
coffe maker in room which is refilled daily ( more on reception if you want 
). Bathroom was ok size but the shower area is very small and if water 
drips out of the shower area there is no way it can drain. The house 
keeping staff was very efficient. Breakfast is hmm like ok with scrambled 
egg and toasts and few odd things ,it was ok for me , coffee machine serves 
you all kinds and there is juice machine also. If you let them know and pay 
10 Pound in advance you can have a late check out at 2 p.mRead moreDate of 
stay: September 2019HelpfulShare</t>
  </si>
  <si>
    <t>SurreyDave wrote a review Sep 2019UK973 contributions45 helpful votes</t>
  </si>
  <si>
    <t>TKandJRM wrote a review Nov 2019Paris15 contributions9 helpful votes</t>
  </si>
  <si>
    <t>Good choice and a fair priceStayed for 3 nights Friday to Monday. Easy check-in process and a warm 
welcome from the reception team so a good first impression! Many hotels 
could learn this lesson. Room was comfortable and functional located on the 
7th floor. Very quiet at night and as a light sleeper this was very 
important to me. Bathroom a little small but in truth manageable Breakfast 
buffet substantial and for the room, the price paid a fair quality. An easy 
10-minute walk from Waterloo even with a suitcase.Read moreDate of stay: 
September 2019HelpfulShare</t>
  </si>
  <si>
    <t>Good valueWe were warmly welcomed by friendly Dion; the room was spacious, clean and 
comfortable. It had all we required for one night's stay. The location is 
convenient and the price was very good for central London.Read moreReview 
collected in partnership with this hotelDate of stay: November 
2019HelpfulShare</t>
  </si>
  <si>
    <t>Camper265047 wrote a review Sep 20191 contribution</t>
  </si>
  <si>
    <t>Short break in LondonThis Travelodge is in a great location with tidy rooms and great value for 
money breakfasts. Would recommend for a short break stay in London. Easy 
access to the underground but you can also walk to many of the tourists 
attractions !Read moreReview collected in partnership with TravelodgeDate 
of stay: September 2019HelpfulShare</t>
  </si>
  <si>
    <t>https://www.tripadvisor.co.uk/Hotel_Review-g186338-d1812157-Reviews-or465</t>
  </si>
  <si>
    <t>https://www.tripadvisor.co.uk/Hotel_Review-g186338-d243667-Reviews-or560-Travelodge_London_Kings_Cross_Royal_Scot-London_England.html#REVIEWS</t>
  </si>
  <si>
    <t>https://www.tripadvisor.co.uk/Hotel_Review-g186338-d1812157-Reviews-or225-Travelodge_London_Waterloo_Hotel-London_England.html#REVIEWS</t>
  </si>
  <si>
    <t>jakewadd2019 wrote a review Nov 2019Halifax, United Kingdom1 contribution</t>
  </si>
  <si>
    <t>A comfortable stopThe room was good for the cheap price. The beds were very comfortable but 
small in size. The furniture is dated and there wasn’t a bed side plug for 
both beds. The bathroom was a little small and the shower head made the 
water come out in a mist like fashion. It was hard to shower. The 
cleanliness was good. The staff were great. The breakfast left a lot to be 
desired considering the price. Overall it was a comfortable stay. Will be 
looking somewhere different next year.Read moreReview collected in 
partnership with this hotelDate of stay: November 2019HelpfulShare</t>
  </si>
  <si>
    <t>paul t wrote a review Sep 2019Bromley, United Kingdom6 contributions4 
helpful votes</t>
  </si>
  <si>
    <t>modern and brightgreat travelodge with really good location for central London. teh room was 
spotless and the towels bedding and covers were all clean and pressed. I 
don't normally leave reviews for stuff like this but the staff went that 
extra mile to please.Read moreReview collected in partnership with 
TravelodgeDate of stay: September 2019HelpfulShare</t>
  </si>
  <si>
    <t>rockstar39 wrote a review Nov 20191 contribution</t>
  </si>
  <si>
    <t>Jojo wrote a review Sep 20195 contributions1 helpful vote</t>
  </si>
  <si>
    <t>Nice comfy room in central locationStayed here for the weekend with a friend. Staff very friendly and 
accommodating. I booked a double room by mistake and they were happy to 
move us to a twin. On 7th floor, quiet, could see London Eye. Good base for 
sightseeing.Read moreReview collected in partnership with TravelodgeDate of 
stay: September 2019HelpfulShare</t>
  </si>
  <si>
    <t>Dreadful service and room cleanlinessThe service we received at this travel lodge was appalling. We had to 
report two leaks in the ceiling four times and still don't know if they 
ever did look at it. After the first time it was reported our clean towels 
were left in the puddle under the leaks! I slipped badly getting into the 
bath the first morning and got told that nonslip mats were not available 
due to "health and safety". Our room had also been badly damaged by 
previous occupants and was not fit for use. We sent a complaint email two 
weeks ago which is yet to be responded to. Avoid room 481. Avoid this 
Travelodge.Read moreReview collected in partnership with this hotelDate of 
stay: October 2019HelpfulShareResponse from TravelodgeUK, James from the 
Social Media Team at Travelodge London Kings Cross Royal ScotResponded 3 
Nov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</si>
  <si>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Mariestray wrote a review Sep 2019Poole, United Kingdom9 contributions7 
helpful votes</t>
  </si>
  <si>
    <t>Sean A wrote a review Nov 20191 contribution</t>
  </si>
  <si>
    <t>Stay most weeks 2 nights at presentDecent Location, slightly cheaper than most of the other Travelodges around 
Central London. Building is a bit tired, but I find it clean and tidy and 
the Staff are always helpful. I normally arrive Wednesday Evening and check 
out on Fridays. Bella on reception is always very friendly as are all the 
staff.Read moreDate of stay: November 2019HelpfulShare</t>
  </si>
  <si>
    <t>Great stayWe booked this hotel for 1 night as the rate of other hotels in the same 
area were much more expensive. I must admit I did not expect it to be so 
good. The hotel was clean and tidy, the rooms were clean and modern. The 
bed was comfortable. There was tea/coffee facilities in the rooms and you 
could grab extra coffee/tea bags from the reception at no extra cost. The 
staff was super friendly and let us check in in one of the bedrooms early 
that 3PM to drop our bags in it. They also have a locked room to leave your 
luggage. The shower was on the small side but great pressure (our friends 
said the pressure wasn't as good in theirs). This was a great base for us 
to make the most of a weekend in London. I would recommend it!Read 
moreReview collected in partnership with TravelodgeDate of stay: September 
2019HelpfulShare</t>
  </si>
  <si>
    <t>Mike S wrote a review Nov 20198 contributions</t>
  </si>
  <si>
    <t>https://www.tripadvisor.co.uk/Hotel_Review-g186338-d1812157-Reviews-or230-Travelodge_London_Waterloo_Hotel-London_England.html#REVIEWS</t>
  </si>
  <si>
    <t>ENAB46139 wrote a review Sep 2019Exeter, United Kingdom10 contributions2 
helpful votes</t>
  </si>
  <si>
    <t>Room was appalling!Please see the photos... For a big chain like Travelodge I would not expect 
what I found in the room. Light fitting falling off, cobwebs, paint that 
looked like it had been applied with a yard brush, tiles broken and 
repaired multiple times, shampoo dispenser that fell to bits and was 
mouldy. It was just all shabby and used and abused. There is no way I would 
ever stay there again, or recommend it to anyone.Read moreDate of stay: 
November 2019HelpfulShare</t>
  </si>
  <si>
    <t>Excellent budget hotelFirst time I have stayed in a Travelodge hotel as I would normally choose a 
premier inn for a cheap hotel stop over. Really clean and modern and in a 
great position for getting around. Breakfast was excellent with good choice 
and all really fresh well stocked. Good sized family room . Really good 
value for money. Would definitely make me chose Travelodge again.Read 
moreDate of stay: July 2019HelpfulShare</t>
  </si>
  <si>
    <t>https://www.tripadvisor.co.uk/Hotel_Review-g186338-d243667-Reviews-or565-Travelodge_London_Kings_Cross_Royal_Scot-London_England.html#REVIEWS</t>
  </si>
  <si>
    <t>veena20192019 wrote a review Sep 20192 contributions</t>
  </si>
  <si>
    <t>Michael P wrote a review Nov 2019Bristol, United Kingdom16 contributions5 
helpful votes</t>
  </si>
  <si>
    <t>good hotel and very close to waterloo railway station and other london 
attractionshad a comfortable stay at the hotel. well maintained and very friendly and 
helpful staff. very close to london eye and other major attractions. very 
close to waterloo underground and network rail. overall very pleasedRead 
moreReview collected in partnership with TravelodgeDate of stay: September 
2019HelpfulShare</t>
  </si>
  <si>
    <t>Huge errorThis hotel may seem cheap but it’s poor value . £93 per night in November 
for a single occupancy double box room without breakfast . Filthy toilet 
and very shabby decor . Can’t think of any positives and the manager was 
horrified by the image of the brown deep staining under the WC I showed her 
. I don’t think the WC has been cleaned for years . It’s also 16 mins walk 
from Kings Cross which make it close to being a mis description case .Read 
moreReview collected in partnership with this hotelDate of stay: November 
2019HelpfulShareResponse from TravelodgeUK, Shaf from the Social Media 
Team. at Travelodge London Kings Cross Royal ScotResponded 3 Nov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</si>
  <si>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UmarBhatti wrote a review Nov 2019Muscat, Oman13 contributions9 helpful 
votes</t>
  </si>
  <si>
    <t>Superb location.The reception looked busy. I was told to wait 20 min, went back after 40, 
was told 2 min and she will come to me with keys, went back after another 
30 min and the receptionist had forgotton. She was apologetic but i was the 
only person waiting in the lobby starring at them as everyone had gone.It 
is a very central location, beds are comfy. No other issuesRead moreReview 
collected in partnership with this hotelDate of stay: October 
2019HelpfulShare</t>
  </si>
  <si>
    <t>268lawrencem wrote a review Nov 2019Southampton, United Kingdom13 
contributions</t>
  </si>
  <si>
    <t>https://www.tripadvisor.co.uk/Hotel_Review-g186338-d1812157-Reviews-or235-Travelodge_London_Waterloo_Hotel-London_England.html#REVIEWS</t>
  </si>
  <si>
    <t>Overnight stay at TravelodgeI stayed in the Travelodge that was within walking distance from St 
Pancras. Staff were incredibly friendly and helpful, the room was clean and 
presentable and I had an enjoyable stay. Would recommend staying there.Read 
moreReview collected in partnership with TravelodgeDate of stay: October 
2019HelpfulShare</t>
  </si>
  <si>
    <t>John H wrote a review Oct 2019Birmingham, United Kingdom5 contributions</t>
  </si>
  <si>
    <t>Old and tiredThis hotel needs a lot of care and attention. The building is very tired 
and old looking from the moment you see the outside until you wall along 
the sticky and stained carpets along the corridors. This travelodge needs a 
good lick of paint and a good vacuuming. You spot trouble when the staff 
are instructing you how to score the hotel at check in. Old, tired,decrepit 
I stay in Travelodges every week but I wont be staying in that one 
again.Read moreReview collected in partnership with this hotelDate of stay: 
October 2019HelpfulShareResponse from TravelodgeUK, Tilly from The Social 
Media Team at Travelodge London Kings Cross Royal ScotResponded 1 Nov 
2019Thank you for your comments about our London Kings Cross Royal Scot 
hotel. We are sorry to hear of your disappointment with the overall look of 
the hotel and this meant that you did not enjoy your stay. We will be sure 
to pass your feedback to the hotel team to help improve the service that we 
offer and we hope to welcome you back to one of our hotels in the near 
future.Read more</t>
  </si>
  <si>
    <t>paulhshepherd wrote a review Sep 20191 contribution1 helpful vote</t>
  </si>
  <si>
    <t>Great stay, great price great location great staff.Stayed here for one night and I have nothing but praise especially for all 
the staff, I dont think I have ever stayed at a travellodge, premier inn, 
holiday inn type place where the staff were that friendly helpful and 
proffessiional. Reception and bar staff were great....infact all the staff 
were, and the hotel was pretty new, and very clean. Recommended.Read 
moreReview collected in partnership with TravelodgeDate of stay: September 
20192 Helpful votesHelpfulShare</t>
  </si>
  <si>
    <t>https://www.tripadvisor.co.uk/Hotel_Review-g186338-d243667-Reviews-or570-Travelodge_London_Kings_Cross_Royal_Scot-London_England.html#REVIEWS</t>
  </si>
  <si>
    <t>Steve T wrote a review Sep 2019Lytham St Anne's, United Kingdom20,042 
contributions611 helpful votes</t>
  </si>
  <si>
    <t>marymW3204EH wrote a review Oct 2019Glasgow, United Kingdom2 contributions</t>
  </si>
  <si>
    <t>NFL gamedayThis is a budget hotel and with that in mind I was very pleased overall. 
Staff were polite &amp; friendly, the room was basic but clean but was needing 
some TLC for the fixtures &amp; fittings. Had everything you need for a short 
stay. Bed was comfortable but a bit on the narrow side. The breakfast was 
appetising again good value as long as you were not vegetarian as choice 
was limited . Plenty of staff on hand for clearing tables and replenishing 
the buffet. The location is fairly central with a short walk to transport 
hubs, but the location is on a main thoroughfare there was the sound of 
emergency vehicles throughout the night. Bar had a reasonable selection of 
drinks at reasonable prices for central LondonRead moreReview collected in 
partnership with this hotelDate of stay: October 2019HelpfulShare</t>
  </si>
  <si>
    <t>Better than expectedThe room was delightful - I think we had an upgrade or whatever these rooms 
masquerade as nowadays - but it was a well planned room with plenty of 
space and so comfort. We spent a week here and were not only delighted by 
our room but also by the hotel's location - a definite boon. I enjoyed 
excellent night's sleep. Staff were polite and efficient throughout our 
entire stay - thank you. Spotlessly clean throughout !! If you don't fancy 
breakfast at the hotel you could do the circa 15 mins stroll to the nearest 
Wetherspoons - fab breakfast !!Read moreDate of stay: September 20192 
Helpful votesHelpfulShare</t>
  </si>
  <si>
    <t>joannet3 wrote a review Oct 2019Huddersfield, United Kingdom70 
contributions47 helpful votes</t>
  </si>
  <si>
    <t>A Tripadvisor Member wrote a review Sep 2019</t>
  </si>
  <si>
    <t>Did the Job WellStayed for 2 nights and were on top floor with a view of the Eye. Spacious 
room with a small bathroom. The shower had my pet hate of a curtain instead 
of a screen and the pressure could have been a bit stronger. Everything 
else was fine and the breakfast was very good. In a decent location a 5 
minute walk from Waterloo StationRead moreReview collected in partnership 
with TravelodgeDate of stay: September 20191 Helpful voteHelpfulShare</t>
  </si>
  <si>
    <t>Great locationUsual Travelodge hotel, basic but clean. 8-10 mins walk from Kings X so 
great location for trains and underground. All the staff I came across were 
friendly and helpful. I’d definitely use this place as a base again when 
visiting LondonRead moreReview collected in partnership with this hotelDate 
of stay: October 2019HelpfulShare</t>
  </si>
  <si>
    <t>AChee74 wrote a review Sep 2019Kuching, Malaysia1,286 contributions255 
helpful votes</t>
  </si>
  <si>
    <t>brendajhall wrote a review Oct 20191 contribution</t>
  </si>
  <si>
    <t>DisappointedGood points first staff were friendly and helpful hotel was clean and ideal 
if you were arriving at kingscross . Bedroom was small carpet was ripped 
extractor didn’t work in the bathroom and room was quite cold early 
morningRead moreReview collected in partnership with this hotelDate of 
stay: October 2019HelpfulShare</t>
  </si>
  <si>
    <t>smallishIt is about 10 min walk from Waterloo Station, next to the Hilton by 
Hampton. Check in was fast and easy. Room was smallish even it is consider 
as the super room. hardly any place for luggage, but it is clean.Read 
moreDate of stay: August 2019HelpfulShareResponse from TravelodgeUK, Zack 
from The Social Media Team at Travelodge London Waterloo HotelResponded 18 
Sep 2019Thank you for reviewing your experience of our London Waterloo 
hotel. We are pleased to hear that your check in to your room was fast and 
easy and that you found your room to be cleaned to a high standard for your 
arrival, however we are sorry to read of your disappointment with the size 
of the room. We will be sure to pass your feedback on to the relevant 
department within our support centre, and we hope to be able to welcome you 
back to stay with us again soon.Read more</t>
  </si>
  <si>
    <t>ChristopherIFGates wrote a review Oct 2019Minehead, United Kingdom19 
contributions3 helpful votes</t>
  </si>
  <si>
    <t>https://www.tripadvisor.co.uk/Hotel_Review-g186338-d1812157-Reviews-or240-Travelodge_London_Waterloo_Hotel-London_England.html#REVIEWS</t>
  </si>
  <si>
    <t>Excellent Staff, perfect locationThe staff were very friendly and helpful, the location near Kings Cross 
Station was easily walkable and also convenient to the hospitals couldn't 
have been better, it was immaculately clean, well maintained and decorated. 
Note worthy staff Jowel &amp; Dione on the reception desk when I arrived, 
Natalija, Armands and Megija and managers Joao and Areta, Maria at the 
breakfast bar was also very helpful as did the bar staff in the evening 
Zizi and in particular Audri who was very kind to me.Read moreReview 
collected in partnership with this hotelDate of stay: October 
2019HelpfulShare</t>
  </si>
  <si>
    <t>Janine L wrote a review Sep 2019north wales36 contributions12 helpful votes</t>
  </si>
  <si>
    <t>Exactly as exoectedideal for waterloo, clean and tidy, friendly - exactly as expected for this 
type of hotel. good service, does exactly what it says on the tin. only a 
10 min walk to the london eye and the embankment. would def use againRead 
moreDate of stay: September 2019HelpfulShare</t>
  </si>
  <si>
    <t>Mark wrote a review Sep 2019Leeds, United Kingdom6 contributions10 helpful 
votes</t>
  </si>
  <si>
    <t>Basic to say the leastI’ve stayed in many basic hotels however there are basic levels of service 
you do expect. Arriving to the desk at 10 to 2 I was asked whether I had 
early check in, which I didn’t, I was then made to wait, which is fine but 
quite literally until precisely 2 to check in, despite rooms obviously 
being available. The food was passable and better than some I have stayed 
at but the time it took was desperate, this doesn’t include the various 
errors in service such as wrong drink, wrong order number etc. despite 
this, the waiting staff were very polite. The room is clean and comfortable 
enough to do some work but lack of some basic amenities such as a glass in 
the bathroom, reasonable provision of coffee, sugar, milk and passage 
through the bar to get to the door or reception let…Read moreDate of stay: 
September 20192 Helpful votesHelpfulShare</t>
  </si>
  <si>
    <t>lu20932 wrote a review Sep 20191 contribution1 helpful vote</t>
  </si>
  <si>
    <t>Dirty bedding, poorly maintained roomCustomer service when we first arrived didn’t come across as very 
approachable, stain on the bedding which was soon changed but not 
satisfactory enough when paying extra for a super room which to add was not 
very well maintained. Lady that greeted us at breakfast was very friendly 
and also the manager when we left. Based on the overall experience though 
we would not stay again.Read moreReview collected in partnership with 
TravelodgeDate of stay: September 20191 Helpful voteHelpfulShareResponse 
from TravelodgeUK, Zack from The Social Media Team at Travelodge London 
Waterloo HotelResponded 17 Sep 2019Thank you for taking the time to review 
our London Waterloo hotel. We are sorry to hear that you didn't feel our 
staff were very approachable upon your arrival and that you found there to 
be a stain on the bedding in your room, however we are pleased to hear that 
this was resolved by our hotel team. We are also pleased to hear that you 
experienced good service from our staff at breakfast and the manager upon 
your check out from our hotel. All customer feedback is valuable to us, so 
thank you again for your comments and we hope we are able to welcome you to 
stay with us again soon.Read more</t>
  </si>
  <si>
    <t>David F wrote a review Sep 20192 contributions</t>
  </si>
  <si>
    <t>jelly_on_toast84 wrote a review Oct 20191 contribution</t>
  </si>
  <si>
    <t>Very comfortable stay in Central LondonVery quiet, clean, comfortable stay. Wouldn't win awards for architecture 
or interior design but it is exactly what it sets out to be - a good value 
basic hotel in a convenient location. I am a very light sleeper and the 
receptionist kindly put us in a room which was on a high floor towards the 
back of the hotel away from the lifts. Slept very well as a result.Read 
moreReview collected in partnership with TravelodgeDate of stay: September 
2019HelpfulShare</t>
  </si>
  <si>
    <t>The night of two rooms!I had to wait 45 minutes to be given a new room in the middle of the night 
because the electrics blew and wasn't offered anything as compensation for 
the hassle. It was sort of funny but I had 4 hours sleep in the end and the 
staff were very slow.Read moreReview collected in partnership with this 
hotelDate of stay: October 2019HelpfulShare</t>
  </si>
  <si>
    <t>Dawn E wrote a review Sep 2019Leicester, United Kingdom34 contributions12 
helpful votes</t>
  </si>
  <si>
    <t>GoodStayed for 2 nights. Like it on the southbank 10 min walk from london eye. 
Best to use Waterloo subway but remember to use southbank exit if not long 
way around but ideal place for restaurants pubs etc. Breakfast was good. 10 
min wait for coffee. Bedroom small but ok did Loan out a hairdryer. No 
drawer cupboards to keep underwear so left things in suitcase not enough 
hangers. Bathroom ok n small. Air con good . Cleanliness good. Will come 
back for position of hotel. But wont have breakfast as 4 doors down fab 
cafe £5 for full englishRead moreDate of stay: September 2019HelpfulShare</t>
  </si>
  <si>
    <t>https://www.tripadvisor.co.uk/Hotel_Review-g186338-d243667-Reviews-or575-Travelodge_London_Kings_Cross_Royal_Scot-London_England.html#REVIEWS</t>
  </si>
  <si>
    <t>Patrick wrote a review Oct 2019Bruges, Belgium2 contributions1 helpful vote</t>
  </si>
  <si>
    <t>https://www.tripadvisor.co.uk/Hotel_Review-g186338-d1812157-Reviews-or245-Travelodge_London_Waterloo_Hotel-London_England.html#REVIEWS</t>
  </si>
  <si>
    <t>4 days in londonMegija, you're the best receptionist and whe will certainly let you know 
when whe are comming back. The breakfast was great and we enjoyed our stay 
in the hotel near by the station. Our trip to london was great!!!Read 
moreDate of stay: October 2019HelpfulShare</t>
  </si>
  <si>
    <t>RDS61 wrote a review Sep 2019Chester, United Kingdom1,691 contributions98 
helpful votes</t>
  </si>
  <si>
    <t>Kieron S wrote a review Oct 20193 contributions1 helpful vote</t>
  </si>
  <si>
    <t>Needs to improveWe stayed here for two nights. The room we had was quite small with a very 
small toilet/shower room. There was no bath mat in the bathroom nor a 
hairdryer in the room, although you can get one from reception. There are 
also no drawers or cupboards in the room on a rail with a few hangers for 
clothes. The lift creaked a little and is in need of some attention. 
Furthermore the smell of cooked breakfast wafted up the lift shaft. Overall 
it could be so much better with a little attention to detail. The location 
is very convenient for Waterloo stationRead moreDate of stay: September 
20191 Helpful voteHelpfulShareResponse from TravelodgeUK, Zack from The 
Social Media Team at Travelodge London Waterloo HotelResponded 15 Sep 
2019Thank you for taking the time to share your experience with us at our 
London Waterloo Travelodge. We are pleased to learn you were happy with the 
Hotels location, however please accept our apologies for the disappointment 
with your room and lack of facilities. Your feedback is very important to 
us as it allow us to improve the service we offer. We really appreciate the 
time you have taken to write this review and we do hope you stay with us 
soon.Read more</t>
  </si>
  <si>
    <t>Odd welcoming, stay and leave.Very odd welcoming with Joel writing down the numbers 9 and 10 and 
informing me they don't accept reviews below these and then wrote his name 
down for if there were any issues. I was there three nights and didn't see 
him again. Radiator was broken. Hairs in the bathroom. Shower head setting 
which cant be changed felt like I was being pin pricked all over. 
Housekeeping tried to come in on my last morning at 10am but the booking 
was until Noon. Only saving grace was the cleaner who was absolutely lovely 
to me and showed me the right direction out. Probs not stay here again.Read 
moreDate of stay: October 2019HelpfulShareResponse from TravelodgeUK, Ben 
from the Social Media Team at Travelodge London Kings Cross Royal 
ScotResponded 31 Oct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</si>
  <si>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Heinz wrote a review Sep 20199 contributions3 helpful votes</t>
  </si>
  <si>
    <t>Emily P wrote a review Oct 2019Nottingham, United Kingdom2 contributions</t>
  </si>
  <si>
    <t>AmazingI enjoyed my stay here. Reception were accommodating and asked if they 
could help in anyway. Staff were courteous and polite. The best travelodge 
I've stayed in and good value for money. I would stay again.Read moreDate 
of stay: June 2019HelpfulShare</t>
  </si>
  <si>
    <t>Okay but not greatThe staff are great can’t fault them, polite, friendly and helpful. The 
room was okay, we were on the fourth floor which we were happy about away 
from the lower ground hustle, however when people come in they are NOT 
considerate to others; screaming and shouting at gone midnight (of course I 
understand this isn’t the hotels fault) The bed was clean and comfy however 
only 3 pillows when there were 2 of us. The bath room is very small and you 
could barely move in there and then there was the hair in the bathtub! Not 
a great start. Tea and coffee making facilities were there but again didn’t 
look in the best condition so I steered clear. A tiny tv but has most 
channels so that’s something I guess and then loads of space, would have 
been more than enough room for a chair of some…Read moreReview collected in 
partnership with this hotelDate of stay: October 2019HelpfulShare</t>
  </si>
  <si>
    <t>Phil E wrote a review Oct 2019Kingston-upon-Hull, United Kingdom1 
contribution</t>
  </si>
  <si>
    <t>201raymondw wrote a review Sep 2019Swansea, United Kingdom9 contributions2 
helpful votes</t>
  </si>
  <si>
    <t>Travel-dodgeHotel lobby, reception and hallways were pretty clean, however, the room 
was a bit minging. Shower curtain rail was covered in rust and the shower 
curtain was gross. There are stickers on the bathroom tiles that tell you 
to put the shower curtain inside the bath when you use it as water will go 
on the floor... but it is still flooded when you get out. The shower 
curtains is too light. When you're in the shower the curtain sticks to your 
body as you wash cos the water pressure from the showerhead blows it on to 
you. Condensation on the windows in the morning showed two big handprints 
on the window and a head print. Reckon previous guests had been having sex 
against it. Could've done with a wipe. Dione on the front desk was lovely. 
Lady behind the bar was a hard-faced lying…Read moreDate of stay: October 
2019HelpfulShare</t>
  </si>
  <si>
    <t>Location,location,location.Very good value for a budget hotel. The reception area clean and tidy. The 
staff helpful pleasant and efficient. Room clean and comfortable. Bed and 
pillows allowed for a good nights sleep. Excellent location.Read moreDate 
of stay: September 2019HelpfulShare</t>
  </si>
  <si>
    <t>jennifer r wrote a review Oct 2019Oxford, United Kingdom5 contributions</t>
  </si>
  <si>
    <t>Great hotelGreat hotel for a few nights stay in London. We had a very quiet room was 
perfect :) Reception was very helpful. Beds was really comfy. Great 
location, easy walking distance to underground to get around the city.Read 
moreReview collected in partnership with this hotelDate of stay: October 
2019HelpfulShare</t>
  </si>
  <si>
    <t>https://www.tripadvisor.co.uk/Hotel_Review-g186338-d243667-Reviews-or580-Travelodge_London_Kings_Cross_Royal_Scot-London_England.html#REVIEWS</t>
  </si>
  <si>
    <t>Sherpa03035805596 wrote a review Oct 20191 contribution</t>
  </si>
  <si>
    <t>PleasantStay here with my granddaughter we were made very welcome from the start to 
the end of our visit. The room was clean and comfortable, the food was 
lovely. Will definitely stay there again. Lovely service.Read moreReview 
collected in partnership with this hotelDate of stay: October 
2019HelpfulShare</t>
  </si>
  <si>
    <t>Eatsomemore wrote a review Oct 20192 contributions</t>
  </si>
  <si>
    <t>https://www.tripadvisor.co.uk/Hotel_Review-g186338-d1812157-Reviews-or250-Travelodge_London_Waterloo_Hotel-London_England.html#REVIEWS</t>
  </si>
  <si>
    <t>Clean but outdated that needs a revamp for the price chargedThe hotel was generally clean but it is definitely in need of a renovation 
as things are tired and worn in the rooms. Especially the bathrooms which 
are in dire need of it. The bed linen was clean and comfortable as a 
positive.Read moreReview collected in partnership with TravelodgeDate of 
stay: October 2019HelpfulShare</t>
  </si>
  <si>
    <t>Andalucia02 wrote a review Oct 2019Alhaurin de la Torre, Spain71 
contributions62 helpful votes</t>
  </si>
  <si>
    <t>sportbilly62 wrote a review Sep 2019Doncaster, United Kingdom56 
contributions23 helpful votes</t>
  </si>
  <si>
    <t>https://www.tripadvisor.co.uk/Hotel_Review-g186338-d1812157-Reviews-or470</t>
  </si>
  <si>
    <t>Nice Quiet Location2 night stay to take in a sporting event. Lovely location away from the 
hustle and bustle of central London. 5 Minutes walk from Waterloo station. 
Very friendly staff. Room was great, lovely buffet brekky, decent bar. An 
easier going hotel than the busy covent garden one we normally stay in. 
Will definitely come back here when staying in London, apart from anything 
else it's a lot cheaper than Covent garden.Read moreDate of stay: September 
2019HelpfulShare</t>
  </si>
  <si>
    <t>Not a good roomHave stayed here many times and it’s very hit and miss if you get a good 
room or not. Unfortunately this time the room was poor. To get to room 2007 
you have to go up to the 2nd floor, walk along a couple of corridors then 
go down stairs 2 floors back to the ground floor again. The room is at the 
side of the hotel on a side street with the pavement right outside your 
window meaning you have to keep the curtains closed all the time for 
privacy. (and the very old window too). A very old bathroom with bath with 
shower in it, that kept going very hot every few seconds, which seems to be 
an ongoing problem at this hotel. This room doesn’t have the usual 
travelodge fit-out. No plug sockets near the bed, no usb charging points in 
the room at all. Maybe ok for a 1 night stay, but we…Read moreReview 
collected in partnership with this hotelDate of stay: October 
2019HelpfulShareResponse from TravelodgeUK, Shaf from the Social Media 
Team. at Travelodge London Kings Cross Royal ScotResponded 29 Oct 2019Thank 
you for reviewing our London Kings Cross Royal Scot Travelodge. We're 
really to learn you were unhappy with your room on this occasion and the 
room kept getting hot. We are always reviewing our hotels for 
refurbishments and we will ensure to pass your comments on to the relevant 
department. Travelodge do have a number of our newer hotels that have plug 
sockets next to the bed, however some of our older locations may not have 
this due to the age of the hotel and the specific building requirements. 
Feedback is invaluable and our Hotel Managers regularly review their 
TripAdvisor reviews in order to fix any issues raised and pass on feedback 
to their team. Thank you once again and we do hope you will stay with us in 
the future.Read more</t>
  </si>
  <si>
    <t>Raymond G wrote a review Sep 2019Hartlepool, United Kingdom14 
contributions5 helpful votes</t>
  </si>
  <si>
    <t>A basic room but only needed for sleeping and washingRoom was clean and quiet. Fairly small in size but large enough for the 
occasion. A well stocked bar on the ground floor and a popular breakfast 
room (but we actually used neither). Very close to the tube and Waterloo 
station.Read moreReview collected in partnership with TravelodgeDate of 
stay: September 2019HelpfulShare</t>
  </si>
  <si>
    <t>gertruderawley wrote a review Oct 2019Chesterfield, United Kingdom2 
contributions3 helpful votes</t>
  </si>
  <si>
    <t>Friendly attentive staffRoom was tired looking (furniture, windows, paintwork etc), not an issue as 
we were rarely there throughout out three day stay; the staff were 
attentive,.polite, efficient and really really helpful, I would definitely 
stay there again. The location is great for easy transport links, the bar 
was well stocked, the breakfast was excellent and a really great choice of 
local restaurants for meals close by at very reasonable prices.Read 
moreReview collected in partnership with TravelodgeDate of stay: October 
2019HelpfulShare</t>
  </si>
  <si>
    <t>MrsCW-R wrote a review Sep 2019Somerset, United Kingdom1,811 
contributions239 helpful votes</t>
  </si>
  <si>
    <t>https://www.tripadvisor.co.uk/Hotel_Review-g186338-d243667-Reviews-or585-Travelodge_London_Kings_Cross_Royal_Scot-London_England.html#REVIEWS</t>
  </si>
  <si>
    <t>Great hotel in good commutable locationHave stayed in this hotel on quite a few occasions as it is in such a good 
location to commute around London just a 5-10 minute walk south of Waterloo 
station - perfect for both tube and trains. It meets all our needs so we 
keep coming back. The staff are superb - helpful, knowledgeable and nothing 
is too much trouble. Also has a bag store if you want to go out to play 
during the day and collect your bag later. This hotel is always nice and 
clean and kept in good decorative order. New - if you are staying for more 
than one night, if you want your room cleaned ensure that you hang the pink 
tag on the door handle. We forget and returned to our own mess and an 
unmade bed when we returned back after a very long day!! Will not make that 
mistake again. Food is good here too. …Read moreDate of stay: September 
2019HelpfulShare</t>
  </si>
  <si>
    <t>Gary S wrote a review Oct 2019Broadstairs, United Kingdom40 contributions20 
helpful votes</t>
  </si>
  <si>
    <t>Great TravelodgeNice friendly staff. Great hotel in middle of London. I like the building. 
It was near Kings Cross station, walking distance , in fact, making it easy 
to get around London. The room was clean and tidy and a nice amount of 
space for two people.Read moreReview collected in partnership with this 
hotelDate of stay: October 2019HelpfulShare</t>
  </si>
  <si>
    <t>https://www.tripadvisor.co.uk/Hotel_Review-g186338-d1812157-Reviews-or255-Travelodge_London_Waterloo_Hotel-London_England.html#REVIEWS</t>
  </si>
  <si>
    <t>chartley5 wrote a review Oct 2019Burnley, United Kingdom1 contribution</t>
  </si>
  <si>
    <t>Garry B wrote a review Sep 2019Haywards Heath, United Kingdom151 
contributions30 helpful votes</t>
  </si>
  <si>
    <t>Great if on a budgetThe hotel is great if on a budget,rooms are clean but could do with an 
overhaul,one of the quietest hotels I’ve ever stayed in,so much so I could 
sleep with the window open enough to let fresh air in,would definitely use 
again,and the breakfast was greatRead moreReview collected in partnership 
with this hotelDate of stay: October 2019HelpfulShare</t>
  </si>
  <si>
    <t>A Good FindStaying in Travelodge's can be a bit hit and miss, however I found this one 
when I had to stay in London for work. I was so impressed, I booked it for 
a personal overnight stay after a visit to the theatre. The staff are 
friendly and professional. The hotel is spotlessly clean and the rooms are 
surprisingly large and well maintained. Breakfast was included in my deal 
and was great. Will definitely use it again as it has a great location for 
the West End, good prices and pretty quiet so you get a good nights sleep. 
Thank you.Read moreDate of stay: September 2019HelpfulShare</t>
  </si>
  <si>
    <t>Jangs1193 wrote a review Oct 2019Lincolnshire, United Kingdom22 
contributions3 helpful votes</t>
  </si>
  <si>
    <t>AmyR333 wrote a review Sep 2019Oxford, United Kingdom10 contributions2 
helpful votes</t>
  </si>
  <si>
    <t>Family room stayThe room was spacious and clean, staff on the front desk were really nice 
both at night and in the morning. Our room was quite hard to find so some 
direction would've been handy, also some glasses and a teaspoon (for 
tea/coffee) in the room would've been good. Double bed was comfy, extra bed 
was very hard but we all had a good night's sleep as location of the hotel 
is quiet.Read moreDate of stay: September 2019HelpfulShare</t>
  </si>
  <si>
    <t>Nice little stay!No issues with regards to the hotel; bit dated but beds were comfy and room 
was clean - served its purpose for the one night we were staying there! 
Easy to find, check in was straight forward! Keys are a bit sensitive so 
had deactivated by the time we got back after the theatre (it wasn’t next 
to my phone or bank cards etc) but we been told about them during check in 
so half expected it; we were let it quickly though and the card we 
reactivated immediately! We booked breakfast the next day which was nice; 
full english buffet (with vegetarian option) and plenty of cereal! We left 
our luggage both before and after check in and again that was 
straightforward and secure! I would stay here again :)Read moreReview 
collected in partnership with this hotelDate of stay: October 
2019HelpfulShare</t>
  </si>
  <si>
    <t>Ivana wrote a review Sep 201911 contributions1 helpful vote</t>
  </si>
  <si>
    <t>KawaiiTraveller wrote a review Oct 2019London, United Kingdom12 
contributions3 helpful votes</t>
  </si>
  <si>
    <t>Great clean hotelHotel was perfectly clean (which is not common in London), everything was 
clean and working. Bathroom was clean with enough towels, Bed was 
comfortable. Breakfast was great with a possibility to take coffee and 
fruit away. It was just 15min walk from londoneye and 10min to 
underground.Really worth for money.Read moreReview collected in partnership 
with TravelodgeDate of stay: September 2019HelpfulShare</t>
  </si>
  <si>
    <t>Convenient location to station and City areaMegan at reception was a joyful and very cheerful. She made me feel very 
welcome and very helpful. I was a bit disappointed with the bed. It's a 
single but not very comfortable so didn't really get a good nights sleep. 
Although you are in the busy road, noise wasn't an issue. Conveniently 
located to the train stations and good bus links.Read moreReview collected 
in partnership with TravelodgeDate of stay: October 2019HelpfulShare</t>
  </si>
  <si>
    <t>jlinden2019 wrote a review Sep 2019Poole, United Kingdom1 contribution</t>
  </si>
  <si>
    <t>GuytheVet wrote a review Oct 20192 contributions</t>
  </si>
  <si>
    <t>Great HotelVery spacious family room. Comfy beds, very clean, and an air cooling unit 
which made the temperature very pleasant, we could even see the London Eye 
from our room. The location was great and the staff were always friendly 
and very helpful.Read moreReview collected in partnership with 
TravelodgeDate of stay: August 2019HelpfulShare</t>
  </si>
  <si>
    <t>Great central stay in LondonGood service, clean central hotel with tasty food available when needed... 
Food was tasty and rooms clean. Water was hold when required in the rooms 
Room however was only heated withnba radiator heator so needs to stay on in 
winter for a nice toasty room on arrival after a cold day or night outRead 
moreReview collected in partnership with TravelodgeDate of stay: October 
2019HelpfulShare</t>
  </si>
  <si>
    <t>teamace27 wrote a review Sep 2019Seoul, South Korea1 contribution</t>
  </si>
  <si>
    <t>Excellent location, reasonale quality and price.I stayed 8 nights with my family, and the biggest benefit is excellent 
location (near Waterloo, Southwark station) and reasonable price of course. 
This hotel was new and clean but poor facilities usuable. However strongly 
recommended to stay!!Read moreReview collected in partnership with 
TravelodgeDate of stay: August 2019HelpfulShare</t>
  </si>
  <si>
    <t>https://www.tripadvisor.co.uk/Hotel_Review-g186338-d243667-Reviews-or590-Travelodge_London_Kings_Cross_Royal_Scot-London_England.html#REVIEWS</t>
  </si>
  <si>
    <t>patsaunders2019 wrote a review Oct 20191 contribution</t>
  </si>
  <si>
    <t>https://www.tripadvisor.co.uk/Hotel_Review-g186338-d1812157-Reviews-or260-Travelodge_London_Waterloo_Hotel-London_England.html#REVIEWS</t>
  </si>
  <si>
    <t>A well appointed and well-staffed hotel but I had problems with room 
temperature and breakfast.I would not recommend this hotel for an older person with a number of food 
allergies or intolerance unless they bring their own supplies. Excellent 
coffee available in machines, but no decaf. Herbal teas, but no decaf 
tea.Read moreReview collected in partnership with TravelodgeDate of stay: 
October 2019HelpfulShare</t>
  </si>
  <si>
    <t>jackiekkennedy wrote a review Sep 20191 contribution</t>
  </si>
  <si>
    <t>Daniel C wrote a review Oct 20192 contributions</t>
  </si>
  <si>
    <t>Great experienceStayed for two nights and enjoyed our stay. Polite, friendly staff, very 
clean hotel and food was great. Staying at this travelodge for the first 
time we were very impressed. A short distance to the train station and 
London Eye. Recommend this Travelodge - absolutely.Read moreReview 
collected in partnership with TravelodgeDate of stay: August 
2019HelpfulShare</t>
  </si>
  <si>
    <t>Epic people great locationWith a superb location and amazing price the most marvelous this about the 
Royal Scot is not the spot on name is the amazing customer service from the 
reception (day and night) but also the bar staff, stayed here multiple 
times and will be back again and again and again for sure, 10/10 for the 
staff with 10/10 for tee hotel itself. Special mention to Michelle a 
winning smile and friendly attitude and a brilliant personality she alone 
get a Spinal Tap 11/10.Read moreDate of stay: October 2019HelpfulShare</t>
  </si>
  <si>
    <t>Sally wrote a review Sep 2019Dorset, United Kingdom17 contributions8 
helpful votes</t>
  </si>
  <si>
    <t>Excellent hotel, definitely worth a visit..The hotel is in a brilliant location only a short walk from Waterloo 
station; the superooms are basically furnished but a reasonable size, clean 
and comfortable. The staff are very friendly and helpful. Access is good 
with 2 lifts available so you don’t wait long. The food is of good quality, 
a limited but varied menu that caters for gluten free and vegetarians and 
is very reasonably priced. The only downside is that, as always, the noisy 
inconsiderate idiot always seems to have a room by me...Read moreDate of 
stay: September 2019HelpfulShare</t>
  </si>
  <si>
    <t>Audsxxx wrote a review Oct 2019Bellshill, United Kingdom12 contributions</t>
  </si>
  <si>
    <t>amylouiseroberts wrote a review Sep 2019Essex, United Kingdom51 
contributions7 helpful votes</t>
  </si>
  <si>
    <t>Loved it!Great location. A gentle stroll from Kings Cross/St Pancras train station. 
About a 7 minute walk. Staff were so friendly and took time to explain and 
listen/answer any questions. Room was ideal. Twin Room. TV with a good 
choice of channels. No hairdryer though. However we spoke to reception who 
furnished us with one. Staff were so friendly and helpful. They took the 
time to listen to us and answer any of our questions. Nothing was a bother 
to them. They also stored our bags on check out while we went our exploring 
until it was time to go for our train. I would definitely recommend and 
would 100% stay here again.Read moreReview collected in partnership with 
TravelodgeDate of stay: October 2019HelpfulShare</t>
  </si>
  <si>
    <t>Excellent locationStayed here solo for one night before/after Ministry of Sound. Very close 
to Waterloo station and lots of places nearby. My room was clean and large 
- probably one of the nicest Travelodges I have stayed in. Only downside 
was my room was right next to the door for the lifts so there was quite 
loud banging from the door being constantly opened and closed. Apart from 
that I have no complaints.Read moreDate of stay: August 2019HelpfulShare</t>
  </si>
  <si>
    <t>https://www.tripadvisor.co.uk/Hotel_Review-g186338-d243667-Reviews-or595-Travelodge_London_Kings_Cross_Royal_Scot-London_England.html#REVIEWS</t>
  </si>
  <si>
    <t>kevinT8012TX wrote a review Oct 20191 contribution</t>
  </si>
  <si>
    <t>https://www.tripadvisor.co.uk/Hotel_Review-g186338-d1812157-Reviews-or265-Travelodge_London_Waterloo_Hotel-London_England.html#REVIEWS</t>
  </si>
  <si>
    <t>Thank youThe building is as you would expect for a 3-star hotel. For me, what was 
impressive, was the attitude of the staff we encountered. Every member, 
without exception, went out of their way to help us, and their care and 
attention shown us helped make our birthday weekend to London a memorable 
stay. Thank you Andrea, Arieta, Elisha, Jorjoh, Marta, Bella, Megi, Haleeme 
( our sincere apologies to anyone we may have missed)Read moreReview 
collected in partnership with TravelodgeDate of stay: October 
2019HelpfulShare</t>
  </si>
  <si>
    <t>davidquirk wrote a review Oct 2019St Albans, United Kingdom1 contribution</t>
  </si>
  <si>
    <t>RobWil62 wrote a review Sep 2019Caernarfon, United Kingdom40 
contributions33 helpful votes</t>
  </si>
  <si>
    <t>Weekend ReunionI was in London for a reunion with some wonderful friends. Had a very 
enjoyable weekend in London and was very happy with the Room, the wonderful 
breakfast and the very friendly staff. Thankyou to everyone.Read moreReview 
collected in partnership with this hotelDate of stay: October 
2019HelpfulShare</t>
  </si>
  <si>
    <t>Kaylene M wrote a review Oct 201915 contributions7 helpful votes</t>
  </si>
  <si>
    <t>Comfortable stay in Central LondonWhen we stay for short breaks in Central London we always find Travelodge 
Waterloo convenient and suitable for our needs. Located just south of 
Waterloo Bridge near the Old Vic Theatre, it is possible to walk to most 
Central London attractions. The room we had on the 5th floor facing a side 
road was spacious, clean, and quiet. We did not eat at the hotel. Overall 
another comfortable stay, and we will return next time in London.Read 
moreDate of stay: August 2019HelpfulShare</t>
  </si>
  <si>
    <t>OkRoom was onky Ok. Quite noisy as you could clearly hear others coming and 
going past your room and the workers in the street started at 06:30. Soap 
in the shower/bath was empty (although I had my own so not a major issue). 
Most frustrating was that I had to get my room access card reset daily so 
as to get back into my room again.Read moreReview collected in partnership 
with this hotelDate of stay: October 2019HelpfulShare</t>
  </si>
  <si>
    <t>07nich wrote a review Aug 2019Cheshire, United Kingdom1 contribution</t>
  </si>
  <si>
    <t>tpa123744 wrote a review Oct 2019Somerset, United Kingdom1 contribution</t>
  </si>
  <si>
    <t>Family short break sightseeing.We had never been to London before hence we weren't too sure what to expect 
and we were a bit apprehensive about the area, travelling around etc... all 
needless worry. We arrived midday and booked straight in to our small 
family room which was excellent, modern looking, plenty big enough and 
spotless. We dropped our bags and headed off, there were bus stops a plenty 
within 1-5 mins walk from the hotel but due to the hotels central location 
and beautiful weather we chose to walk to most points of interest. 
Breakfast was fantastic, a huge choice on offer and the food was of a high 
standard, Kuh &amp; Liliana were very friendly &amp; helpful, making us feel very 
welcome each morning. Dinner was offered at a very reasonable price indeed, 
they serve from 12-12am which was very handy when…Read moreDate of stay: 
August 20191 Helpful voteHelpfulShare</t>
  </si>
  <si>
    <t>Busy WeekendStandard Travelodge comfort but with particularly welcoming reception 
staff. Being able to leave our luggage before the room was available was 
very useful. It was a 10 minute walk for us, an elderly couple, from King's 
Cross underground to the hotelRead moreReview collected in partnership with 
this hotelDate of stay: October 2019HelpfulShare</t>
  </si>
  <si>
    <t>https://www.tripadvisor.co.uk/Hotel_Review-g186338-d243667-Reviews-or600-Travelodge_London_Kings_Cross_Royal_Scot-London_England.html#REVIEWS</t>
  </si>
  <si>
    <t>dirisu wrote a review Oct 2019Abuja, Nigeria1 contribution</t>
  </si>
  <si>
    <t>https://www.tripadvisor.co.uk/Hotel_Review-g186338-d1812157-Reviews-or270-Travelodge_London_Waterloo_Hotel-London_England.html#REVIEWS</t>
  </si>
  <si>
    <t>Nanny doorstep wrote a review Aug 20191 contribution</t>
  </si>
  <si>
    <t>My Second Travel to UK experienceThe Hotel is close to King's Cross Train Station which give one advantage 
of movement to the Airport and Other Destination. The crew at the Front 
Desk are very friendly. However, the following need to be check: 1. Double 
payment when booked online. After making online payment, on arrival I was 
told that the foreign card is only to hold the accommodation till my 
arrival. I was made to pay cash , this affected my shopping arrangement. 
Because of this, my Bank informed me that it take an average of 30 working 
days to revise International transaction..Read moreReview collected in 
partnership with TravelodgeDate of stay: October 2019HelpfulShare</t>
  </si>
  <si>
    <t>Sons hospital stayThe staff at this hotel go above and beyond their duties for their 
customers. Especially kUH. Will definitely stay here again and recommend to 
others. We had our young granddaughter with us who they catered for in 
every wayRead moreDate of stay: August 2019HelpfulShare</t>
  </si>
  <si>
    <t>The Travels Of Francis wrote a review Oct 2019Nottinghamshire, United 
Kingdom1,087 contributions63 helpful votes</t>
  </si>
  <si>
    <t>Humey3 wrote a review Aug 2019Worthing, United Kingdom8 contributions4 
helpful votes</t>
  </si>
  <si>
    <t>Does the job as TL doesTravelodge is situated about a 10 minute walk from Kings Cross station 
which is very handy. Our brother in law met us at the station as he had 
booked in earlier in the day and we was on a flight back from Spain. We 
arrived the staff were extremely helpful on checkin and we were delighted 
with our modern clean room. You can help yourself at reception to 
coffee,tea and milk at reception to keep in your room, I got teabags 
pocketfuls in fact to add to my holiday kit. Also they have hair dryers and 
irons available so you do not have to pack them. The comfort of the bed was 
excellent, bathroom felt a bit grubby, and tired, but clean none the less. 
I did my usual trick of using a empty shower gel bottle and emptying the 
dispenser. Saved another £1 !! Noise of other customers…Read moreDate of 
stay: November 2018HelpfulShare</t>
  </si>
  <si>
    <t>Clean, value for money, friendly staff, close to station &amp; attractions!I've just come back from a 4 night stay with my children, staying in a 
small family room on the 1st floor. Room was absolutely spotless with 
air-con. We ate buffet breakfast everyday, which was delicious. Cereal, 
toast, croissant, fruit, yoghurt and a full range of English breakfast 
items. Eat as much as you like! The breakfast staff were welcoming and 
helpful, especially Kuh &amp; Sam. The hotel itself is situated 5 mins walk 
from Waterloo station so ideal base for mainline and underground stations. 
It is also walkable to the southbank, London eye, dungeons, Shrek 
experience &amp; sealife. There is a cut-through to the river via Lower Marsh, 
which you can get to if you go through the little park. Lower Marsh has 
lots of bars, restaurants, and an Iceland! There is an alleyway off…Read 
moreDate of stay: August 2019HelpfulShare</t>
  </si>
  <si>
    <t>Philip C wrote a review Oct 20192 contributions</t>
  </si>
  <si>
    <t>kateksc wrote a review Aug 2019Worcester, United Kingdom11 contributions5 
helpful votes</t>
  </si>
  <si>
    <t>Room maintenance issuesThe room was old and in need of a refurb. The ventilation opening in the 
window had a broken shutter, so the room was permanently cold and we had to 
have the heatef on full blast all night. One of the lights in the bathroom 
was pushed into the ceiling, and bits of plaster &amp; paint were all over the 
bathroom floor and sink. When we raised the issues with staff they 
apologised but did nothing more.Read moreReview collected in partnership 
with TravelodgeDate of stay: October 2019HelpfulShareResponse from 
TravelodgeUK, Ben from the Social Media Team at Travelodge London Kings 
Cross Royal ScotResponded 22 Oct 2019Thank you for taking the time to write 
a review about our London Kings Cross Royal Scot hotel.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</si>
  <si>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stevencarrie wrote a review Oct 2019Livingston, United Kingdom300 
contributions80 helpful votes</t>
  </si>
  <si>
    <t>Exactly what was requiredThe hotel was in a good central location, clean, welcoming, efficient. 
Provided everything we needed at a reasonable cost. Have stayed there 
before and will again, as it is a good base for seeing London. Very 
happy.Read moreReview collected in partnership with TravelodgeDate of stay: 
August 2019HelpfulShare</t>
  </si>
  <si>
    <t>mummyfi2019 wrote a review Aug 2019Lincoln, United Kingdom6 contributions</t>
  </si>
  <si>
    <t>Convenient and comfortableYes the wallpaper is falling off the walls, yes the room is small and the 
bath not very accessible however the bed is king size and is clean and 
comfortable. Shower amazing! For a hotel less than ten mins walk from kings 
cross it’s great value. Staff all very friendly and helpful. Would stay 
again!Read moreDate of stay: October 2019HelpfulShare</t>
  </si>
  <si>
    <t>Great budget hotelGreat budget hotel, very good sized room &amp; bed, very clean, very quiet, air 
con was fantastic! Great location for London Eye and to the rest of 
London’s attractions. Only let down was the breakfast! The hot items 
weren’t hot, there was virtually nothing for gluten and dairy intolerant 
guests to eat, so paying £18 for a plate of beans and two croissants 
stopped us from eating there again! We found so many other fab places to 
eat though that it did us a favour! I would definitely stay there again, 
just not partake in breakfast!!! Oh and take your own pillow if you like 
soft squishy ones, these are like bricks!!!Read moreReview collected in 
partnership with TravelodgeDate of stay: August 2019HelpfulShare</t>
  </si>
  <si>
    <t>https://www.tripadvisor.co.uk/Hotel_Review-g186338-d243667-Reviews-or605-Travelodge_London_Kings_Cross_Royal_Scot-London_England.html#REVIEWS</t>
  </si>
  <si>
    <t>AndiDL wrote a review Oct 2019Manchester, United Kingdom4 contributions7 
helpful votes</t>
  </si>
  <si>
    <t>https://www.tripadvisor.co.uk/Hotel_Review-g186338-d1812157-Reviews-or275-Travelodge_London_Waterloo_Hotel-London_England.html#REVIEWS</t>
  </si>
  <si>
    <t>Cheap, good location, scruffy bathroom£100 a night for 10 minute walk to Kings Cross made this really cheap for 
London. Bed was lovely and comfortable and had a great nights sleep. Only 
issue was the bathroom was a bit tired. Shower head was broken in tow 
different ways so could not be adjusted and gave only a fine mist. Plaster 
falling off the walls around the bath too. Had everything we needed for a 
two night stay but bathroom could do with a bit of TLC. Happy other than 
that.Read moreReview collected in partnership with this hotelDate of stay: 
October 2019HelpfulShare</t>
  </si>
  <si>
    <t>glosholidaymaker998 wrote a review Aug 2019Gloucester, United Kingdom15 
contributions22 helpful votes</t>
  </si>
  <si>
    <t>thomasdeppebecker wrote a review Oct 20191 contribution</t>
  </si>
  <si>
    <t>Family mini break to LondonGreat location! We had booked tickets for Sea Life Centre and Shrek 
Experience and this hotel was around a 20 minute walk to these attractions. 
We booked 2 family rooms for 2 adults and 4 children. Rooms were larger 
than expected, spotlessly clean with plenty of towels and extra pillows if 
needed. We borrowed a hair dryer from reception free of charge. Breakfast 
was brilliant! Kids eat free breakfast and there was plenty of choice - 
full English and continental. Good selection of coffee and tea. Lovely cold 
fruit juices and iced water. The restaurant was clean. Even though it was 
very busy, staff cleared and cleaned the tables quickly. We had the same 
staff both mornings - Juliana, Judith and Yesica. They always gave us and 
especially the children a warm welcome. When our 6…Read moreDate of stay: 
August 2019HelpfulShare</t>
  </si>
  <si>
    <t>hiebertkaitlyn wrote a review Aug 2019Worcester, United Kingdom15 
contributions4 helpful votes</t>
  </si>
  <si>
    <t>Price does not relate to comfortBreakfast not according European standard Room too small for 3 persons 
Bathroom: no hair dryer, small amount of towels W-Lan slow and not stabile 
connection poor room equipment (paper, pencil,fridge, blankets,...)Read 
moreReview collected in partnership with this hotelDate of stay: October 
2019HelpfulShareResponse from TravelodgeUK, Ben from the Social Media Team 
at Travelodge London Kings Cross Royal ScotResponded 21 Oct 2019Thank you 
for taking the time to write a review about our London Kings Cross Royal 
Scot hotel. We are sorry to learn that you did not find your room to be of 
great value, and we are sorry to learn of the disappointment caused by 
other aspects of your stay.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We appreciate all the feedback we receive and 
our Hotel Managers regularly review their TripAdvisor reviews in order to 
fix any issues raised and pass on feedback to their team. Thank you once 
again and we do hope you will stay with us in the future.Read more</t>
  </si>
  <si>
    <t>Debra C wrote a review Oct 2019Atlanta, United States24 contributions5 
helpful votes</t>
  </si>
  <si>
    <t>Clean and FriendlyWhen we arrived they were able to store our luggage before check in. The 
rooms were extremely clean and the beds were comfortable. The bedrooms 
didn't come with hair driers but you're able to ask for them at reception 
which is open 24 hours. It's also located in a convenient location and 
extremely accessible from various locations throughout London.Read moreDate 
of stay: August 2019HelpfulShare</t>
  </si>
  <si>
    <t>Budget value at good locationThis hotel is an older facility which corporate ought to update since the 
front desk staff did an amazing job of trying to help us with room 
requests, etc. The staff was always pleasant and accommodating with what 
they have to work with in the facility. The location is an easy 10 minute 
walk to St. Pancras KGX stations. The breakfast was great-hot and ready 
right on time and coffee and tea available in the evening. Kudos to the 
staff.Read moreDate of stay: October 2019HelpfulShare</t>
  </si>
  <si>
    <t>Julian D wrote a review Aug 2019London, United Kingdom2 contributions</t>
  </si>
  <si>
    <t>Could have been betterGood location but stay ruin by poor aspects of the hotel: had to change 
rooms due to broken toilet seat and no TV. 2nd room had leaking air-con 
which we have to turn off. No Wi-Fi - paid for it but it stopped after the 
30 mins free. Staff blamed our equipment! Poor.Read moreReview collected in 
partnership with TravelodgeDate of stay: August 2019HelpfulShare</t>
  </si>
  <si>
    <t>https://www.tripadvisor.co.uk/Hotel_Review-g186338-d243667-Reviews-or610-Travelodge_London_Kings_Cross_Royal_Scot-London_England.html#REVIEWS</t>
  </si>
  <si>
    <t>https://www.tripadvisor.co.uk/Hotel_Review-g186338-d1812157-Reviews-or280-Travelodge_London_Waterloo_Hotel-London_England.html#REVIEWS</t>
  </si>
  <si>
    <t>Clean, comfy but a bit outdated and no free wifiStayed recently on a business trip to London and while it is convenient, 
comfy and clean there is certainly a lot of room for improvement for this 
Travelodge. They could do with a refresh of the rooms, bathrooms and 
general decor, which feels quite dated. On top of that I was surprised to 
check that they don't offer free wifi to its guests... Which is certainly 
not ideal if you're on a business trip. Staff is very friendly and 
helpful.Read moreDate of stay: October 20199 Helpful votesHelpfulShare</t>
  </si>
  <si>
    <t>Mark D wrote a review Aug 2019Gloucester, United Kingdom20 contributions17 
helpful votes</t>
  </si>
  <si>
    <t>Ste M wrote a review Oct 2019Liverpool, United Kingdom23 contributions17 
helpful votes</t>
  </si>
  <si>
    <t>Surprisingly nice hotelThis was actually our first time staying in a travelodge (we're a family of 
5) and I'll admit to having had fairly low expectations. My pre conceptions 
were unfounded, as this was a surprisingly nice - albeit functional and not 
luxury - hotel. The rooms were clean and comfortable, and as equipped as 
you need them to be if using the hotel as a base for exploring the city. 
The staff were exemplary; polite, friendly, helpful. The location was 
superb for exploring this side of town. In all, I'd highly recommend this 
hotel as a base for your London sightseeing at a more reasonable price then 
most of the other hotels nearby (many of which Ive stayed at on business, 
and none of which are significantly better). I'd use this hotel again, and 
after my experience here, I'd try other…Read moreDate of stay: August 
2019HelpfulShare</t>
  </si>
  <si>
    <t>Great TravelodgeI have stayed at this travelodge many times, its a great place to stay, the 
staff are always extremely friendly and will do anything to help you. Its 
not your traditional travelodge, theres something quirky about the 
building, and it could probably do with a lick of paint here and there, 
however I think that adds to the charm of the place, as its not your bog 
standard travelodgeRead moreReview collected in partnership with this 
hotelDate of stay: October 2019HelpfulShare</t>
  </si>
  <si>
    <t>Laura Tetley wrote a review Aug 2019Melbourne, Australia3 contributions</t>
  </si>
  <si>
    <t>james g wrote a review Oct 2019Frodsham, United Kingdom20 contributions8 
helpful votes</t>
  </si>
  <si>
    <t>Great stayStayed here over night with a friend and we both loved it, the room was 
clean and modern and staff were helpful and friendly. The location is 
excellent, 10 minute walk from Southbank and close to convenience shops. We 
got a really good deal on the price and would definitely stay here 
again!Read moreDate of stay: July 2019HelpfulShare</t>
  </si>
  <si>
    <t>Convenient spotTravelodge were quick and unfussy with the option of a £10 early/late 
check-in/out. Megjian (Meg!) was a very efficient and pleasant 
receptionist. Thank you. And btw, TripAdvisor, reviews can be as long or 
short as I choose to make them!Read moreReview collected in partnership 
with this hotelDate of stay: October 2019HelpfulShare</t>
  </si>
  <si>
    <t>Faith Alexandra G wrote a review Oct 2019Llandudno, United Kingdom5 
contributions2 helpful votes</t>
  </si>
  <si>
    <t>Jacqueline H wrote a review Aug 20194 contributions</t>
  </si>
  <si>
    <t>Excellent Stay As AlwaysAs always Kings Cross Royal Scot lives up to expectations. Room was clean 
and comfortable. Staff polite and friendly. Dinner was excellent quality 
and value for money. Located easily on Bus Routes into Central London or 
Kings Cross/Euston. Would thoroughly recommend.Read moreReview collected in 
partnership with this hotelDate of stay: October 2019HelpfulShare</t>
  </si>
  <si>
    <t>Good value in great locationTravelodge are improving their hotels to a much better standard. This one 
is one of the better ones I have stayed in and the breakfast was very good 
- much improved. This is a good budget hotel in a great location near to 
Waterloo with easy access to tube, buses and a walk to the river.Read 
moreReview collected in partnership with TravelodgeDate of stay: August 
2019HelpfulShare</t>
  </si>
  <si>
    <t>chandlermargaret25 wrote a review Oct 20191 contribution</t>
  </si>
  <si>
    <t>Great valueThe Kings Cross Royal Scot was conveniently situated for our visit. The 
staff were most pleasant and helpful. The room was clean and provided the 
facilities promised. Being fairly central in the busy city there was some 
acceptable noise from the street.Read moreReview collected in partnership 
with this hotelDate of stay: October 2019HelpfulShare</t>
  </si>
  <si>
    <t>https://www.tripadvisor.co.uk/Hotel_Review-g186338-d243667-Reviews-or615-Travelodge_London_Kings_Cross_Royal_Scot-London_England.html#REVIEWS</t>
  </si>
  <si>
    <t>https://www.tripadvisor.co.uk/Hotel_Review-g186338-d1812157-Reviews-or285-Travelodge_London_Waterloo_Hotel-London_England.html#REVIEWS</t>
  </si>
  <si>
    <t>peter W wrote a review Oct 2019Middlesbrough, England, United Kingdom19 
contributions18 helpful votes</t>
  </si>
  <si>
    <t>great place great staff could be betterwell we arrived at 3.10pm and got cards to our room right away but ws told 
they had ran out of milk cartons ( small ones so where given a glass of 
milk) the room we where in was room 442 so on the 4th floor yes was a lift 
but a long walk down corridoors ( bad legs ) the room was ok but could of 
been a lot better ie wallpaper was hanging off the walls not in one place 
but a few ( i have pics) the bedside light switht was no good as u have to 
get out of bed to turn lamps off the whole idea of a bedside lamp is you 
turn off from the bed not having to get out and walk across the room around 
2.5foot away on both sides the walk to room was a long walk down 3 
corriodoors around 6 min long ( thats the room ) only view was a car park 
at rear so when i went downstairs for a…Read moreDate of stay: October 
2019HelpfulShare</t>
  </si>
  <si>
    <t>password1Cardiff wrote a review Aug 2019Cardiff, United Kingdom70 
contributions35 helpful votes</t>
  </si>
  <si>
    <t>Brian O wrote a review Oct 20199 contributions1 helpful vote</t>
  </si>
  <si>
    <t>Birthday weekend treatArrived Friday 9 August for a long weekend birthday treat. Everything was 
exceptional. Easy and friendly check in, lovely clean large room, spotless 
bathroom (always on my check list!). Room on the 8th floor with a view 
which was lovely and quiet, no noise from outside even with the window 
open. Great location just 10 mins walk from Waterloo Station (Lambeth North 
underground nearby also which we found was quicker to get to). A 15 minute 
walk from the hotel and your at Westminster - perfect location for 
sightseeing the wonderful things London has to offer. Hotel was excellent - 
we had dinner there on the Friday evening. Great value for money and really 
tasty. Served by the lovely Arteyo (a credit to your organisation). All in 
all a great stay and would definitely stay…Read moreDate of stay: August 
2019HelpfulShare</t>
  </si>
  <si>
    <t>Nice stayRoom was fine, good breakfast and near the train station. Staff were 
helpful as well and they all seemed friendly enough. This hotel is a good 
location for attractions and there is a bus stop outside the hotel, the 
train station is about a ten minute walk.Read moreReview collected in 
partnership with TravelodgeDate of stay: October 2019HelpfulShare</t>
  </si>
  <si>
    <t>cjalilou wrote a review Aug 2019Isle of Wight, United Kingdom2 contributions</t>
  </si>
  <si>
    <t>rebeccacheetham wrote a review Oct 2019Oxford, United Kingdom2 contributions</t>
  </si>
  <si>
    <t>One night stayAir in the drains making horrendous noise in the night and early morning. 
Blackout curtains poorly fitted. Stifling hot room for breakfast. Expected 
more for a family treat! Paid nearly £200 for a night and had little 
sleep.Read moreReview collected in partnership with TravelodgeDate of stay: 
August 2019HelpfulShare</t>
  </si>
  <si>
    <t>Unclean, cold and noisyI'd avoid this Travelodge if possible. It was the cheaper travelodge option 
in the area, which was still pricey, but it was not worth the small 
savings. The surfaces were greasy, the room was weathered and the walls 
paper thin. Pay a little bit more and enjoy a night stay somewhere warm, 
clean and comfortable.Read moreReview collected in partnership with 
TravelodgeDate of stay: October 2019HelpfulShareResponse from TravelodgeUK, 
James from the Social Media Team at Travelodge London Kings Cross Royal 
ScotResponded 17 Oct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</si>
  <si>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Marian054 wrote a review Oct 2019Bradford, United Kingdom2 contributions</t>
  </si>
  <si>
    <t>Great hotel near Kings CrossOnly 10 minutes walk from the station, a left luggage facility, great staff 
and a good price. What's not to like? Haleema on the Reception Desk was the 
perfect role model for front of house staff. An all round good deal!Read 
moreReview collected in partnership with TravelodgeDate of stay: October 
2019HelpfulShare</t>
  </si>
  <si>
    <t>jilby2017 wrote a review Oct 2019Cardiff, United Kingdom9 contributions</t>
  </si>
  <si>
    <t>https://www.tripadvisor.co.uk/Hotel_Review-g186338-d1812157-Reviews-or290-Travelodge_London_Waterloo_Hotel-London_England.html#REVIEWS</t>
  </si>
  <si>
    <t>Pennie Marshall wrote a review Aug 2019Stoke-on-Trent, United Kingdom3 
contributions</t>
  </si>
  <si>
    <t>Seen better daysThis Travelodge is very handy for Kings Cross/St. Pancras stations and the 
Eurostar but the room we had had seen much better days. Threadbare carpets 
and crumbling masonry in the bathroom plus its small size mean this is a 
room I would not want to spend much time in.Read moreReview collected in 
partnership with this hotelDate of stay: October 2019HelpfulShareResponse 
from TravelodgeUK, James from the Social Media Team at Travelodge London 
Kings Cross Royal ScotResponded 17 Oct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</si>
  <si>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Great location !!Great service, lovely food, very helpful and friendly especially Kuh, 
Sunju, Andreea and the very bubbly lady behind the bar working on Friday 
night(09/08) sorry didn't catch the name. Anyway thankyou so much for the 
hospitality..Will definitely return xRead moreDate of stay: August 
2019HelpfulShare</t>
  </si>
  <si>
    <t>Excursion42193649725 wrote a review Aug 20191 contribution</t>
  </si>
  <si>
    <t>https://www.tripadvisor.co.uk/Hotel_Review-g186338-d243667-Reviews-or620-Travelodge_London_Kings_Cross_Royal_Scot-London_England.html#REVIEWS</t>
  </si>
  <si>
    <t>munava wrote a review Oct 2019Newcastle upon Tyne, United Kingdom1 
contribution</t>
  </si>
  <si>
    <t>Great stay in the heart of London!Arrived midday on Friday 9th August. I had booked an early check in and was 
dealt with straight away, something I’ve hardly experienced at a hotel. 
Room was fine, very clean and comfortable but the noise from outside on the 
night was horrendous. There was a party at a block of flats nearby and the 
window in my room was not sound proof, even with it shut! So at around 2am 
I could hear pretty much everything of this party... roughly until about 
half 4. I didn’t report it to reception as they probably could not have 
done much as the noise was not from the hotel. Breakfast was superb, could 
not fault it... drinks at the bar were of a great selection and the staff 
there were so friendly and welcoming. Oh and to top it off your literally a 
4min walk from Waterloo train / underground…Read moreReview collected in 
partnership with TravelodgeDate of stay: August 2019HelpfulShare</t>
  </si>
  <si>
    <t>Viki wrote a review Aug 20197 contributions</t>
  </si>
  <si>
    <t>Short StayThis hotel is very conveniently located close to King's Cross Station. 
Great links to public transport to get around. The hotel room was quite 
basic and the the bathroom needs updating. However the staff were great - 
very helpful and friendly. Hairdryers and irons available on request. We 
bought the breakfast for the 3 days we were there - great value for money 
and good selection.Read moreReview collected in partnership with this 
hotelDate of stay: October 2019HelpfulShareResponse from TravelodgeUK, 
James from the Social Media Team at Travelodge London Kings Cross Royal 
ScotResponded 16 Oct 2019Thanks for reviewing our Travelodge London Kings 
Cross Royal Scot Hotel. We're happy to hear you were pleased with the 
location of the hotel during this stay with us as well as with the service 
from the hotel's team but we're very sorry to hear of the issues 
experienced with the wear and tear of your bathroom. Please rest assured 
the hotel managers check Tripadvisor reviews of their hotels so your 
comments will be reviewed by the hotel's team. Thank you again for leaving 
this review and we do hope that you choose to stay with us again in the 
future.Read more</t>
  </si>
  <si>
    <t>markstomlins wrote a review Oct 2019Kettering, United Kingdom158 
contributions54 helpful votes</t>
  </si>
  <si>
    <t>Great Visit!Really good hotel and well located. You can reach the London Eye and some 
other attractions like the Big Ben, Westminster Abbey or the Downing Street 
in less than 15 minutes whrn you go by feet. The team was really kind and 
also friendly and courteous. We had a really great stay and would come back 
every time!Read moreDate of stay: July 2019HelpfulShare</t>
  </si>
  <si>
    <t>Lynne S wrote a review Aug 2019Harwich, United Kingdom10 contributions6 
helpful votes</t>
  </si>
  <si>
    <t>Ok if you dont expect muchFirstly the negatives, the room is very basic, bed was ok, there was no 
table either side of the bed except for the smallest shelf in the world. 
There are no sockets on the bed side so if you want to charge a phone or 
ipad and use it in bed you can't. The TV was the size of a computer monitor 
and the plug lead only just reaches the socket causing the TV to be wonky. 
The positives, Bella who booked me in was very pleasent and did her job 
well. The breakfast buffet has improved since the previous time and the 
food items were very nice and the coffee was good. If you are on a budget 
this hotel is fine and 10 mins from Kings Cross St Pancras.Read moreDate of 
stay: October 2019HelpfulShare</t>
  </si>
  <si>
    <t>Great place to stay!Lovely hotel, clean, great staff. Breakfast room has been refurbished since 
I was last here &amp; much improved. We were well looked after by Kuh. Easy to 
get on buses &amp; tubes for site seeing. We a fabulous stay!Read moreDate of 
stay: August 2019HelpfulShare</t>
  </si>
  <si>
    <t>Bradders wrote a review Oct 20191 contribution</t>
  </si>
  <si>
    <t>Okay if your not fussy...Me and my family, thought the staff were very nice. We encountered a few 
hick ups along the way, but they remained calm and professional. The room 
was okay, bathrooms were small. The food was okay to get you through the 
day. There was baggage storage, but in my eyes weren't secured properly, 
just a code and then go and help yourselves. The hotel was clean, but in 
the rooms, carpets didn't looked to be hoovered, and shower rail was rusty. 
Overall if your not fussy and only staying a night and wanna do it on the 
cheap this is the hotel for you...Read moreDate of stay: October 
2019HelpfulShare</t>
  </si>
  <si>
    <t>poshskin1105 wrote a review Oct 2019Peterborough, United Kingdom6 
contributions</t>
  </si>
  <si>
    <t>https://www.tripadvisor.co.uk/Hotel_Review-g186338-d1812157-Reviews-or295-Travelodge_London_Waterloo_Hotel-London_England.html#REVIEWS</t>
  </si>
  <si>
    <t>Elliot wrote a review Aug 20192 contributions</t>
  </si>
  <si>
    <t>Pleasant SupriseGood sized room, very clean,with a very comfy bed,only problem we had was 
with getting hot water. Being a ground floor room we expected it to be 
noisy but it was not. Being that little bit further from Kings Cross made 
it that little bit cheaper and better value.Read moreReview collected in 
partnership with TravelodgeDate of stay: October 2019HelpfulShare</t>
  </si>
  <si>
    <t>sconcia2 wrote a review Oct 2019Taunton, United Kingdom1 contribution</t>
  </si>
  <si>
    <t>Brilliant staff who were always welcoming, very accommodating and brilliant 
to talk to.Very comfortable bed and great air conditioning. Staff were amazing for the 
two nights we stayed here. Would definitely recommend staying here... very 
reasonably priced for a stay in London. They just need to get Sky Sports 
and that would have been the cherry on the top!Read moreDate of stay: 
August 2019HelpfulShare</t>
  </si>
  <si>
    <t>traceynadin wrote a review Aug 2019Wiltshire, United Kingdom20 
contributions3 helpful votes</t>
  </si>
  <si>
    <t>Excellent stayI've used this hotel several times before, and it was up to its usual 
standard. It's in a great location - close to tube and rail links, but with 
the option of a pleasant walk to Covent Garden taking no more than half an 
hour. The breakfast is good value, and the staff always helpful and 
friendly.Read moreReview collected in partnership with this hotelDate of 
stay: October 2019HelpfulShare</t>
  </si>
  <si>
    <t>Great location for sights and transport networkWe stayed at this travelodge, which was perfect for our short break. Staff 
were great, keeping our luggage before and after check in was such a great 
help. good value too! would recommend for comfort, clearness and location, 
with a hearty breakfastRead moreDate of stay: August 20191 Helpful 
voteHelpfulShare</t>
  </si>
  <si>
    <t>https://www.tripadvisor.co.uk/Hotel_Review-g186338-d243667-Reviews-or625-Travelodge_London_Kings_Cross_Royal_Scot-London_England.html#REVIEWS</t>
  </si>
  <si>
    <t>Teresa R wrote a review Aug 2019Andover, United Kingdom253 contributions66 
helpful votes</t>
  </si>
  <si>
    <t>Patrickevans27 wrote a review Oct 20192 contributions1 helpful vote</t>
  </si>
  <si>
    <t>Good hotel in great central locationMy disabled husband and I always stay here when we visit London as they 
always look after us and all his needs really well. Clean and comfortable 
rooms. They give us a large ground floor quiet room to accommodate his 
mobility scooter and a shower instead of a bath. Lovely helpful and 
friendly staff especially Yesica who was always happy and welcoming and 
very understanding of my husbands mobility issues. Front of house very 
helpful and they arranged our taxi to and from the Theatre. Good breakfast 
and the Hotel is excellent value (we only paid £85 total inc. 2 breakfasts) 
as it is only 8 minutes walk to London Eye and the buzzy Embankment. We 
shall be back!Read moreDate of stay: August 2019HelpfulShare</t>
  </si>
  <si>
    <t>Good other than cleaner ignoring do not disturb signGreat place to stay, does what it says on the tin. Was staying two nights 
and the first morning the cleaner knocked on the door and asked what time I 
was checking out...despite the do not disturb sign on the door.Read 
moreReview collected in partnership with this hotelDate of stay: October 
2019HelpfulShare</t>
  </si>
  <si>
    <t>https://www.tripadvisor.co.uk/Hotel_Review-g186338-d1812157-Reviews-or475</t>
  </si>
  <si>
    <t>Mark M wrote a review Aug 2019Poole, United Kingdom3 contributions</t>
  </si>
  <si>
    <t>Krake L wrote a review Oct 2019Esbjerg, Denmark17 contributions3 helpful 
votes</t>
  </si>
  <si>
    <t>Trvelodge Waterloo LondonVery good.. rooms clean and comfortable More storage and clothes hooks 
would make all the difference; Need cubby holes for storage of underwear,. 
very convenient location, staff friendly and helpful. Bed comfortable.Read 
moreReview collected in partnership with TravelodgeDate of stay: August 
2019HelpfulShare</t>
  </si>
  <si>
    <t>Basic hotelLocation was fine. But hotel nothing special. Room didn’t have a hairdryer. 
Didn’t have a phone so you could call reception. When we wanted breakfast 
they didn’t take card and couldn’t write it on the room. Really great that 
you then had to walk back up to get money, very unprofessional in my mind. 
Also when we came to check in, that system was not working either. Would 
not recommendRead moreReview collected in partnership with TravelodgeDate 
of stay: October 2019HelpfulShareResponse from TravelodgeUK, Niki from The 
Social Media Team at Travelodge London Kings Cross Royal ScotResponded 14 
Oct 2019Thank you for taking the time to share your experience. We feel 
that we offer all that is needed for a comfortable night’s stay. We do not 
provide extras which other hotels may provide so we can keep our room rates 
low. Although some of our room types do not contain a hairdryer, please 
note that these can always be borrowed from the reception desk free of 
charge. Your feedback has been noted and we thank you once again for 
reviewing our hotel. We do hope you will stay with us in the future.Read 
more</t>
  </si>
  <si>
    <t>littlerichie2001uk wrote a review Aug 201920 contributions13 helpful votes</t>
  </si>
  <si>
    <t>Great stayThis hotel was great, we found this a few years back and now always use it. 
One particular staff member to praise is Kuh, who welcomed us to breakfast 
every morning and worked so hard, and never stopped. She did admin whilst 
still acknowledged every guest as they left; a true asset to the hotel!Read 
moreDate of stay: August 2019HelpfulShare</t>
  </si>
  <si>
    <t>Kathryn C wrote a review Oct 20192 contributions</t>
  </si>
  <si>
    <t>https://www.tripadvisor.co.uk/Hotel_Review-g186338-d1812157-Reviews-or300-Travelodge_London_Waterloo_Hotel-London_England.html#REVIEWS</t>
  </si>
  <si>
    <t>Short StayThe accommodation was warm, clean and comfortable. The staff were very 
welcoming and friendly and quick to respond to requests for help. Extra 
supplies were readily available as was access to ironing boards and 
hairdryer.Read moreReview collected in partnership with this hotelDate of 
stay: October 2019HelpfulShare</t>
  </si>
  <si>
    <t>Candy-Stone47 wrote a review Aug 20191 contribution1 helpful vote</t>
  </si>
  <si>
    <t>https://www.tripadvisor.co.uk/Hotel_Review-g186338-d243667-Reviews-or630-Travelodge_London_Kings_Cross_Royal_Scot-London_England.html#REVIEWS</t>
  </si>
  <si>
    <t>Get locatation, friendly helpful staffMy daughter and I stayed here for one night and had two fabulous days in 
London. The hotel staff were really helpful and looked after our luggage 
from when we arrived until check in and the next day from check out until 
our evening tray. It was really helpful and meant we could enjoy our time 
in London.Read moreReview collected in partnership with TravelodgeDate of 
stay: August 20191 Helpful voteHelpfulShare</t>
  </si>
  <si>
    <t>margaretteparlett wrote a review Oct 20191 contribution</t>
  </si>
  <si>
    <t>Layla wrote a review Aug 20191 contribution</t>
  </si>
  <si>
    <t>London Kings CrossCentral and convenient to the people and places we wanted to visit. Ten 
minutes walk from St Pancras and Kings Cross stations. The area has a wide 
range of cafes and restaurants. The hotel was comfortable and the staff 
professional and friendly. It was a good overnight stop for us although the 
rate on that night was quite high compared to other nights. If you are 
flexible with your timings and can choose the cheapest rate it would be an 
excellent London base.Read moreReview collected in partnership with 
TravelodgeDate of stay: October 2019HelpfulShare</t>
  </si>
  <si>
    <t>Sm73 wrote a review Oct 20191 contribution</t>
  </si>
  <si>
    <t>Brilliant stayThe hotel was located 15min away on foot from major attractions and it was 
really easy to not only get to palaces but get a taxi when needed. We had 
breakfast included in our stay which was always very good. One morning my 
little sister got sick during breakfast and the staff there were very 
helpful. Even after the incident they went out of their way to ask if she 
is okay. One member of staff in particular stood out, Kuh. She asked my 
sister on several occasions how she’s feeling and always welcomed us with a 
smile. When my sister was sick she reassured us everything was okay. We 
don’t usually leave reviews but it was because of this member of staff that 
we are leaving this one, she really deserves to be recognised for her 
amazing work. Thank you KuhRead moreDate of stay: August 2019HelpfulShare</t>
  </si>
  <si>
    <t>Rosemary C wrote a review Aug 2019Cambridge, United Kingdom117 
contributions29 helpful votes</t>
  </si>
  <si>
    <t>What a great stayCame here for one night for a business training, convenient location, room 
was fine and the breakfast was pretty decent. I have to say that I found 
the attitude of the girls on the reception in the evening terrible, no 
interest in anything except laughing and joking amongst themselves. Thank 
god for the lady who checked me out in the morning. Haleema was really 
friendly and helpful in ensuring that I was 100% satisfied with my stay 
before leaving. Just for that I would stay here again. Also the breakfast 
team were very friendly and attentive but I did not get any names 
unfortunately.Read moreDate of stay: October 2019HelpfulShare</t>
  </si>
  <si>
    <t>View of the Shard!Such a good location for the Old Vic Theatre. Good value - good breakfast - 
all the necessities and very nice friendly staff! Only annoyance - the 
windows don't open wide enough and the air con was not powerful. However a 
fan was provided, so it was fine.Read moreDate of stay: August 
2019HelpfulShare</t>
  </si>
  <si>
    <t>Stayinkingscross wrote a review Oct 2019London, United Kingdom17 
contributions</t>
  </si>
  <si>
    <t>Vincienne F wrote a review Aug 2019Malta10 contributions1 helpful vote</t>
  </si>
  <si>
    <t>Pleasant stayPerfect location, central with nearby train station, yet not too busy area. 
Good breakfast, but not exceptional for a sweet tooth. Limited WiFi - only 
2 devices per room. Comfy bed but the extra pillows were not clean.Read 
moreReview collected in partnership with TravelodgeDate of stay: August 
2019HelpfulShare</t>
  </si>
  <si>
    <t>A safe quiet locationHotel is a little trot from St Pancras and the recepton is tidy and 
efficient. Drinks at the bar are a little pricey but we met up and had an 
enjoyable catch up before heading off fo rthe football at Arsenal. After 
another struggle against lower level opposition we decided to leave Arsenal 
early and head back tot he hotel wehere we had a night cap before a 
peaceful sleep. Next visito to london in a few weeks - might try another 
location but no complaint with Travelodge -Read moreDate of stay: September 
2019HelpfulShare</t>
  </si>
  <si>
    <t>Chizzamerica wrote a review Oct 2019London, United Kingdom506 
contributions124 helpful votes</t>
  </si>
  <si>
    <t>https://www.tripadvisor.co.uk/Hotel_Review-g186338-d1812157-Reviews-or305-Travelodge_London_Waterloo_Hotel-London_England.html#REVIEWS</t>
  </si>
  <si>
    <t>Busy central London hotelNice helpful people on the front desk, considering how busy this hotel is. 
The bar staff were pleasant enough, and reasonable drinks selection. The 
food is decidedly average, over-priced and we had to wait a longggg time 
for it to arrive - even though only 2-3 tables were waiting for food.Read 
moreDate of stay: October 2019HelpfulShare</t>
  </si>
  <si>
    <t>Steph wrote a review Aug 20195 contributions</t>
  </si>
  <si>
    <t>JackieW66Hastings wrote a review Oct 2019Hastings10 contributions2 helpful 
votes</t>
  </si>
  <si>
    <t>Good serviceVisited during August everyone was very helpful and polite. Kuh served us 
at breakfast and was very pleasant and helpful. Breakfast was very nice 
constantly filled up and a good selection. Check out was very quick and 
easy, we were offered a taxi by Anna and hilina who were very pleasant.Read 
moreDate of stay: August 2019HelpfulShare</t>
  </si>
  <si>
    <t>2 Day TripGood location near Kings Cross station, friendly staff, food and drinks 
available all day. The room was large enough, comfortable and quiet being 
on the inside, however the bathroom looked tired. The restaurant menu needs 
to be kept up to date!Read moreReview collected in partnership with this 
hotelDate of stay: October 2019HelpfulShare</t>
  </si>
  <si>
    <t>traveller2g0 wrote a review Aug 2019Chester, United Kingdom135 
contributions32 helpful votes</t>
  </si>
  <si>
    <t>https://www.tripadvisor.co.uk/Hotel_Review-g186338-d243667-Reviews-or635-Travelodge_London_Kings_Cross_Royal_Scot-London_England.html#REVIEWS</t>
  </si>
  <si>
    <t>Excellent stayI stayed for 2 x nights (Sunday + Monday) with my daughter and grandson, 
and we had a lovely stay. We were able to check-in half hour early and had 
a family room on the 5th floor. We felt safe as you have to use your 
keycard to access most areas, including the lift. The room was clean and 
comfortable with aircon if required. Included in the price was breakfast 
which was plentiful, and wifi. I want to say a special thank you to Kuh, 
who went out of her way to make us feel welcome during evening meal and 
breakfast. We had an evening meal which was really lovely and very 
reasonably priced - 2 x main, 1 x kids meal + 2 x desserts + soft drinks, 
which came to under £40. I will definitely return.Read moreDate of stay: 
August 2019HelpfulShare</t>
  </si>
  <si>
    <t>luc4canale wrote a review Oct 2019Bedford, United Kingdom12 contributions2 
helpful votes</t>
  </si>
  <si>
    <t>Holly P wrote a review Aug 20192 contributions</t>
  </si>
  <si>
    <t>Always feel welcomed!Another nice stay here. Staff are always pleasant. Special thanks to Marta 
and good luck in her new supervisory role within the restaurant. Also want 
to praise Jade in the restaurant for her excellent customer service and 
attentiveness. Thank you so much!Read moreReview collected in partnership 
with this hotelDate of stay: October 2019HelpfulShare</t>
  </si>
  <si>
    <t>ExcellentExcellent service from staff both on reception and in restaurant!! Lindsey 
and Debra especially were so helpful. Room was spotless and well equipped. 
Only a short walk fro the Waterloo station and underground lines, with 
plenty of places to grab food. 100% would come back.Read moreDate of stay: 
August 2019HelpfulShare</t>
  </si>
  <si>
    <t>coombinator1997 wrote a review Oct 2019Nottingham, United Kingdom12 
contributions2 helpful votes</t>
  </si>
  <si>
    <t>Mohammed R wrote a review Aug 20193 contributions</t>
  </si>
  <si>
    <t>Couple visit 2 nightsGood and clean hotel. Staff very good too. Nice selection of food for 
breakfast too. Would highly recommend. A little pricey for me but expected 
for a city hotel. I would visit again most definitely. Thanks.Read moreDate 
of stay: December 2018HelpfulShare</t>
  </si>
  <si>
    <t>DebnMartMidGlamorgan wrote a review Aug 2019Mid Glamorgan70 contributions49 
helpful votes</t>
  </si>
  <si>
    <t>Not bad value for money,This hotel appealed to me because of how cheap it was in comparison to 
other similar hotels in central London. Hotel is a short walk from Kings 
Cross station and many restaurants nearby too. Reception was clean and 
nicely presented, the staff on reception were very friendly too. The 
bedroom was small but very comfortable and I had a good nights sleep, 
however the bathroom was quite dated and the shower was not very powerful 
at all (delivered more of a mist than stream of water!). Not bad for one 
night at all, but any more and Id be taking my shampoo to the rain outside! 
��Read moreReview collected in partnership with TravelodgeDate of stay: 
October 2019HelpfulShareResponse from TravelodgeUK, James from the Social 
Media Team at Travelodge London Kings Cross Royal ScotResponded 13 Oct 
2019Thank you for reviewing our Travelodge Kings Cross Royal Scot Hotel. 
We're happy to hear you were pleased with the rate of the room during this 
stay with us as well as with the cleanliness and service from the hotel's 
team but we are very sorry to hear you felt the room was small and the 
bathroom had some wear and tear. Please rest assured the hotel managers 
check Tripadvisor reviews of their hotels so your comments will be reviewed 
by the hotel's team. Thank you again for leaving this review and we do hope 
that you choose to stay with us again in the future.Read more</t>
  </si>
  <si>
    <t>Sandra H wrote a review Oct 20194 contributions1 helpful vote</t>
  </si>
  <si>
    <t>Excellent locationWe stayed here 4th August as we were seeing the final show of ‘Bare’ the 
musical at The Vaults, which was excellent. The theatre was about a 10 
minute walk. Waterloo station is about a 5 minute walk, so staying here is 
perfect for getting to any part of London. The staff at this hotel are all 
very cheery and helpful. I have no idea why someone would comment 
otherwise. The room was great, with air conditioning, and a window that 
opens. The bathroom was tiny but the shower was great, really powerful. 
Breakfast was excellent. Started at 6 so great for those wanting an early 
start. There’s definitely plenty to fill up on, both hot and cold. And they 
provide take out cups, if you need that extra cuppa for your walk to the 
train/car. This hotel has a bar and serves drink and food…Read moreDate of 
stay: August 2019HelpfulShare</t>
  </si>
  <si>
    <t>Not good value for moneySmall cramped 'cupboard' of a room with double bed jammed up against a 
wall, no bedside tables, poor lighting and unhelpful staff on reception. 
Not what I expected for my £187. Get your breakfast elsewhere.Read 
moreReview collected in partnership with TravelodgeDate of stay: September 
20191 Helpful voteHelpfulShareResponse from TravelodgeUK, James from the 
Social Media Team at Travelodge London Kings Cross Royal ScotResponded 10 
Oct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</si>
  <si>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joH4785ZV wrote a review Oct 20191 contribution</t>
  </si>
  <si>
    <t>https://www.tripadvisor.co.uk/Hotel_Review-g186338-d1812157-Reviews-or310-Travelodge_London_Waterloo_Hotel-London_England.html#REVIEWS</t>
  </si>
  <si>
    <t>Saija wrote a review Aug 2019Seinajoki, Finland1 contribution</t>
  </si>
  <si>
    <t>Not going backRoom was old, not very well maintained, with mould on the carpets outside 
the bathroom and on the shower curtain, and over priced. Breakfast was 
chaotic, with no cups, knives, juice, clean tables or staffRead moreReview 
collected in partnership with TravelodgeDate of stay: October 
2019HelpfulShareResponse from TravelodgeUK, James from the Social Media 
Team at Travelodge London Kings Cross Royal ScotResponded 10 Oct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</si>
  <si>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Excellent stay, friendly staffStayed in this hotel for four nights with daughter. Rooms are comfortable 
and clean. Staff is lovely and helpful. Hotel is good location and quite. 
We had great sleeps. Breakfast was also good, had it every day.Read 
moreDate of stay: August 2019HelpfulShare</t>
  </si>
  <si>
    <t>https://www.tripadvisor.co.uk/Hotel_Review-g186338-d243667-Reviews-or640-Travelodge_London_Kings_Cross_Royal_Scot-London_England.html#REVIEWS</t>
  </si>
  <si>
    <t>john c wrote a review Oct 2019Newcastle upon Tyne, United Kingdom3 
contributions</t>
  </si>
  <si>
    <t>terri788 wrote a review Aug 20191 contribution</t>
  </si>
  <si>
    <t>Great value, good amenitiesA decent place to stay, handy for NT and the tube. But if you book a twin 
room you have to know one another VERY well, or risk setting off an alarm 
if you move the beds apart. Good food, much improved on previous stays at 
the same hotel. Friendly staff, good value for money.Read moreReview 
collected in partnership with TravelodgeDate of stay: August 
2019HelpfulShare</t>
  </si>
  <si>
    <t>All was not wellI have stayed before and the accommodation is,as previously,excellent.The 
room was clean,the bed fine and a good location. I usually don’t complain 
but after deciding to have a meal at the hotel, because it would save time 
as we were going to a theatre performance,things went wrong. I ordered 
Steak and Ale pie and sat down and waited and waited.After almost 20 
minutes a member of staff informed me there were no pies. I changed my 
ordered something else and waited.After another 20 minutes my sister,who 
was treating me on my birthday,complained and cancelled the dessert as it 
was too late to eat it .As she did the meal finally arrived.To make matters 
worse ,a young woman arrived 5 minutes prior to our meal arriving and then 
had her meal delivered 5 minutes after ours arrived.Read moreDate of stay: 
October 2019HelpfulShareResponse from TravelodgeUK, James from the Social 
Media Team at Travelodge London Kings Cross Royal ScotResponded 10 Oct 
2019Thank you for reviewing our Travelodge London Kings Cross Royal Scot 
Hotel. We're happy to hear you have enjoyed your stays in this hotel before 
but we are very sorry to hear of the issues experienced with bar/cafe 
service. Please rest assured the hotel managers check Tripadvisor reviews 
of their hotels so your comments will be reviewed by the hotel's team. 
Thank you again for leaving this review and we do hope that you choose to 
stay with us again in the future.Read more</t>
  </si>
  <si>
    <t>mikey20082019 wrote a review Aug 2019Bristol, United Kingdom1 contribution</t>
  </si>
  <si>
    <t>chutney453 wrote a review Oct 2019Kent, United Kingdom33 contributions7 
helpful votes</t>
  </si>
  <si>
    <t>Great valueI always stay at travelodge. Good value, clean and I know what to expect. 
Air con and shower worked well. Room was comfortable. Bed linen clean. Good 
price and location. I think the staff could be more cheerful though.Read 
moreReview collected in partnership with TravelodgeDate of stay: August 
2019HelpfulShare</t>
  </si>
  <si>
    <t>852lesleyc wrote a review Aug 2019Devon, United Kingdom4 contributions3 
helpful votes</t>
  </si>
  <si>
    <t>Worst HotelHad the complete displeasure of staying in this hotel on a recent business 
trip. It started with check in, dis organised un polite staff, who appeared 
not bothered and quite frankly not engaging with there customers. Got my 
room key then off to my room I trot, a third floor single. Only to find on 
arrival, having struggled with my luggage to the room door, the key card 
wasn’t working. It appeared that the card had been activated. Anyway after 
getting a ‘new’ card, I finally get into the room. The decor was of a poor 
finish and look tired. The bath room was compact and was ok. The extractor 
fan was broken so showering was fun, even with the door open! The rear of 
the door was lacking lustre, see pics. Only one towel (hand). The toilet 
cistern flush lever was working…Read moreDate of stay: October 
2019HelpfulShareResponse from TravelodgeUK, James from the Social Media 
Team at Travelodge London Kings Cross Royal ScotResponded 10 Oct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</si>
  <si>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Waterloo TravelodgeThis is a great place to stay. It is central, being only 500 yrds from 
Waterloo station but the rooms are cheaper than many other areas of London. 
The staff are always very pleasant and willing to help. The breakfast is of 
good quality and a large selection - they provide soy milk and can get 
lemon for tea if asked.Read moreReview collected in partnership with 
TravelodgeDate of stay: August 2019HelpfulShare</t>
  </si>
  <si>
    <t>mousepractice wrote a review Oct 2019Swansea, United Kingdom244 
contributions35 helpful votes</t>
  </si>
  <si>
    <t>https://www.tripadvisor.co.uk/Hotel_Review-g186338-d1812157-Reviews-or315-Travelodge_London_Waterloo_Hotel-London_England.html#REVIEWS</t>
  </si>
  <si>
    <t>Partially Refurbed Budget HotelThis hotel has had it's bar and restaurant recently refurbed, it looks 
pretty good now and the staff are friendly and helpful. Apparently some of 
the rooms have been updated too, ours had new carpet and curtains and 
looked like it had been recently painted. Some of the furniture could have 
done with changing though, dark wood and well past it's best. Bathroom was 
very small but clean, plenty of towels and shower soap dispenser. Tea and 
coffee, kettle etc in the room. No hair dryers, but they are available from 
reception on request. It's very near to the St Pancras and Kings Cross 
stations, and also for the tube and plenty of bus stops nearby. Lots of 
eateries and little supermarket-type shops too. We paid just over £50 for a 
twin room on a Monday night at comparatively short…Read moreDate of stay: 
October 2019HelpfulShare</t>
  </si>
  <si>
    <t>OnAir812042 wrote a review Aug 20191 contribution</t>
  </si>
  <si>
    <t>Travel Lodge WaterlooI visited London for the first time with my 5 year old grandson and the 
location was perfect. I was 20 minutes walk away from the London eye and 
access to all other facilities was fantastic. The Hotel was clean and 
comfortable and fit for purpose. I would definitely recommend this hotel on 
the basis of cost, comfort and location.Read moreDate of stay: August 
2019HelpfulShare</t>
  </si>
  <si>
    <t>mary m wrote a review Aug 2019Belfast City Region, United Kingdom4 
contributions</t>
  </si>
  <si>
    <t>alicjaeverson2 wrote a review Oct 20191 contribution</t>
  </si>
  <si>
    <t>Comfort &amp; Location 10/10Very comfortable rooms beds were very comfortable and breakfaat was amazing 
staff excelled and within walking distance to all attractions will 
definitely be back in this hotel treated like kings and queensRead 
moreReview collected in partnership with TravelodgeDate of stay: July 
2019HelpfulShare</t>
  </si>
  <si>
    <t>go for premier inn in York waysuch a terrible hotel it's beyond joke. smells of drains and dust. shower 
is the worst you can imagine, weak pressure and hideous shower heads. the 
noise from other guests and staff travels through paper thin walls.Read 
moreReview collected in partnership with TravelodgeDate of stay: October 
2019HelpfulShareResponse from TravelodgeUK, Zack from The Social Media Team 
at Travelodge London Kings Cross Royal ScotResponded 10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</si>
  <si>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debbiereyn0lds wrote a review Oct 2019Manchester, United Kingdom1 
contribution</t>
  </si>
  <si>
    <t>Spursfanathome wrote a review Aug 201910 contributions8 helpful votes</t>
  </si>
  <si>
    <t>Dirty!!We stayed here for one night and I’m so glad it was only one. The road 
leading to the hotel is dark and full of drug paraphernalia and empty beer 
cans. The room had no air con and was dirty. The bathroom/shower was quite 
grim. The only good things are the reception area is clean and the 
breakfast was ok. I would definitely pay more and stay elsewhere.Read 
moreDate of stay: July 2019HelpfulShare</t>
  </si>
  <si>
    <t>You get what you pay for.Stayed on business, the room was okay. The bathroom needed updating. The 
base of the bath was grey, after I cleaned it, the shower was fabulous. Bed 
very comfortable and clean, the noise of other customers caused disrupted 
sleep - this is not the hotels fault. Breakfast was chaotic, waited for 15 
minutes for clean glasses to arrive. Staff in the breakfast room appeared 
stressed and not supported, resulting in abrupt responses to requests.Read 
moreReview collected in partnership with this hotelDate of stay: October 
2019HelpfulShare</t>
  </si>
  <si>
    <t>https://www.tripadvisor.co.uk/Hotel_Review-g186338-d1812157-Reviews-or320-Travelodge_London_Waterloo_Hotel-London_England.html#REVIEWS</t>
  </si>
  <si>
    <t>https://www.tripadvisor.co.uk/Hotel_Review-g186338-d243667-Reviews-or645-Travelodge_London_Kings_Cross_Royal_Scot-London_England.html#REVIEWS</t>
  </si>
  <si>
    <t>Alistair E wrote a review Aug 2019Ipswich, United Kingdom68 contributions34 
helpful votes</t>
  </si>
  <si>
    <t>https://www.tripadvisor.co.uk/Hotel_Review-g186338-d1812157-Reviews-or480</t>
  </si>
  <si>
    <t>Friendly, Efficient StaffWe booked two rooms here, a Super Room for our daughter and a Standard Room 
for us; on arrival a very friendly and helpful Receptionist upgraded us! 
The rooms were nicely equipped but our bathroom was very small and did have 
a tiny sink which was surprising for a superior room. The a/c did not work 
in either room and although we were offered the chance to swap rooms we 
chose not to as we were only there for a couple of nights and we were 
provided with fans and complimentary drinks which was a welcome touch. The 
breakfast was very good and again the staff were excellent, even providing 
us with a bag and boxes to take breakfast up to our daughter who was 
running late. I can't praise the attitude of the staff enough at this 
venue. We had booked because it was close to where we were…Read moreDate of 
stay: July 2019HelpfulShare</t>
  </si>
  <si>
    <t>gazelle8467@gmail.com wrote a review Oct 20193 contributions2 helpful votes</t>
  </si>
  <si>
    <t>Shirley F wrote a review Jul 2019Fife, United Kingdom34 contributions14 
helpful votes</t>
  </si>
  <si>
    <t>3 day visit made enjoyableA big thank you to the staff especially Iren in the catering room and the 
male Manager who stood his ground and got rid of some rubbish outside of 
the hotel steps from reception. These outstanding staff members showed 
their ethic to hard work.The hotel is very busy but the staff excel in 
friendliness and professionalism. The location is ideal. The rooms are 
clean and serviceable to sleep but not luxurious however it is not a hotel 
to remain in all day, as the sites of London are waiting near by. Good 
effort and great location.Read moreDate of stay: October 2019HelpfulShare</t>
  </si>
  <si>
    <t>Customer service at its best! ❤️We arrived early and were able to bag drop and have breakfast. Staff were 
helpful, accomodating and friendly. Breakfast was amazing! Koh was 
especially kind and helpful. Room was roomy for 3, Aircon a bonus. Short 
walk to Waterloo station. Reasonable walk to attractions such as London 
eye, the Globe and Tate Modern. Would definitely return if I was in London 
again. XRead moreDate of stay: July 2019HelpfulShare</t>
  </si>
  <si>
    <t>Blair wrote a review Jul 2019Brighton, United Kingdom4 contributions</t>
  </si>
  <si>
    <t>Lovely!!!!Amazing location and staff! There is a good choice of food, the check in 
very efficient. A big thanks to the staff that helped us and gave us all 
the info we wanted. Will be coming back for sure. I would definitely 
recommend itRead moreDate of stay: July 2019HelpfulShare</t>
  </si>
  <si>
    <t>Laura T wrote a review Oct 2019Blyth, United Kingdom6 contributions3 
helpful votes</t>
  </si>
  <si>
    <t>Rachel M wrote a review Jul 20192 contributions</t>
  </si>
  <si>
    <t>Not the best but adequateStay in trace lodge quite frequently with work and this is not the best. 
The hallway had the worst smell. Like someone had died and they tried to 
cover the smell with shake’n’vac. The rooms were a good size and didn’t 
have this smell. Bathroom pretty small but all clean. Had food in the bar 
which was ok for the price of £12.50 for 2 courses. Walking distance of 
kings cross station.Read moreDate of stay: October 2019HelpfulShare</t>
  </si>
  <si>
    <t>Rachel MI booked my London Tour holiday through my trusted travel agent Roray from 
DialAFlight. Thank you so much Roray for the perfect location. Waterloo 
Travelodge is a beautiful place to lodge the breakfast was perfect every 
morning we had the cheerful Kuh to make sure we were happy. The dinner did 
not meet my standards having ordered the half chicken on two different 
days,it appeared burnt and very hard to chew. On both occasions we had 
Lyndsey and Jennifer they need to listen to customers.Read moreDate of 
stay: July 2019HelpfulShare</t>
  </si>
  <si>
    <t>kenardern wrote a review Jul 20192 contributions</t>
  </si>
  <si>
    <t>https://www.tripadvisor.co.uk/Hotel_Review-g186338-d243667-Reviews-or650-Travelodge_London_Kings_Cross_Royal_Scot-London_England.html#REVIEWS</t>
  </si>
  <si>
    <t>waterloo travelodgeexcellent place to stay. friendly efficient staff. room very clean. great 
location. we just stayed the one night. got there early but staff said 
early checkin was fine. only a short walk to waterloo station. sound 
proofing was good.Read moreReview collected in partnership with 
TravelodgeDate of stay: July 2019HelpfulShare</t>
  </si>
  <si>
    <t>Mr O A wrote a review Oct 20191 contribution</t>
  </si>
  <si>
    <t>Great staffRooms and meals are decent enough considering the price of a stay at this 
Travelodge located in central London. Nonetheless, the stand out feature of 
my regular stays at this Travelodge is the courtesy, helpfulness and 
friendly staff at reception and cafe. Special mention goes to Bella and 
João who always make me feel very welcome whenever I come to stay. My only 
gripe is that free WiFi provision is not generous enough, especially if you 
are just staying one nightRead moreDate of stay: October 2019HelpfulShare</t>
  </si>
  <si>
    <t>https://www.tripadvisor.co.uk/Hotel_Review-g186338-d1812157-Reviews-or325-Travelodge_London_Waterloo_Hotel-London_England.html#REVIEWS</t>
  </si>
  <si>
    <t>sll3wn41l3 wrote a review Jul 2019Somerset, United Kingdom1 contribution</t>
  </si>
  <si>
    <t>Lane93 wrote a review Oct 2019Warwickshire, United Kingdom5 contributions3 
helpful votes</t>
  </si>
  <si>
    <t>Good, basic hotelThis hotel was an ideal base for our trip to London. Clean room/bathroom. 
Friendly staff. Very close to kings cross station/underground. The only 
negative was the lack of cutlery/mugs at breakfast as it was so busy.Read 
moreReview collected in partnership with this hotelDate of stay: October 
2019HelpfulShare</t>
  </si>
  <si>
    <t>SightseeingFantastic quiet hotel a 15 minute walk from the London Eye. Staff were 
friendly and helpful. Our room was very spacious and clean and a 5 minute 
walk from Waterloo station. We will stay here again when we next visit 
London.Read moreReview collected in partnership with TravelodgeDate of 
stay: July 2019HelpfulShare</t>
  </si>
  <si>
    <t>Pixel2015 wrote a review Jul 2019Stockport, United Kingdom2 contributions</t>
  </si>
  <si>
    <t>Vikki C wrote a review Oct 2019Tamworth, United Kingdom37 contributions7 
helpful votes</t>
  </si>
  <si>
    <t>Brilliant venue for theatre goersWe didn't want a load of hassle after visiting the Old Vic for a show. So, 
knowing that Travelodges tend to have reasonable standards, we booked the 
one down the road. Was so impressed with its friendliness and cleanliness. 
Very comfortable. Plus there were things that were far better thought 
through than in far more expensive hotels. Such as a powerful hairdryer 
connected next door to a large mirror, which in turn was by the window 
giving you natural light for make-up. Great cafe bar downstairs serving 
food at all hours, handy for when we returned late. Couldn't fault the 
breakfast. Staff were extremely nice too.Read moreReview collected in 
partnership with TravelodgeDate of stay: July 2019HelpfulShare</t>
  </si>
  <si>
    <t>Bella was amazingWe were so impressed with the receptionist, it was busy, we were nearly 
queueing out of the door but she was still happy to help us, definitely 
stay here again. Even if the cleaners started rattling cups in the corridor 
to wake us close to check out timeRead moreDate of stay: October 
2019HelpfulShare</t>
  </si>
  <si>
    <t>janet foss wrote a review Jul 20191 contribution</t>
  </si>
  <si>
    <t>GRAHAME M wrote a review Oct 2019Sunderland, United Kingdom55 
contributions20 helpful votes</t>
  </si>
  <si>
    <t>Very clean and friendly staff nothing was to much trouble. A massive thank 
you to Debora.We were able to leave our luggage before our check in time . Thank you 
Debora nothing was to much trouble. very clean and helpful travelodge and 
staff. Our room was lovely and comfortable with air conditioning a god send 
in this hot weather.Read moreDate of stay: July 2019HelpfulShare</t>
  </si>
  <si>
    <t>AS EXPECTEDWe have previously stayed here several times and knew what to expect. It 
enjoys a quite good location and easy to reach by bus (No. 63 to "Honor 
Oak") just 2 stops ('Acton Street' stop) from the front of Kings Cross 
station. Accommodation is generally clean and comfortable, although the 
'single' beds are a bit narrow. The staff are usually friendly and 
efficient.Read moreReview collected in partnership with this hotelDate of 
stay: October 2019HelpfulShare</t>
  </si>
  <si>
    <t>https://www.tripadvisor.co.uk/Hotel_Review-g186338-d243667-Reviews-or655-Travelodge_London_Kings_Cross_Royal_Scot-London_England.html#REVIEWS</t>
  </si>
  <si>
    <t>https://www.tripadvisor.co.uk/Hotel_Review-g186338-d1812157-Reviews-or330-Travelodge_London_Waterloo_Hotel-London_England.html#REVIEWS</t>
  </si>
  <si>
    <t>geofffretwell wrote a review Oct 2019Belper, United Kingdom1 contribution</t>
  </si>
  <si>
    <t>The place to stay.This was our second stay at Travelodge London Kings Cross Royal Scot and as 
the first visit it was adequate for our needs. Would have no hesitation to 
book again. It is central to where we need to be when we visit London. The 
room had everything we needed and the bed was very comfortable. We only ate 
breakfast there and the food was great.Read moreReview collected in 
partnership with this hotelDate of stay: October 2019HelpfulShare</t>
  </si>
  <si>
    <t>BabsInsights wrote a review Jul 2019Isle of Wight, United Kingdom311 
contributions41 helpful votes</t>
  </si>
  <si>
    <t>Kath H wrote a review Oct 20194 contributions2 helpful votes</t>
  </si>
  <si>
    <t>Nice and centralStayed in this Travelodge a few times now as it in close proximity to Kings 
Cross. It has a bag store so we can leave our bags and go exploring on 
check out day and not have to carry them around with us which is a bonus. 
Nice room and surprisingly quite for being on the first floor.Read 
moreReview collected in partnership with this hotelDate of stay: October 
2019HelpfulShare</t>
  </si>
  <si>
    <t>AverageClean, accommodating staff, well presented- typical of the newer TL’s. 
disappointments include no soap in the sink no dispenser, no reminder that 
they no longer leave hairdryers in the rooms, narrow single beds pushed 
together but made up separately so little room to move on a hot night where 
the aircon won’t go below 22. No gluten free bread available (how hard can 
it be to keep some in a freezer?) and a very slow draining shower so 
paddled this morning around the wet room. Hey ho, I suppose that’s London’s 
middle market for you.Read moreDate of stay: July 2019HelpfulShareResponse 
from TravelodgeUK, Ben from the Social Media Team at Travelodge London 
Waterloo HotelResponded 24 Jul 2019Thank you for taking the time to write a 
review about our London Waterloo hotel. We're pleased to hear that you 
found the team to be helpful and well presented however we are sorry to 
learn of your disappointment with the room and gluten free breakfast 
options. It’s really important to us that our hotel teams provide a 
fantastic service to our guests and remain professional at all times so we 
are so pleased to learn that this was delivered. We appreciate all the 
feedback we receive and our Hotel Managers regularly review their 
TripAdvisor reviews in order to fix any issues raised and pass on feedback 
to their team. Thank you once again and we do hope you will stay with us in 
the future.Read more</t>
  </si>
  <si>
    <t>KathleenC986 wrote a review Oct 2019Dundee, United Kingdom16 contributions3 
helpful votes</t>
  </si>
  <si>
    <t>Jill B wrote a review Jul 2019Cheltenham, United Kingdom2 contributions</t>
  </si>
  <si>
    <t>London stayHandy for Kings Cross and exploring London. Didn’t spend much time in hotel 
and didn’t eat or drink there so can’t comment on that. Presume used to be 
twin beds in room as had to get up to switch off bedside lights! Also 
missed having a bedside cabinet or shelf to put phone and glassesRead 
moreReview collected in partnership with this hotelDate of stay: October 
2019HelpfulShare</t>
  </si>
  <si>
    <t>BusinessGood overall stay - staff very helpful - found Barbora in the dining area 
particularly helpful. It is conveniently situated and the breakfast is 
substantial. The evening specials are also good value. Close walking 
distance to theatre and restaurants as well as stations and bus routes and 
the Tube.Read moreDate of stay: May 2019HelpfulShare</t>
  </si>
  <si>
    <t>https://www.tripadvisor.co.uk/Hotel_Review-g186338-d243667-Reviews-or660-Travelodge_London_Kings_Cross_Royal_Scot-London_England.html#REVIEWS</t>
  </si>
  <si>
    <t>nevsha wrote a review Jul 2019Hants, Uk59 contributions25 helpful votes</t>
  </si>
  <si>
    <t>Clean and friendly/helpful staffWelcoming reception staff, very friendly and efficient. Room was very clean 
as was shower area. My only negative was there was no mirror near 
electrical socket for drying/styling hair. We have stayed here previously 
and would definitely stay again.Read moreReview collected in partnership 
with TravelodgeDate of stay: July 2019HelpfulShare</t>
  </si>
  <si>
    <t>ClaphamSud2017 wrote a review Oct 2019London, United Kingdom8 
contributions1 helpful vote</t>
  </si>
  <si>
    <t>https://www.tripadvisor.co.uk/Hotel_Review-g186338-d1812157-Reviews-or335-Travelodge_London_Waterloo_Hotel-London_England.html#REVIEWS</t>
  </si>
  <si>
    <t>Good location, basic hotel in need of renovationThis hotel is ideally suited as it is in walking distance of St.Pancras and 
you are getting on an early Eurostar train! The foyer is smart and modern 
but the corridors, are long, tired looking and characterless. The bedding 
was fine but the bathroom tiny with a worrying leak from the ceiling light. 
Hairdryers have to be collected from Reception and when I asked for one, 
they had run out! Staff were friendly. For an overnight stay, it can't be 
beaten I think on price or convenience.Read moreReview collected in 
partnership with this hotelDate of stay: September 2019HelpfulShare</t>
  </si>
  <si>
    <t>Sightsee33668182807 wrote a review Jul 20191 contribution</t>
  </si>
  <si>
    <t>Piawah wrote a review Oct 2019Nyköping, Sweden7 contributions1 helpful vote</t>
  </si>
  <si>
    <t>Waterloo Central TravelodgeI took a party of 12 friends to London for the weekend staying Friday until 
Sunday, from check in everything went so well with a very pleasant young 
lady on reception who explained everything in detail. The rooms were a 
little small but indeed very clean and tidy and the condition of this 
property first class, we particularly liked the ambience of the place which 
is very ideally placed for all London attractions and very near to Waterloo 
station. all the staff were well drilled and very helpful and the service 
was great, breakfast very good and well priced especially for London. 
Everyone of our party complimented this hotel and when in London next we 
will make this place our destination.Read moreReview collected in 
partnership with TravelodgeDate of stay: July 2019HelpfulShare</t>
  </si>
  <si>
    <t>OK stayNice room after changing from ground floor to business floor. Very noisy on 
ground floor. I miss having a security latch in my room - that would make 
me feel even more secure staying on my own. Had real problems with the 
wi-fi and had help several times from the provider.Read moreReview 
collected in partnership with this hotelDate of stay: October 
2019HelpfulShare</t>
  </si>
  <si>
    <t>abigailheffer wrote a review Jul 20191 contribution</t>
  </si>
  <si>
    <t>151leesab wrote a review Oct 2019Ramsbottom2 contributions</t>
  </si>
  <si>
    <t>Brilliant hotelGreat value for money and good location for everything.. will definitely be 
booking back here.. the room was clean and tidy the beds were comfier then 
expected... the breakfast was good aswel the staff are very helpful with 
everything we needed.Read moreReview collected in partnership with 
TravelodgeDate of stay: July 2019HelpfulShare</t>
  </si>
  <si>
    <t>Good value for money accommodationThe hotel was about 7 mins walk from Kings Cross St Pancreas Station. The 
staff were welcoming and friendly. Security was great. The room was basic 
with the bathroom needing an upgrade. The room was extremely hot with no 
heating on, we asked for a fan and got one within 10 mins which made the 
stay bearable. The breakfast was great with alot of choice but the cutlery 
ran out very fast, I ended up cutting my food with the end of a spoon. The 
great thing was they stored your luggage on the last day for free so you 
could go into London without dragging your suitcase.Read moreReview 
collected in partnership with TravelodgeDate of stay: September 
2019HelpfulShare</t>
  </si>
  <si>
    <t>dermotcole wrote a review Jul 2019scotland20 contributions15 helpful votes</t>
  </si>
  <si>
    <t>neb1810 wrote a review Oct 2019Lincoln, United Kingdom1 contribution</t>
  </si>
  <si>
    <t>PerfectQuick one nighter in London, last Saturday. Good location a short walk from 
Waterloo, and a very clean, modern and quiet hotel for a pretty reasonable 
price. Even though my room faced Waterloo Road, there was little street 
noise. Bar and cafe on site which looked modern and well stocked. Great 
value choice for central London.Read moreDate of stay: July 2019HelpfulShare</t>
  </si>
  <si>
    <t>Great locationThe Travelodge was in a great location, only about a 7 minute walk from 
Kings Cross Station. Lots of places to eat and drink locallynlate I got the 
evening. Central location for all tubes. Located in a quiet area.Read 
moreReview collected in partnership with this hotelDate of stay: October 
2019HelpfulShare</t>
  </si>
  <si>
    <t>https://www.tripadvisor.co.uk/Hotel_Review-g186338-d243667-Reviews-or665-Travelodge_London_Kings_Cross_Royal_Scot-London_England.html#REVIEWS</t>
  </si>
  <si>
    <t>Fearless769126 wrote a review Oct 20191 contribution</t>
  </si>
  <si>
    <t>Solid but unspectacularNothing fancy, but friendly staff and good location. The breakfast was not 
as diverse as in similar chains and there was initially no third bed in the 
room my wife and daughter were staying in. But it was quickly sorted.Read 
moreReview collected in partnership with this hotelDate of stay: October 
2019HelpfulShare</t>
  </si>
  <si>
    <t>https://www.tripadvisor.co.uk/Hotel_Review-g186338-d1812157-Reviews-or340-Travelodge_London_Waterloo_Hotel-London_England.html#REVIEWS</t>
  </si>
  <si>
    <t>Stumac99 wrote a review Oct 2019Bramhall, United Kingdom16 contributions17 
helpful votes</t>
  </si>
  <si>
    <t>Marmaduke wrote a review Jul 2019Newcastle-under-Lyme, United Kingdom1 
contribution</t>
  </si>
  <si>
    <t>PleasantBigger / wider single beds in the twin rooms. There should be plastic cups 
in the bathrooms. Orange juice from machine at breakfast is disgusting, 
invest in proper/ better tasting juice, would rather squash than what come 
out of that machine. Staff were friendly and professional especially Bella 
on check in.Read moreReview collected in partnership with this hotelDate of 
stay: October 2019HelpfulShare</t>
  </si>
  <si>
    <t>Waterloo TravelodgeAn excellent hotel ideally located for our concert at The Royal Festival 
Hall. A clean and comfortable room with air conditioning which worked 
perfectly. All staff very friendly and helpful. A comprehensive breakfast 
menuRead moreReview collected in partnership with TravelodgeDate of stay: 
July 2019HelpfulShare</t>
  </si>
  <si>
    <t>kaijaheleena wrote a review Oct 20191 contribution</t>
  </si>
  <si>
    <t>loungedog wrote a review Jul 2019illinois65 contributions28 helpful votes</t>
  </si>
  <si>
    <t>Good place to staySituation near Kings Cross Underground makes it easy to travel anyplace in 
London. Also direct train line from Gatwick airport. Basic hotel, nothing 
to complain. Nice staff, traditional breakfast. Peacefull surroundings, as 
I felt it.Read moreReview collected in partnership with this hotelDate of 
stay: October 2019HelpfulShare</t>
  </si>
  <si>
    <t>pleasantly surprisedWe booked our trip to London last minute and were very pleased with the 
hotel. The staff was friendly and helpful. My husband and son are very 
tall, so rooms with 2 double beds (or full size beds) will not work for us. 
This room was large for London, and had a king sized bed plus an extra twin 
bed. Room was quiet at night, and we were able to get a good night's sleep. 
Location was great. We were walking distance to many attractions including 
London Eye and Buckingham Palace. There are lots of shops and restaurants 
within a 5 minute walk from the hotel, and both the Waterloo and Southwark 
tube stations are a short walk. We particularly enjoyed the Duke of Sussex 
pub and the Three Stags pubs - both had great food, and were an easy walk 
from the hotel. The only thing I'd change is…Read moreDate of stay: July 
2019HelpfulShare</t>
  </si>
  <si>
    <t>Clayton V wrote a review Oct 20193 contributions</t>
  </si>
  <si>
    <t>Tinkerbell068 wrote a review Jul 2019Glasgow, United Kingdom30 
contributions16 helpful votes</t>
  </si>
  <si>
    <t>Highly Recommended!We were welcomed by the friendly staff at the reception desk, where they 
gave us very useful information regarding our stay at the hotel. The room 
that we were directed into, was very comfy during our stay which I highly 
recommend to anyone. The room temperature was ideal and all requirements 
were met for anyone coming to London for a Leisure stay. Highly recommended 
*****Read moreReview collected in partnership with TravelodgeDate of stay: 
September 2019HelpfulShare</t>
  </si>
  <si>
    <t>Tania C wrote a review Oct 201945 contributions2 helpful votes</t>
  </si>
  <si>
    <t>Favourite London hotelMy sister and I stay here every year in our annual trip to London. Spotless 
hotel, great location, great staff, well run and well replenished breakfast 
service. Good quality of food. Only downside for us was 3 male guests 
standing at the bar on Sunday night, guzzling beer , talking loudly and 
swearing. They should have been asked to sit down as it’s not a pub, the 
bar isn’t really the sort of place not big enough to have people standing 
there for hours drinking, as well as being in reception- quite off- 
putting. . The younger bar staff could also do with learning about 
different choice of drinks and how to prepare them but otherwise it is a 
great hotel.Read moreReview collected in partnership with TravelodgeDate of 
stay: July 2019HelpfulShare</t>
  </si>
  <si>
    <t>Tania45 wrote a review Jul 2019Norwich140 contributions86 helpful votes</t>
  </si>
  <si>
    <t>Not the best room I have ever hadBook in and reception was first class My room however was probably not one 
of there best. Now I didn’t pay top dollar but it has to be said in this 
hotel it is really hit and miss whether you get a nice room or a grubby 
one. It was ok for the night but I had to wonder why on such a cold day the 
windows were wide open ? I also had to stand on a chair to close it.Read 
moreDate of stay: October 2019HelpfulShare</t>
  </si>
  <si>
    <t>My 50th BirthdayMany Thanks to the team at Waterloo travel lodge, We have just returned 
home after a fabulous couple of days in London, we went for my 50th and to 
attend Hyde park British summer time concert with Robbie Williams. We 
arrived and the team had decorated our room with beautiful balloons and 
banners. A card and mini bottle of rose prosseco with a box of chocolates 
�� Thank you so much especially too Tanzila who done most of the work A 
Massive Thank you Tania &amp; Vic XxxRead moreDate of stay: July 
2019HelpfulShare</t>
  </si>
  <si>
    <t>https://www.tripadvisor.co.uk/Hotel_Review-g186338-d243667-Reviews-or670-Travelodge_London_Kings_Cross_Royal_Scot-London_England.html#REVIEWS</t>
  </si>
  <si>
    <t>KatieP wrote a review Jul 20195 contributions1 helpful vote</t>
  </si>
  <si>
    <t>Michael S wrote a review Oct 2019Los Angeles2 contributions5 helpful votes</t>
  </si>
  <si>
    <t>London WeekendMe and my husband stayed here on our weekend trip to London. This is the 
2nd time we've stayed here due to the location and how nice the hotel was. 
Everything is on your doorstep in Waterloo, and the staff are extremely 
helpful here at this Travelodge ����Read moreDate of stay: July 
2019HelpfulShare</t>
  </si>
  <si>
    <t>Extremely friendly and helpful staffThe room was clean, comfortable and very reasonably priced but the thing 
that really stood out was how friendly and helpful all of the staff we 
encountered were. Nothing was too much trouble for them.Read moreReview 
collected in partnership with TravelodgeDate of stay: September 
2019HelpfulShare</t>
  </si>
  <si>
    <t>Judy H wrote a review Oct 2019Weymouth, United Kingdom132 contributions48 
helpful votes</t>
  </si>
  <si>
    <t>https://www.tripadvisor.co.uk/Hotel_Review-g186338-d1812157-Reviews-or345-Travelodge_London_Waterloo_Hotel-London_England.html#REVIEWS</t>
  </si>
  <si>
    <t>António Vasco d wrote a review Jul 2019Porto, Portugal7 contributions</t>
  </si>
  <si>
    <t>Good value stayThis hotel is 15 minutes walk from St Pancras and Kings Cross stations so 
convenient, but the area didn't feel safe to walk in after dark. Good value 
for central London and very quiet (ask for an inside room) so we slept 
well. Generally the hotel is rather dated and the bedroom and bathroom 
needed redecoration, but we had a comfortable stay.Read moreReview 
collected in partnership with TravelodgeDate of stay: October 
2019HelpfulShareResponse from TravelodgeUK, James from the Social Media 
Team at Travelodge London Kings Cross Royal ScotResponded 7 Oct 2019Thank 
you for reviewing our Travelodge London Kings Cross Royal Scot Hotel. We're 
happy to hear you were pleased with the location of the hotel as well as 
with the value of your room during this stay but we are sorry to hear of 
the wear and tear experienced. Please rest assured the hotel managers check 
Tripadvisor reviews of their hotels so your comments will be reviewed by 
the hotel's team. Thank you again for leaving this review and we do hope 
that you choose to stay with us again in the future.Read more</t>
  </si>
  <si>
    <t>Visit to LondonBig enough, comfortable and clean room. Only the bathroom needed some small 
repairs to be perfect. Excellent location, near buses and metro and train 
station. Coffee and tea in the room, always nice. Front desk nice and 
efficient .Read moreDate of stay: July 2019HelpfulShare</t>
  </si>
  <si>
    <t>Steven12233 wrote a review Oct 2019Weymouth, United Kingdom14 
contributions7 helpful votes</t>
  </si>
  <si>
    <t>Ian L wrote a review Jul 20191 contribution</t>
  </si>
  <si>
    <t>Fantastic Hotel in great locationGreat location, only 5 mins walk from Waterloo station and easy access to 
central London. Very helpful and friendly staff. Very clean and well 
equipped rooms. Bed very comfortable and had the best nights sleep I’ve had 
for a long time. Breakfast excellent value and quality with plenty of 
choice. 24 hour access to hotel wi-fi for 24 hours excellent value.Read 
moreReview collected in partnership with TravelodgeDate of stay: July 
2019HelpfulShare</t>
  </si>
  <si>
    <t>RidiculousSo as we checked in the staff were just unhelpful, after asking 3 times and 
being ignored about parking, 4th time my friend asked we actually got an 
answer, staff need a lot more training, none of them knew how to work the 
tills at the bar, rooms are ok, bath rooms could do with a better clear but 
my main issue is when me and my friend got back that evening we were sat 
talking and we had a knock on the door from security and a receptionist 
asking to “be quiet” so just a heads up if you want to talk in your rooms I 
would find a different hotel, I won’t be returning and I urge anyone to 
stay clear of this hotelRead moreDate of stay: October 
2019HelpfulShareResponse from TravelodgeUK, Zack from The Social Media Team 
at Travelodge London Kings Cross Royal ScotResponded 6 Oct 2019Thank you 
for your review of our London Kings Cross Royal Scot Travelodge and taking 
the time to share your experience with us. We're really sorry to learn of 
your disappointment with your overall stay. We want our customers to enjoy 
their experience in our hotels so we are sorry to learn that you did not 
receive our high standard of service on this occasion. We hope that there 
will be another occasion to welcome you as our guest in the future.Read more</t>
  </si>
  <si>
    <t>Emily H wrote a review Jul 2019Cincinnati, Ohio42 contributions27 helpful 
votes</t>
  </si>
  <si>
    <t>spuffy_c wrote a review Oct 2019Sydney, Australia61 contributions36 helpful 
votes</t>
  </si>
  <si>
    <t>Great Hotel in Central LondonGreat value hotel. Only a few minute walk to the Waterloo station. Hotel 
room was very quiet and the bed was comfortable. There is a bar / 
restaurant on the ground floor, but many places nearby if you don't want to 
get the breakfast from the hotel. Would stay here again.Read moreDate of 
stay: July 2019HelpfulShare</t>
  </si>
  <si>
    <t>Average but convenientI chose to stay here because I had to catch a train to Edinburgh from Kings 
Cross and it was more convenient to stay close-by than to try and navigate 
additional trains with baggage. The room was rudimentary but the bed was 
comfortable for my needs. I did find having to pass through so many doors a 
bit annoying, so definitely try and book a room near the lifts if you want 
to avoid trying to get your luggage through several fire doors. The hotel 
is a three minute walk to Kings Cross, so it’s a great base if you need to 
catch a train from there.Read moreDate of stay: August 2019HelpfulShare</t>
  </si>
  <si>
    <t>Celia D wrote a review Jul 2019Macclesfield, United Kingdom37 
contributions8 helpful votes</t>
  </si>
  <si>
    <t>JoFLynn wrote a review Oct 20191 contribution</t>
  </si>
  <si>
    <t>Great location &amp; Friendly staffThis Travelodge is a great place to stay as the location is ideal for 
exploring London - get to anywhere in minutes! Could see the London Eye 
from my bedroom window. Good place for wheelchair users - dropped 
reception, lifts, bedroom roomy and wet room. Just a note that if, like me, 
you need a bit of support in the shower, the drop-down stool was a bit 
small and slippery - I'm sure Travelodge will address this. Had a great 
time and the staff were friendly, helpful and genuinely wanted us to have a 
nice holiday. Stayed 5 nights here and would DEFINITELY come again - 
location, location, location AND we had Waterloo Foodie Fortnight - so 
eating out was exciting and different.Read moreReview collected in 
partnership with TravelodgeDate of stay: July 2019HelpfulShare</t>
  </si>
  <si>
    <t>Sarah wrote a review Jul 20192 contributions</t>
  </si>
  <si>
    <t>Terrible ExperienceThis Hotel was booked for me due to the Premier Inns in the area being 
fully booked. The rooms look like something from the 70's and are in 
serious need of refurbishing. I was booked into a 'Double' room but ended 
up in a twin room with child size beds! There is no soundproofing, I could 
hear the next rooms television and plugs being plugged in. The corridors 
were noisy, doors banging a terrible nights sleep. The food is very limited 
and not much choice. I asked for a hairdryer to be told there were none 
left, a great start to the day at 6c and wet hair on such a cold morning. 
Dreading my second night here, budget Hotel, premium prices, so glad I've 
not paid for it, I would be asking for a refund. A thoroughly miserable 
stayRead moreDate of stay: October 2019HelpfulShareResponse from 
TravelodgeUK, Tilly from The Social Media Team at Travelodge London Kings 
Cross Royal ScotResponded 4 Oct 2019Thank you for submitting your review of 
our London Kings Cross Royal Scot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</si>
  <si>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Worst hotel everStayed here with work thank god for one night , a twin room is actually 
what can only be described as two camper children’s beds pushed together. 
Bar service is the worst I’ve ever seen , no one seems to know what’s going 
on or who is working where. Breakfast ?? I got a mini crossiant and didn’t 
eat it. We complained about the beds for a manager and staff member to come 
up to our room and told to separate the beds. The noise in the room from 
fans is terrible just advice do not stay here.Read moreDate of stay: July 
2019HelpfulShareResponse from TravelodgeUK, Shaf from the Social Media 
Team. at Travelodge London Waterloo HotelResponded 11 Jul 2019Thank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</si>
  <si>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https://www.tripadvisor.co.uk/Hotel_Review-g186338-d243667-Reviews-or675-Travelodge_London_Kings_Cross_Royal_Scot-London_England.html#REVIEWS</t>
  </si>
  <si>
    <t>emmaF2762WZ wrote a review Oct 20191 contribution</t>
  </si>
  <si>
    <t>https://www.tripadvisor.co.uk/Hotel_Review-g186338-d1812157-Reviews-or350-Travelodge_London_Waterloo_Hotel-London_England.html#REVIEWS</t>
  </si>
  <si>
    <t>Great location hotel outdatedIt's a good value for money. Small and good restaurants around King's Cross 
station. Saturday night in particular was noisy because of drunk clients. 
The rooms' doors slam so hard that it is hard to sleep hours in a row. The 
bathroom is old but ok. The whole hotel feels tired and outdated.Read 
moreReview collected in partnership with TravelodgeDate of stay: September 
2019HelpfulShare</t>
  </si>
  <si>
    <t>NipC wrote a review Oct 2019Bishop Auckland2 contributions</t>
  </si>
  <si>
    <t>Just not quite good enoughSingle beds were small (width) Room was not serviced correctly - i.e. cups 
not washed, tea and milk not replenished - bed had cover/quilt thrown back 
over the bed and pillows were not touched. It shouldn't take much to fix 
this,Read moreReview collected in partnership with TravelodgeDate of stay: 
October 2019HelpfulShare</t>
  </si>
  <si>
    <t>TravelAgentTracey wrote a review Jul 2019South Shields36 contributions13 
helpful votes</t>
  </si>
  <si>
    <t>catherinesX223EU wrote a review Oct 2019Newcastle-under-Lyme, United 
Kingdom29 contributions9 helpful votes</t>
  </si>
  <si>
    <t>GreatWell I’ve stayed in many a posh hotel in London and payed more than double 
than I have to stay at this hotel! This Travelodge was everything I needed 
Great service Great Staff Great Location Great Comfort and defo Great 
breakfast. I will certainly backRead moreReview collected in partnership 
with TravelodgeDate of stay: July 2019HelpfulShare</t>
  </si>
  <si>
    <t>Good for the priceClean &amp; comfortable room. Except for the temperature! Staff had done 
everything they could (curtains closed, window open, fan in the room &amp; 
switched on) to make the temperature in the room comfortable. It was still 
incredibly warm. It's an older building &amp; for the price we paid I'm not 
complaining. Great location for exploring London.Read moreDate of stay: 
August 2019HelpfulShare</t>
  </si>
  <si>
    <t>James C wrote a review Jul 20191 contribution</t>
  </si>
  <si>
    <t>Inspire24578326836 wrote a review Oct 20191 contribution</t>
  </si>
  <si>
    <t>If I big this up, I'll spoil it for myself!Great location, very friendly staff, especially Lindsay, who was full of 
life and a pleasure to talk to. Room was comfortable and clean. Happy hour 
from 4pm until 6pm EVERY day. Perfect 2 day stay. Thank you Travelodge!Read 
moreReview collected in partnership with TravelodgeDate of stay: July 
2019HelpfulShare</t>
  </si>
  <si>
    <t>Comfortable room for an overnight stayComfortable room for an overnight stay. Short walk from Kings Cross 
Underground and easy Tube access to Royal Albert Hall made this an 
enjoyable stopover in London. Staff were welcoming and attentive. Well 
worth the money!Read moreReview collected in partnership with 
TravelodgeDate of stay: September 2019HelpfulShare</t>
  </si>
  <si>
    <t>sagger-hayward wrote a review Jul 2019Isle of Wight, United Kingdom3 
contributions</t>
  </si>
  <si>
    <t>bradfordjohna wrote a review Oct 20191 contribution</t>
  </si>
  <si>
    <t>Great Service.Wow What a great time we had..So Happy we chose this Travelodge as very 
convenient to Waterloo station plus excellent staff. The lady behind the 
desk called Humayra was really helpful and also bothered to find us to let 
us know our room was ready. Also on check out we said we were going just to 
get some lunch before traveling and she kindly suggested that we could 
leave our cases and pick them up later. Also Raisa was great in helping 
sort out our needs. Thank youRead moreDate of stay: July 2019HelpfulShare</t>
  </si>
  <si>
    <t>great staff , hotel rubbish internetno problem with the staff and the room both were great but major problems 
with the internet .i had no internet for 3 days and had to ring friends to 
research .finally a staff member sorted it my firewall was blocking the 
page to sign in .might have been better with a box coming up to add code 
not a pageRead moreReview collected in partnership with TravelodgeDate of 
stay: September 2019HelpfulShare</t>
  </si>
  <si>
    <t>https://www.tripadvisor.co.uk/Hotel_Review-g186338-d1812157-Reviews-or485</t>
  </si>
  <si>
    <t>Jade wrote a review Jul 20198 contributions1 helpful vote</t>
  </si>
  <si>
    <t>https://www.tripadvisor.co.uk/Hotel_Review-g186338-d243667-Reviews-or680-Travelodge_London_Kings_Cross_Royal_Scot-London_England.html#REVIEWS</t>
  </si>
  <si>
    <t>Our stayStayed overnight on Friday 28th June as seeing play at the old vic. A 
pleasant and friendly environment and service was excellent. Very 
comfortable room with air conditioning and a lovely breakfast. We will 
definitely be returning to this hotel on our stay in London.Read moreDate 
of stay: June 2019HelpfulShare</t>
  </si>
  <si>
    <t>W0081 wrote a review Oct 2019Truro, United Kingdom4 contributions1 helpful 
vote</t>
  </si>
  <si>
    <t>https://www.tripadvisor.co.uk/Hotel_Review-g186338-d1812157-Reviews-or355-Travelodge_London_Waterloo_Hotel-London_England.html#REVIEWS</t>
  </si>
  <si>
    <t>Clean and comfortableFor the price we paid I cannot fault this Travelodge. It’s rather dated but 
clean, comfortable and has lovely staff. It’s a quick 10 minute walk from 
Kings Cross station (a really convenient station for hoping on the tube and 
going to all the touristy spots). I will definitely book in here again!Read 
moreReview collected in partnership with this hotelDate of stay: September 
2019HelpfulShare</t>
  </si>
  <si>
    <t>Kevypee wrote a review Jul 2019Hythe, United Kingdom66 contributions37 
helpful votes</t>
  </si>
  <si>
    <t>Rosh C wrote a review Oct 2019London, United Kingdom1 contribution</t>
  </si>
  <si>
    <t>RecommendedThe staff was Friendly and welcoming. My room clean. I stayed for one night 
as I had interview next morning. I think good value for money and close to 
Kings cross train station. I would definitely stay again, I would 
recommend.Read moreReview collected in partnership with this hotelDate of 
stay: October 2019HelpfulShare</t>
  </si>
  <si>
    <t>Place to rest your headNot a terrible location, easy to walk to the river and main central sights. 
Hotel is clean and well maintained. Rooms were as expected. Breakfast was 
better than expected, although still nothing that special. Staff were 
really friendly, helpful and welcoming.Read moreDate of stay: July 
2019HelpfulShareResponse from TravelodgeUK, Tilly from The Social Media 
Team at Travelodge London Waterloo HotelResponded 19 Jul 2019Thank you for 
your review of our London Waterloo Hotel We are delighted to hear that you 
were impressed with your stay. It is our aim to provide an enjoyable stay 
to all of our guests, and feedback like yours is always a pleasure to 
receive. Thanks again for taking the time to submit your review, we hope to 
welcome you back to stay with us again in the near future.Read more</t>
  </si>
  <si>
    <t>demic999 wrote a review Oct 2019Liverpool, United Kingdom61 contributions20 
helpful votes</t>
  </si>
  <si>
    <t>paul w wrote a review Jul 2019Exeter, United Kingdom19 contributions9 
helpful votes</t>
  </si>
  <si>
    <t>Front rooms VERY noisyStayed here a few times now and never had a problem. Usually stay here in a 
room on my own and have never been disappointed. Stayed this weekend with a 
friend in a twin room. Room 277. Very small room. Tiniest bathroom ever. 
Lots (and I mean LOTS) of road noise. You can also hear trains rumbling 
deep below late into the night and then from about 0430. Housekeeping kept 
hassling is to leave by knocking on our door twice before 11am, even though 
check out is midday. Not the greatest stay I have had at this hotel. Ask 
for a high room at the rear, as we hardly slept!Read moreDate of stay: 
September 2019HelpfulShare</t>
  </si>
  <si>
    <t>Overpriced super roomsNot quite.. Rooms not refreshed we stayed 2 nights ,door keys failed x 6 
times in one stay went down to reception with bare feet to sort keys out on 
2 occasions and once I asked staff to let me in on my level who stated they 
weren't allowed .. I will never pay for superior rooms again if ever just 
the basicsRead moreReview collected in partnership with TravelodgeDate of 
stay: July 2019HelpfulShareResponse from TravelodgeUK, Molly from the 
Social Media Team at Travelodge London Waterloo HotelResponded 7 Jul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</si>
  <si>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Peter D wrote a review Oct 2019Redcar, United Kingdom184 contributions30 
helpful votes</t>
  </si>
  <si>
    <t>short walk to King's Cross stationWould recommend this hotel. Cheerful staff. Good breakfast with a good 
choice. Lean bacon, cumberland sausages and vegan option. Fresh fruit 
cocktail, with selection of yoghorts. The lounge area was a bit too open 
for our liking.Read moreReview collected in partnership with TravelodgeDate 
of stay: September 2019HelpfulShare</t>
  </si>
  <si>
    <t>Rasan wrote a review Jul 20191 contribution1 helpful vote</t>
  </si>
  <si>
    <t>Excellent location, friendly staffI stayed there with 2 other friends. It was clean, with an excellent 
location; 5 minutes walk to the Waterloo station, and 20 minutes walk to 
the London eye. Staff were friendly, especially Nieza and Marcio who were 
very helpful. The Lavazza bar and coffee shop was cosy and lively.Read 
moreDate of stay: June 2019HelpfulShare</t>
  </si>
  <si>
    <t>https://www.tripadvisor.co.uk/Hotel_Review-g186338-d243667-Reviews-or685-Travelodge_London_Kings_Cross_Royal_Scot-London_England.html#REVIEWS</t>
  </si>
  <si>
    <t>Natalie F wrote a review Jul 2019Birmingham, United Kingdom10 
contributions2 helpful votes</t>
  </si>
  <si>
    <t>Shirley C wrote a review Sep 2019Adelaide, Australia116 contributions56 
helpful votes</t>
  </si>
  <si>
    <t>Birthday tripThe hotel was situated in an excellent spot not too far from the station. 
The hotel receptionist was very professional and provided us with a 
fantastic upgrade at our request due to us being tall customers. Thank you 
Hilina, you’re one of the best staff members we’ve met !!!Read moreDate of 
stay: June 2019HelpfulShare</t>
  </si>
  <si>
    <t>Certainly LOCATIONWe booked at this lodge due to the location, it's close to the train 
station and the underground. The room was small, however it's only for 
sleeping, we was out all day walking everywhere, so a place to rest. The 
staff where helpful, polite and professional.Read moreDate of stay: 
September 2019HelpfulShare</t>
  </si>
  <si>
    <t>https://www.tripadvisor.co.uk/Hotel_Review-g186338-d1812157-Reviews-or360-Travelodge_London_Waterloo_Hotel-London_England.html#REVIEWS</t>
  </si>
  <si>
    <t>bunnie2014 wrote a review Sep 2019Whitby, United Kingdom3 contributions2 
helpful votes</t>
  </si>
  <si>
    <t>kendrickpi wrote a review Jul 2019Leeds, United Kingdom27 contributions5 
helpful votes</t>
  </si>
  <si>
    <t>Clean but slightly shabbyStaff very helpful and friendly. The room was clean but a bit shabby, 
needed updating. The public areas of the hotel were bright and welcoming. 
Also found the room noisy at night as it was near the lift and a number of 
guests were inconsiderate by talking loudly during the middle of the night 
when using it. Price very reasonable for London.Read moreReview collected 
in partnership with this hotelDate of stay: September 2019HelpfulShare</t>
  </si>
  <si>
    <t>Faith restored: Doris is a hitWhen travelling for work, one hotel room is much like the next; so long as 
it is clean, the bed firm, and the shower works, does one remember one trip 
from another? Well this morning, at breakfast, when my desired beverage 
failed to be dispensed, Doris was thankfully on hand and sprang into action 
to make sure I got my favoured morning brew. It’s kindnesses such as these 
that make the start to the day and any stay at any hotel all the more 
memorable. Thank you Doris, thank your Travelodge.Read moreDate of stay: 
July 2019HelpfulShare</t>
  </si>
  <si>
    <t>Cosmopolitan542058 wrote a review Jul 20191 contribution1 helpful vote</t>
  </si>
  <si>
    <t>Perfect locationIf you need to be close to Waterloo main line trains and the underground 
then this is hotel is only a few minutes walk away. It also has a nice bar 
area which was most welcome after a long day out and about in London.Read 
moreReview collected in partnership with TravelodgeDate of stay: June 
2019HelpfulShare</t>
  </si>
  <si>
    <t>https://www.tripadvisor.co.uk/Hotel_Review-g186338-d243667-Reviews-or690-Travelodge_London_Kings_Cross_Royal_Scot-London_England.html#REVIEWS</t>
  </si>
  <si>
    <t>Venture31245517909 wrote a review Jul 2019Isle of Portland, United Kingdom1 
contribution</t>
  </si>
  <si>
    <t>Happy stayEverything was great, very friendly and helpful staff. Clean and 
functional, well located. Considering it’s position the hotel was not 
noisy. The staff appeared busy but very attentive to visitors needs.Read 
moreReview collected in partnership with TravelodgeDate of stay: July 
2019HelpfulShare</t>
  </si>
  <si>
    <t>hmm71 wrote a review Sep 2019Aylesbury, United Kingdom118 contributions38 
helpful votes</t>
  </si>
  <si>
    <t>Samantha J wrote a review Jul 2019Bournemouth, United Kingdom8 contributions</t>
  </si>
  <si>
    <t>Excellent StayRoom very clean, comfortable and quiet. All of the staff team were friendly 
and polite and we were made to feel very welcome.. The bar was clean and 
inviting, just the place to chill out after a day in london. we would 
definitely stay here againRead moreReview collected in partnership with 
TravelodgeDate of stay: June 2019HelpfulShare</t>
  </si>
  <si>
    <t>Perfect for 1 night stayMy son and I spent 1 night here in a twin room to attend a concert in 
London and at £65 for a Saturday night stay it was a bargain. All staff 
members we encountered were lovely, friendly and helpful. The room itself 
was adequate - the twin beds were a nice distance apart with a table 
between them. There weren’t the widest of beds but were very comfortable. 
Bedding looked and smelt fresh and clean and extra pillows were provided in 
the wardrobe. The wooden furniture did look quite worn but works perfectly 
well. Bathroom was tiny but had bath, shower, sink and toilet. Basic 
instructions on how to use the shower would have saved us a few minutes of 
experimenting! I liked the soap and shower wash dispensers - no single use 
plastic here. Kettle and mugs with tea and coffee were…Read moreDate of 
stay: September 2019HelpfulShare</t>
  </si>
  <si>
    <t>Fearless51148156915 wrote a review Sep 20191 contribution</t>
  </si>
  <si>
    <t>Not the cleanest of rooms on floor 2.We had 3 rooms booked. Rooms were dirty, smelly and had broken plug 
sockets. Beds were comfy and clean. 3 nights stay and not once was our 
rooms made up, nor towels changed and no toilet paper. The bathroom was a 
hazard, a lot of broken tiles, black mould, the floor was so dirty.Read 
moreReview collected in partnership with TravelodgeDate of stay: September 
2019HelpfulShare</t>
  </si>
  <si>
    <t>gillianhall57 wrote a review Sep 20191 contribution</t>
  </si>
  <si>
    <t>https://www.tripadvisor.co.uk/Hotel_Review-g186338-d1812157-Reviews-or365-Travelodge_London_Waterloo_Hotel-London_England.html#REVIEWS</t>
  </si>
  <si>
    <t>karl v wrote a review Jul 20191 contribution</t>
  </si>
  <si>
    <t>ShamefulPoor unclean this seems outdated as from the beginning. Our room felt 
stuffy &amp; unclean the floor had dirty sticky stains everywhere .. to go 
across the floor without something on your feet was impossible, I cannot 
believe they charge for a room in this conditionRead moreReview collected 
in partnership with this hotelDate of stay: September 
2019HelpfulShareResponse from TravelodgeUK, Niki from The Social Media Team 
at Travelodge London Kings Cross Royal ScotResponded 30 Sep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</si>
  <si>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Very clean but smallLovey friendly staff. A lot of room and fairly small. The bathroom was 
fairly cramped. Was very clean and the aircon was a very nice touch in the 
heat. The whole hotel was clean. The bed and pillows were uncomfortable but 
as expected at that price. We went for a concert at Wembley so only stayed 
a night. Ideal for that kind of thing. Couldn’t last a week in the room 
howeverRead moreReview collected in partnership with TravelodgeDate of 
stay: June 2019HelpfulShare</t>
  </si>
  <si>
    <t>Ellen F wrote a review Sep 20191 contribution</t>
  </si>
  <si>
    <t>Trail38644855920 wrote a review Jul 2019Kidderminster, United Kingdom1 
contribution</t>
  </si>
  <si>
    <t>Excellent StayGreat room, shower, food, location and staff. Felt really comfortable in 
room which was spotless and air conditioning was superb especially as 
outside temperature was 33c Great overall value for money. We will 
definitely stay again.Read moreDate of stay: June 2019HelpfulShare</t>
  </si>
  <si>
    <t>Wouldn’t recommend to anyoneI don’t normally write reviews, however I feel that other people should 
know how horrible this hotel is! It is extremely dated (bathrooms 
especially, wallpaper flaking off walls, carpets so dirty and no hairdryers 
are in rooms... We arrived after being devastated our Thomas cook holiday 
had been cancelled so we booked a couple nights trip to London which is our 
favourite city breaks usually, on arrival we checked in went to our room 
and felt like we were in a prison therefore we asked to move rooms to which 
at first the receptionist said no, then the hotel manager said yes and we 
were moved to the fifth floor. The staff are reasonably nice which is about 
the only positive thing to say about this hotel. We were on the phone to 
Travelodge asking to move hotels at an extra cost…Read moreDate of stay: 
September 2019HelpfulShareResponse from TravelodgeUK, Ben from the Social 
Media Team at Travelodge London Kings Cross Royal ScotResponded 30 Sep 
2019Thank you for taking the time to write a review about our London Kings 
Cross Royal Scot hotel.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</si>
  <si>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Departure13673657292 wrote a review Jul 2019Gosport, United Kingdom1 
contribution</t>
  </si>
  <si>
    <t>https://www.tripadvisor.co.uk/Hotel_Review-g186338-d243667-Reviews-or695-Travelodge_London_Kings_Cross_Royal_Scot-London_England.html#REVIEWS</t>
  </si>
  <si>
    <t>Location, location, location!Great hotel with all the basic amenities you would like for a short weekend 
break. Close to Tube and mainline station, very clean and tidy with 
friendly staff. Having its own 24/7 bar was a great bonus and the breakfast 
was plentiful. Would definitely return.Read moreReview collected in 
partnership with TravelodgeDate of stay: June 2019HelpfulShare</t>
  </si>
  <si>
    <t>kaza915 wrote a review Sep 20191 contribution</t>
  </si>
  <si>
    <t>Frankienorman wrote a review Jun 2019Greater Manchester, United Kingdom126 
contributions15 helpful votes</t>
  </si>
  <si>
    <t>Lovely HotelJust got back from London we stayed at Travelodge Kings Cross Royal Scot 
and had a fantastic stay the staff were wonderful n very helpful our room 
was lovely would definitely recommend this hotel to anyoneRead moreReview 
collected in partnership with this hotelDate of stay: September 
2019HelpfulShare</t>
  </si>
  <si>
    <t>Great valueBooked to stay here with friends whilst seeing a concert at Wembley. We 
booked a family room which was a good size and spotlessly clean, we were on 
the 8the floor with a partial view of the London eye. The hotel was in easy 
walking distance to Waterloo tube station and easy to get around sites of 
London. Very easy to get to Wembley stadium too. Staff all lovely and would 
definitely stay again.Read moreReview collected in partnership with 
TravelodgeDate of stay: June 2019HelpfulShare</t>
  </si>
  <si>
    <t>pa542 wrote a review Sep 2019Lincoln, United Kingdom1 contribution</t>
  </si>
  <si>
    <t>royandliane wrote a review Jun 2019Isle of Wight, United Kingdom11 
contributions2 helpful votes</t>
  </si>
  <si>
    <t>Disappointed standard of accommodationThe allocated accommodation was very tired, unclean and had an adverse 
odour. The WC handle was broken, there was mould/damp around the bathroom 
window, on the ceiling, walls and along the grout. The shower rail was 
rusty and there was evidence of rust along the edge of the walls. Having 
taken images and reporting this to reception, I was kindly offered another 
room which was not much better. I was both surprised and disappointed in 
this Travelodge and have cancelled a planned return in November.Read 
moreReview collected in partnership with TravelodgeDate of stay: September 
2019HelpfulShareResponse from TravelodgeUK, Niki from The Social Media Team 
at Travelodge London Kings Cross Royal ScotResponded 29 Sep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</si>
  <si>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Ideal for quick visit to LondonMy first visit to this Travelodge but probably not my last. The welcome on 
arrival was friendly and informative. Room was clean and well presented. I 
fell short of 5 stars due to the poor breakfast. It is a buffet style which 
means the variation of heat of the food and options as things ran out. I 
would like to suggest that bathmats should be supplied to prevent the floor 
getting wet when stepping from the shower.Read moreDate of stay: June 
2019HelpfulShare</t>
  </si>
  <si>
    <t>Getaway528076 wrote a review Sep 20191 contribution</t>
  </si>
  <si>
    <t>London sightseeingReally happy with my stay,the beds was comfy the place itself is in a good 
location,walking distance to the tube and buses and plenty of places to eat 
nearby,the staff at reception day and night could not of been more helpful 
and kind,would return .Read moreDate of stay: September 2019HelpfulShare</t>
  </si>
  <si>
    <t>https://www.tripadvisor.co.uk/Hotel_Review-g186338-d1812157-Reviews-or370-Travelodge_London_Waterloo_Hotel-London_England.html#REVIEWS</t>
  </si>
  <si>
    <t>Daisy Chen wrote a review Sep 2019Versailles, France11 contributions</t>
  </si>
  <si>
    <t>Chloe Cornett wrote a review Jun 20191 contribution</t>
  </si>
  <si>
    <t>Great!Very clean with super nice staff. Large dining area and lounge area to wait 
in until my room was ready. After arriving from an international flight, 
this was a perfect rest stop for my first night. Would recommend!Read 
moreDate of stay: June 2019HelpfulShare</t>
  </si>
  <si>
    <t>Bad payment systemI cannot book a room onsite so I booked online. There is no option to pay 
onsite, so I paid online. But at check-in, the staff told me I had to pay 
again while they already charge my credit card! And the towels are not 
clean every day!Read moreReview collected in partnership with 
TravelodgeDate of stay: September 2019HelpfulShareResponse from 
TravelodgeUK, Niki from The Social Media Team at Travelodge London Kings 
Cross Royal ScotResponded 29 Sep 2019Thank you for your feedback. We are 
sorry to hear of your experience. We can confirm that not all bookings are 
charged at the time of booking so guests will be asked to pay for their 
room on arrival. We apologise if you were not aware of this and will be 
sure to pass your feedback onto the relevant department. Thank you again 
for your review and we hope to have the chance to welcome you back again 
soon.Read more</t>
  </si>
  <si>
    <t>Andrea B wrote a review Jun 2019Belfast, United Kingdom9 contributions8 
helpful votes</t>
  </si>
  <si>
    <t>housie2018 wrote a review Sep 20192 contributions</t>
  </si>
  <si>
    <t>Weekend breakStayed in the travelodge waterloo central...this is our second visit and 
once again it has been amazing...the staff are very friendly especially 
Lindsey who is an absolute credit to the travelodge...she is so friendly 
and welcoming...she really is a breath of fresh air...she couldnt do enough 
for us...its staff like Lindsey that keeps us coming backRead moreDate of 
stay: June 2019HelpfulShare</t>
  </si>
  <si>
    <t>Great valuePerfect for my event, great location and great welcome. The only thing is 
that the room was hot and with no air conditioning and just a small fan, it 
wasn’t ideal. I worked have not been Happy If it’s had been a hot dayRead 
moreReview collected in partnership with this hotelDate of stay: September 
2019HelpfulShare</t>
  </si>
  <si>
    <t>Diane P wrote a review Jun 20191 contribution</t>
  </si>
  <si>
    <t>https://www.tripadvisor.co.uk/Hotel_Review-g186338-d243667-Reviews-or700-Travelodge_London_Kings_Cross_Royal_Scot-London_England.html#REVIEWS</t>
  </si>
  <si>
    <t>Wonderful serviceClean rooms. Full bar and lounge. Great waitress, Raisley, in the 
restaurant. She is attentive, lively, sweet. Hotel is convenient to 
Waterloo station and Underground. A great old pub around the corner, The 
Stage Door.Read moreDate of stay: June 2019HelpfulShare</t>
  </si>
  <si>
    <t>carebearbunny wrote a review Sep 2019Orange County, California6 
contributions</t>
  </si>
  <si>
    <t>Prash Indian wrote a review Jun 20191 contribution</t>
  </si>
  <si>
    <t>Amazing super room and comfortable stayI was upgraded to the super room for free and it was very nice. It was a 
hot and humid day in London, the air con worked wonders for me. The 
comfortable bed and cup of hot chocolate were wonderful. I did fumble with 
the coffee machine but got there in the end :-) Breakfast service by 
Drahoslava was amazing, felt special.Read moreDate of stay: June 
2019HelpfulShare</t>
  </si>
  <si>
    <t>Travelodge Royal Scot Kings CrossI stayed here for 4 nights in mid September 2019. The room was clean, the 
breakfast they provide is very good, and the staff are very helpful and 
friendly. However, the amenities they offer are not enough that make me 
want to book with them again. They offer just 30 minutes of free WiFi 
daily, it's not included in their prices. When you're an international 
traveler with limited data, this becomes a big deal. They do offer WiFi for 
a price but I think it should be included since the prices to stay there 
are a little bit high. There is no climate control so you're room temp is 
at the mercy of the outside weather. The hotel also smells musty and the 
bathroom is in dire need of restoring/remodeling. With that being said, the 
staff were the best part of the hotel as they were very…Read moreDate of 
stay: September 2019HelpfulShareResponse from TravelodgeUK, Zack from The 
Social Media Team at Travelodge London Kings Cross Royal ScotResponded 2 
Oct 2019Thank you for your review of our London Kings Cross Royal Scot 
Travelodge. We're really sorry to learn of your disappointment with our 
WiFi extra, however we are pleased to hear that our staff offered great 
service and that you enjoyed our breakfast. We do not include the cost of 
this extra in our room rates unlike some of our competitors as we believe 
this allows our guests to pay for the services they need so we can continue 
to offer great room rates. We are really sorry that you did not enjoy your 
stay as a result. We aim to provide the best service possible to our guests 
and we will continue to do so by making the most of customer feedback such 
as yours. May we thank you for your comments, we do hope you stay with us 
again.Read more</t>
  </si>
  <si>
    <t>Imri_Uvda wrote a review Jun 2019Tel Aviv, Israel6 contributions1 helpful 
vote</t>
  </si>
  <si>
    <t>myrasnow wrote a review Sep 20192 contributions</t>
  </si>
  <si>
    <t>Relatively good location and price. Not very clean.The bathroom wasn't clean when I came in, and I had to clean it myself 
(also no soap in the shower dispenser). The wall-to-wall carpet in the hall 
could use a good wash too. My credit card was charged with my arrival, but 
the hotel allowed itself to keep the credit card deposit (which equals the 
payment of eight days) for 30 more days. (I learned it just by talking to 
my credit card company, the hotel didn't inform me that in any time).Read 
moreDate of stay: June 2019HelpfulShareResponse from TravelodgeUK, Molly 
from the Social Media Team at Travelodge London Waterloo HotelResponded 27 
Jun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</si>
  <si>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Travel lodge royals to kings crossroom and bedding clean but room small furniture and fittings tired in need 
of updating price reasonable for London staff friendly and helpful would 
stay again possibly but prefer standards of premier innsRead moreReview 
collected in partnership with TravelodgeDate of stay: September 
2019HelpfulShareResponse from TravelodgeUK, Shaf from the Social Media 
Team. at Travelodge London Kings Cross Royal ScotResponded 26 Sep 2019Thank 
you for reviewing our London Kings Cross Royal Scot Travelodge. We're 
really pleased to hear the hotel team were friendly/helpful and cleanliness 
were up to standards.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</si>
  <si>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https://www.tripadvisor.co.uk/Hotel_Review-g186338-d1812157-Reviews-or375-Travelodge_London_Waterloo_Hotel-London_England.html#REVIEWS</t>
  </si>
  <si>
    <t>gwensmithies12 wrote a review Sep 20191 contribution</t>
  </si>
  <si>
    <t>128Margaret wrote a review Jun 2019Guildford, United Kingdom4 
contributions3 helpful votes</t>
  </si>
  <si>
    <t>Travel Lodge - Royal Scott Kings CrossReally welcoming - all the staff (including the security guard) were really 
happy to sort all our questions - rooms were fine and clean. Bar area was 
relaxing. Would recommend for anyone arriving at Kings Cross or St Pancras 
Station.Read moreReview collected in partnership with this hotelDate of 
stay: September 2019HelpfulShare</t>
  </si>
  <si>
    <t>AverageNo serious complaints but considering the cost (almost £100 per night) it 
was poor value for money. The facilities provided in the room were very 
basic. No hairdryer, no glass, no drawers. However I could not fault the 
cleanliness of the room , the bed was comfortable and the breakfast was 
good.Read moreReview collected in partnership with TravelodgeDate of stay: 
June 2019HelpfulShare</t>
  </si>
  <si>
    <t>neelicious wrote a review Sep 20191 contribution</t>
  </si>
  <si>
    <t>welsh-chick-emz wrote a review Jun 2019Southern Wales, United Kingdom224 
contributions81 helpful votes</t>
  </si>
  <si>
    <t>My 1month experience in Travelodge Royal Scot Kings CrossMy 1month stay with Travelodge London Kings Cross Royal Scott was great. I 
had absolutely zero issues, compared to 2 other Airbnbs that I moved out 
from to stay here. The receptionist were great and very helpful. With a 
smile they always greeted me and assisted me and it was very comforting. 
The Cleaners were also very friendly and are very hardworking. Room was 
spacious, comfortable and I couldn’t ask more with a vibrant, comfortable 
spacious eating space really. Great service at Travelodge!Read moreReview 
collected in partnership with this hotelDate of stay: August 
2019HelpfulShare</t>
  </si>
  <si>
    <t>Excellent location, comfortable stayI recently stayed here for one night with my husband.Hotel is ideally 
located for Central London, and it's only a 5 minute walk to Waterloo 
station. We arrived at the hotel at 11am and we were allowed to leave our 
bags in the secure luggage room,untill we were ready to check in later that 
day.This allowed us to do some sight seeing without having to worry about 
our bags and carrying them around all day. When did check in at around 
6:30pm, it was quick and easy and we collected our bags from earlier with 
no problems. We stayed on the 8th floor and upon entering our room it was 
fit for purpose,and was as expected for a travelodge as we have stayed in 
many over the years.Room was basic and quite small but was ok for our one 
nights stay.Comfortable bed and the air con was a good…Read moreDate of 
stay: June 2019HelpfulShare</t>
  </si>
  <si>
    <t>rachel022115 wrote a review Sep 2019Livingston, United Kingdom1 contribution</t>
  </si>
  <si>
    <t>taylea wrote a review Jun 2019Dorset, United Kingdom319 contributions61 
helpful votes</t>
  </si>
  <si>
    <t>Up to usual standardAlways stay in travelodge by choice. Know exactly what you are getting. 
Check in staff very helpful, found us a room early with no bother. Room as 
expected, clean, tidy with everything we needed. Breakfast next morning, 
all you can eat buffet of cereal, full English, fruit, toast and lots of 
other goodies. Great hotel just 5 minutes walk from Waterloo station. 
��Read moreDate of stay: June 2019HelpfulShare</t>
  </si>
  <si>
    <t>Would not recommend!Terrible Rooms! Beds so small that they look like they were made for 
children. Rooms are like a sweat box as the windows only open a fraction 
and even with the window open it was unbearably hot. Horrible smell in 
hallways also. Would not recommend.Read moreReview collected in partnership 
with this hotelDate of stay: September 2019HelpfulShareResponse from 
TravelodgeUK, James form the Social Media Team at Travelodge London Kings 
Cross Royal ScotResponded 26 Sep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</si>
  <si>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https://www.tripadvisor.co.uk/Hotel_Review-g186338-d1812157-Reviews-or490</t>
  </si>
  <si>
    <t>https://www.tripadvisor.co.uk/Hotel_Review-g186338-d243667-Reviews-or705-Travelodge_London_Kings_Cross_Royal_Scot-London_England.html#REVIEWS</t>
  </si>
  <si>
    <t>Quest29865999877 wrote a review Sep 20191 contribution</t>
  </si>
  <si>
    <t>Ok for the moneyThe room and linens were fresh and clean but the room could use a general 
update. There were no drawers and no where to put our suitcases but the 
floor. As we entered the room we noticed a streak of bird poo on the window 
which was there for our entire 4 day stay.Read moreReview collected in 
partnership with TravelodgeDate of stay: September 2019HelpfulShare</t>
  </si>
  <si>
    <t>Hannah G wrote a review Sep 2019Hereford, United Kingdom30 contributions12 
helpful votes</t>
  </si>
  <si>
    <t>stephenbru2017 wrote a review Jun 2019London, United Kingdom12 
contributions27 helpful votes</t>
  </si>
  <si>
    <t>NoisyI visited the hotel for one night prior to an interview. I arrived about 
9.45pm and the staff were friendly and answered my question about luggage 
storage. The room was tired and in need of a revamp. It was a twin room but 
the bathroom was configured strange so it was difficult to close the door 
and stand in the room at the same time. As I was on my own this was fine 
and I left the door open but if I was with someone else this could have 
been a problem. The bathroom was clean but in need of an upgrade; the plug 
holes are grotty from use over time and the sink was cracked. The hotel is 
old and the walls are thin. I could hear other people’s televisions, hear 
them use the toilet and hear conversations in the corridor. I did not have 
a great nights sleep! Overall it was an ok…Read moreDate of stay: September 
2019HelpfulShare</t>
  </si>
  <si>
    <t>LfL_12 wrote a review Sep 2019Leeds, United Kingdom74 contributions29 
helpful votes</t>
  </si>
  <si>
    <t>Appaling customer serviceHad reconfirmed we would be late check ins by email and by calling the 
hotel. Estimated 2am. They confirmed that was ok and a room had been 
allocated so no need to worry. Turn up to check in and told they had 
overbooked and no record of a room being allocated.Read moreReview 
collected in partnership with TravelodgeDate of stay: June 
2019HelpfulShareResponse from TravelodgeUK, James from the Social Media 
Team at Travelodge London Waterloo HotelResponded 24 Jun 2019Thank you for 
reviewing our Travelodge London Waterloo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</si>
  <si>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Great budget stayVery friendly staff and good value hotel 5 mins from KX Station. Not the 
best area of London but if you want convenience and price it scores highly. 
You are not far to walk either KX / St Pancras area or the East End / 
Shorditch. 10 mins from Exeter Market (good pubs and restaurants etc) and 
Mount Pleasant (Postal Museum) areaRead moreReview collected in partnership 
with this hotelDate of stay: September 2019HelpfulShare</t>
  </si>
  <si>
    <t>Jane C wrote a review Jun 2019Bristol, United Kingdom20 contributions3 
helpful votes</t>
  </si>
  <si>
    <t>paulbA6405WH wrote a review Sep 20191 contribution</t>
  </si>
  <si>
    <t>So relaxed and friendlyI loved my stay here. All staff without exception were friendly and helpful 
and made the stay a lovely experience. Room had everything I needed, 
breakfast was excellent. Ground floor room was a good temperature - no view 
but I didn't go for the view. Really handy for accessing Southbank, BFI and 
Mary Seacole statue. Would strongly recommend and would definitely stay 
againRead moreDate of stay: May 2019HelpfulShare</t>
  </si>
  <si>
    <t>Excellent value for moneyPrompt, helpful and efficient reception. Warm and clean rooms although some 
parts of the building a little tired and in need of repair but overall well 
worth the money for a quiet sleep in a busy part of London.Read moreReview 
collected in partnership with TravelodgeDate of stay: September 
2019HelpfulShare</t>
  </si>
  <si>
    <t>jeanrobinson1945 wrote a review Sep 2019Scunthorpe, United Kingdom1 
contribution</t>
  </si>
  <si>
    <t>One night stayGood experience. The hotel situated just where we wanted. The staff were 
very obliging from booking in to storing our case for a few hours. The meal 
we had was nice and so convenient not to have to go out. We would book 
again.Read moreReview collected in partnership with this hotelDate of stay: 
September 2019HelpfulShare</t>
  </si>
  <si>
    <t>https://www.tripadvisor.co.uk/Hotel_Review-g186338-d1812157-Reviews-or380-Travelodge_London_Waterloo_Hotel-London_England.html#REVIEWS</t>
  </si>
  <si>
    <t>https://www.tripadvisor.co.uk/Hotel_Review-g186338-d243667-Reviews-or710-Travelodge_London_Kings_Cross_Royal_Scot-London_England.html#REVIEWS</t>
  </si>
  <si>
    <t>Flyer15648858440 wrote a review Jun 2019Milton Keynes, United Kingdom1 
contribution</t>
  </si>
  <si>
    <t>Great locationComfortable room and bed, nice shower - the location was perfect my sister 
and I were getting an early morning train from Waterloo and its only 5 mins 
walk away so convenient. Its a high standard Travellodge and breakfast was 
niceRead moreReview collected in partnership with TravelodgeDate of stay: 
June 2019HelpfulShare</t>
  </si>
  <si>
    <t>jandjjames wrote a review Sep 2019Exeter, United Kingdom1 contribution</t>
  </si>
  <si>
    <t>69please wrote a review Jun 2019Truro, United Kingdom58 contributions17 
helpful votes</t>
  </si>
  <si>
    <t>Perfect!Just the base we needed to visit family in the area. The rate was excellent 
on a Sunday night, the room comfortable and quiet and the staff on duty 
friendly and attentive. The restaurant was nicer than we expected and 
breakfast excellent.Read moreReview collected in partnership with this 
hotelDate of stay: September 2019HelpfulShare</t>
  </si>
  <si>
    <t>Clean and tidy, well situatedWell situated, 5 minute walk from Waterloo station and the South Bank. 
Quiet, bedroom very clean and comfortable. Staff very friendly and 
efficient. You can put your bags in their storage room if you arrive early. 
Only negative thing soap dispensers were very hard to use. Bring your own 
soap liquid! We will come again!Read moreReview collected in partnership 
with TravelodgeDate of stay: June 2019HelpfulShare</t>
  </si>
  <si>
    <t>Deb J wrote a review Sep 2019Preston, United Kingdom109 contributions14 
helpful votes</t>
  </si>
  <si>
    <t>Amy wrote a review Jun 20191 contribution</t>
  </si>
  <si>
    <t>Bit tired, but great staff in good locationWe’ve stayed here before and knew it was not far from King’s Cross/St 
Pancras. There’s loads of places to eat nearby and you can eat at the 
Travelodge too. The breakfast is at best 7/10, but the Thai fish cakes I 
had for dinner were dry and almost chewy. Chips were good, both mine and my 
friend’s apple crumble pie was burnt at the edge. 3/10. The rooms are clean 
and comfortable. There was a bath in the bathroom which was a pleasant 
surprise, but no hairdryer. I think you can ask to borrow one, but that’s 
no good on the spur of the moment. Reception and the dining area are a bit 
tired looking, though the lifts have been done in the two years since I was 
last there. Room decor is basic, but fresh enough. Where the Royal Scot 
stands out is its staff. Everyone we met was…Read moreDate of stay: 
September 2019HelpfulShare</t>
  </si>
  <si>
    <t>FabulousHotel nice, clean and spacious. Room good, bathroom clean and fresh and the 
bed was comfy., breakfast really good with plenty of choice. The dinner was 
amazing and warm The staff were fantastic in special Ann. I would stay 
again ��Read moreDate of stay: June 2019HelpfulShare</t>
  </si>
  <si>
    <t>MLOfficial92 wrote a review Jun 2019Wroxall, United Kingdom22 
contributions3 helpful votes</t>
  </si>
  <si>
    <t>mirikiwi wrote a review Sep 2019Perth, Australia295 contributions48 helpful 
votes</t>
  </si>
  <si>
    <t>Really Amazing, Wonderful Weekend!I stayed with London Waterloo Travelodge for a weekend to see a friend. I 
normally stay at the same hotel, and again they didn't fail to impress. 
From the moment I checked in the service was incredible. The reception 
staff are always welcoming with a smile and always helpful. The 
bar/restaurant staff were brilliant and the bar man had a brilliant sense 
of humour, again made us feel very welcome. My room was probably the best 
yet, I've stayed four times now and the view from my room was fabulous. The 
cleaners do a wonderful job. I had a wonderful stay and obviously I'll be 
back back, Thank you everyone at London Waterloo TravelodgeRead moreDate of 
stay: June 2019HelpfulShare</t>
  </si>
  <si>
    <t>Good value good serviceWe choose this due to its proximity to a major rail line. The hotel is good 
value for money and the room was a good size with plenty of space for bags 
and a good wardrobe with an iron, fan etc provided. It was about an 800m 
walk to the main station which we didn't mind but may be a little far for 
some. The surrounding area was not really one you would want to spend time 
in, it was a little messy and not really much there in the way of 
restaurants/bars etc. The check in was very efficient and the staff were 
always friendly and pleasant. The breakfast is a good variety and although 
the room was always very busy the staff ensured the tables were cleared 
quickly so never a problem getting a seat. Would have been nice to have 
eggs other than powdered scrambled and better coffee…Read moreReview 
collected in partnership with TravelodgeDate of stay: September 
2019HelpfulShare</t>
  </si>
  <si>
    <t>Lucy M wrote a review Jun 20191 contribution</t>
  </si>
  <si>
    <t>https://www.tripadvisor.co.uk/Hotel_Review-g186338-d243667-Reviews-or715-Travelodge_London_Kings_Cross_Royal_Scot-London_England.html#REVIEWS</t>
  </si>
  <si>
    <t>Welcoming qnd friendlyGreat room, clean, well located hotel. The staff are super efficient and 
very friendly, espeically at breakfast Drahoslava went out of her way to 
help me find what i needed. Walking distance to nearly everywhereRead 
moreDate of stay: June 2019HelpfulShare</t>
  </si>
  <si>
    <t>Helen H wrote a review Sep 2019Northampton, United Kingdom14 contributions4 
helpful votes</t>
  </si>
  <si>
    <t>https://www.tripadvisor.co.uk/Hotel_Review-g186338-d1812157-Reviews-or385-Travelodge_London_Waterloo_Hotel-London_England.html#REVIEWS</t>
  </si>
  <si>
    <t>Lance K wrote a review Jun 2019Edinburgh, United Kingdom35 contributions35 
helpful votes</t>
  </si>
  <si>
    <t>Great value for money and great locationThe good bits are 1. Fantastic location, literally less than 5 minutes walk 
from Waterloo underground 2. Very clean room 3. Exceptionally quiet, 
especially at night. Unbelievable to think I was in central London 4. Great 
comfortable bed, when you get out your kip in the morning you have no aches 
and pains 5. Very friendly and professional staff. The bad bits 1. There 
really aren’t any, it genuinely ticks all my boxes. The coffee that’s left 
in the room wasn’t to my taste but so what. If it had had a fridge instead 
of a TV it would be perfect I’d stay here again in a instantRead moreDate 
of stay: June 2019HelpfulShare</t>
  </si>
  <si>
    <t>Don’t botherThe cheapest of my stay shouldn’t mean that I get a room with a dirty 
carpet and a bathroom which appeared to have been last updated sometime in 
the 70’s. Breakfast was cold &amp; manager invisible. Very poorRead moreDate of 
stay: September 2019HelpfulShareResponse from TravelodgeUK, Niki from The 
Social Media Team at Travelodge London Kings Cross Royal ScotResponded 23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</si>
  <si>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Trek12131481673 wrote a review Jun 2019Solihull, United Kingdom2 
contributions</t>
  </si>
  <si>
    <t>Excellent hotelExcellent hotel, good customer service allowed us in our room earlier than 
expected which gave us more time to see London. Room was clean and tidy 
with good facilities. The only one thing to moan about is my son does not 
drink tea or coffee so maybe some hot chocolate in the room would have been 
good. I have stayed at this hotel now three times and cannot fault it.Read 
moreDate of stay: June 2019HelpfulShare</t>
  </si>
  <si>
    <t>Jo B wrote a review Jun 2019Isle of Portland, United Kingdom22 
contributions4 helpful votes</t>
  </si>
  <si>
    <t>Sue P wrote a review Sep 2019Pomona, Australia48 contributions41 helpful 
votes</t>
  </si>
  <si>
    <t>Excellent stay!I treated my daughter to a weekend of sightseeing &amp; shopping. We stayed 
here as looked convenient &amp; well priced, was very pleased with what we 
found! Staff were great &amp; nothing was to much trouble for them, room was 
clean &amp; tidy, breakfast the next morning was plentiful &amp; a bargain for the 
price we paid, will definately stay again.Read moreDate of stay: June 
2019HelpfulShare</t>
  </si>
  <si>
    <t>Jan C wrote a review Jun 2019Alloa, United Kingdom15 contributions7 helpful 
votes</t>
  </si>
  <si>
    <t>Scruffy and expensiveBooked as seemed to be nearest hotel to Eurostar terminal . Only good thing 
about the place was the lift . Reception area looked ok but the rest was 
scruffy . I’m sorry words fail me to think of anything else to sayRead 
moreReview collected in partnership with TravelodgeDate of stay: September 
2019HelpfulShareResponse from TravelodgeUK, Niki from The Social Media Team 
at Travelodge London Kings Cross Royal ScotResponded 23 Sep 2019Thank you 
for your review of our London Kings Cross Royal Scot Travelodge and taking 
the time to share your experience with us. We're really sorry to learn of 
your disappointment with your overall stay. We want our customers to enjoy 
their experience in our hotels so we are sorry to learn that you did not 
receive our high standard of service on this occasion. We hope that there 
will be another occasion to welcome you as our guest in the future.Read more</t>
  </si>
  <si>
    <t>Kate S wrote a review Sep 201913 contributions1 helpful vote</t>
  </si>
  <si>
    <t>Good HotelWe were in London on a mini break for four nights and to go see Fleetwood 
Mac at Wembley. We decided on this Travelodge due to it's location and 
proximity to Waterloo underground (5 mins walk) where you can get to 
wherever else you want to go easily. It was a superior room which is bigger 
than the standard which suited us as had lots of space with a comfortable 
bed, a hairdryer, iron and board. The shower room was a bit on the small 
side but functional and both bedroom and shower room very clean. Although 
the hotel is in a central location there was no noise disturbance during 
the night during our four night stay. We got a good deal coming in around 
£360/four nights (excellent value for London!) There is a Tesco Express, 
Sainsburys and a few restaurants/cafes around the…Read moreDate of stay: 
June 20191 Helpful voteHelpfulShare</t>
  </si>
  <si>
    <t>Curious67276072147 wrote a review Jun 20191 contribution</t>
  </si>
  <si>
    <t>Great service, clean rooms excellent locationThis is a cheap hotel, which really good service, cheap rooms, comfy beds 
and a fantastic location. Really helpful staff and reasonably priced food 
and drinks. Would definitely stay again and recommend to othersRead 
moreDate of stay: September 2019HelpfulShare</t>
  </si>
  <si>
    <t>Smelly noisy dead birds outside windowSmelly, noisy, there were dead birds outside window, unable to open windows 
anyway, had to change hotel after one night, will not return, it was 
embarrassing. I don't really want to have to complete the required two 
hundred words but I will as I do not want anyone else to have to put up 
with this awfulness.Read moreReview collected in partnership with 
TravelodgeDate of stay: June 2019HelpfulShareResponse from TravelodgeUK, 
Shaf from the Social Media Team. at Travelodge London Waterloo 
HotelResponded 19 Jun 2019Thank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</si>
  <si>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https://www.tripadvisor.co.uk/Hotel_Review-g186338-d243667-Reviews-or720-Travelodge_London_Kings_Cross_Royal_Scot-London_England.html#REVIEWS</t>
  </si>
  <si>
    <t>https://www.tripadvisor.co.uk/Hotel_Review-g186338-d1812157-Reviews-or390-Travelodge_London_Waterloo_Hotel-London_England.html#REVIEWS</t>
  </si>
  <si>
    <t>Lyn wrote a review Sep 201914 contributions1 helpful vote</t>
  </si>
  <si>
    <t>Interested1328 wrote a review Jun 2019England166 contributions94 helpful 
votes</t>
  </si>
  <si>
    <t>Just checked in - want to leaveBeware if you book ( or in my case of work books you ) a twin room , they 
are all accessible rooms This means that the mattress is almost on the 
floor There is a large empty space in the room and the bathroom is suitable 
for a wheelchair Unfortunately this chain must think that disabled people 
or nondisabled using the room appreciate a “ prison cell look “ Was looking 
forward to a relaxing evening - now can’t wait to leave Apparently hotel 
full and room cant be changedRead moreDate of stay: June 20191 Helpful 
voteHelpfulShareResponse from TravelodgeUK, Shaf rom the Social Media Team. 
at Travelodge London Waterloo HotelResponded 18 Jun 2019Thank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</si>
  <si>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PoorThis hotel is worse than a hostel. Staff was decent but everthing else was 
filthy I did not expect much but this was a whole new level of bad. It was 
far from a relaxing room. Had to think twice to use the bath as i did not 
have any slippers. Breakfast was awful everything on there was of poor 
quality.Read moreDate of stay: September 2019HelpfulShareResponse from 
TravelodgeUK, Shaf from the Social Media Team. at Travelodge London Kings 
Cross Royal ScotResponded 19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</si>
  <si>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Gary C wrote a review Jun 2019Leeds, United Kingdom159 contributions26 
helpful votes</t>
  </si>
  <si>
    <t>Ann wrote a review Sep 20198 contributions</t>
  </si>
  <si>
    <t>It does the job.What can I say. A clean room, friendly staff, convenient location. It's a 5 
minute walk from Waterloo. You get what you pay for. Amazing breakfast. All 
you can eat buffet. Lovely. Will stay there again.Read moreDate of stay: 
June 2019HelpfulShare</t>
  </si>
  <si>
    <t>peeushanand wrote a review Jun 2019Gurugram (Gurgaon), India79 
contributions29 helpful votes</t>
  </si>
  <si>
    <t>Great Value RoomsDon't forget to take note on your hotel's name as stated in your booking as 
there are two Travelodge located in the same area! I stayed for 2 nights, 
during September 2019. Considering the price paid for the room, the room 
condition overall is pretty decent. The bathroom is a bit small, there's a 
bath tub in it, but for a petite like me - I'm fine with it. They provided 
kettle in the room, coffee and tea. Bed, pillows are just nice, I slept 
well. Again, you can't compare the room to a 4 or 5 star hotel. Unless 
you're planning to hibernate yourself the whole day in the room with a 
comfier bed and pillows maybe you can consider to book another hotel. (Like 
DUDE who travels to London just to hibernate in the hotel room?! Unless 
you're rich, then you shouldn't be reading this :p)…Read moreDate of stay: 
September 2019HelpfulShare</t>
  </si>
  <si>
    <t>Srh28 wrote a review Sep 201928 contributions8 helpful votes</t>
  </si>
  <si>
    <t>Highly priced no amenities. AvoidWe booked this hotel on recommendations of our british friends but were 
sorely disappointed. The hotel is located near Waterloo station with easy 
access to central london by underground. It's walkable distance from London 
eye, sea life aquarium &amp; Westminster bridge. So location is perfect. The 
room size was good for 3 person with a double bed &amp; a folding bed. The wash 
room was very small. Two towels, hand wash &amp; shower gel. No phone, no room 
service, no restaurant, no wifi. You've to go to the reception of even an 
iron. No extra water, no extra supply for tea &amp; coffee maker. At £151 per 
day it was not worth. We got a similar room in Paddington at much lower 
cost. So I won't recommend it to anybody. Find a better room in Paddington 
or Kensington area at 30% less cost.Read moreDate of stay: May 
2019HelpfulShareResponse from TravelodgeUK, Niki from The Social Media Team 
at Travelodge London Waterloo HotelResponded 17 Jun 2019Thank you for your 
review. We are so happy to hear that you were pleased with the location of 
the hotel and that you found your room to be spacious. We feel that we 
offer all that is needed for a comfortable night’s stay. We do not provide 
extras which other hotels may provide so we can keep our room rates low 
however we understand your frustration and we are sorry that you did not 
enjoy your stay with us. Your feedback has been noted and we thank you once 
again for reviewing our hotel. We do hope you will stay with us in the 
future.Read more</t>
  </si>
  <si>
    <t>NBeal wrote a review Jun 20191 contribution</t>
  </si>
  <si>
    <t>Reservation for work visitThis is by far the most run down hotel I have stayed at in many years, and 
quite honestly if I had been paying for this myself I would have refused to 
stay and moved elsewhere. For a budget hotel it was not particularly cheap 
approx £150 and in truth any of the premier Inn hotels I have stayed at in 
London would put this hotel to shame. The staff are ok, but nowhere near as 
friendly or as well trained as the Premier Inn brand, the main problem with 
this hotel is the very obvious lack of investment for a very....very long 
time, particularly the bedrooms. Breakfast was OK, usual choice but it was 
very hit and miss which parts of the full english buffet were available at 
any time, so it was virtually impossible to have the full choice at any one 
given time. My advice - Only use…Read moreDate of stay: September 
2019HelpfulShareResponse from TravelodgeUK, Shaf from the Social Media 
Team. at Travelodge London Kings Cross Royal ScotResponded 19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</si>
  <si>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Great stay...Had a great stay with my friends June 2019. Room was very clean and tidy. 
Bed was very comfortable. Breakfast was great. Checkout time was midday 
which is also helpful, not too early. 24hr bar and food was also a bit of a 
result when we got in late!Read moreDate of stay: June 2019HelpfulShare</t>
  </si>
  <si>
    <t>702juneb wrote a review Jun 20198 contributions2 helpful votes</t>
  </si>
  <si>
    <t>Good location, comfortable hotelThe Hotel has been refurbished, is comfortable, clean, modern with friendly 
helpful staff. I had no problem with the wifi on the 8th floor but had had 
a problem last year staying on the third floor. The location is excellent 
within walking distance of Waterloo staion and tube and bus links to the 
city.Read moreReview collected in partnership with TravelodgeDate of stay: 
June 2019HelpfulShare</t>
  </si>
  <si>
    <t>https://www.tripadvisor.co.uk/Hotel_Review-g186338-d243667-Reviews-or725-Travelodge_London_Kings_Cross_Royal_Scot-London_England.html#REVIEWS</t>
  </si>
  <si>
    <t>420Beth wrote a review Sep 2019Stafford, United Kingdom11 contributions30 
helpful votes</t>
  </si>
  <si>
    <t>https://www.tripadvisor.co.uk/Hotel_Review-g186338-d1812157-Reviews-or395-Travelodge_London_Waterloo_Hotel-London_England.html#REVIEWS</t>
  </si>
  <si>
    <t>Basic, good valueStayed 1 night with 2 friends on overnight trip to London. Hotel is about 
10 mins from Kings Cross station. There are 2 Travel Lodge's in Kingscross 
so makesure you go to the correct one although they are only 5 mins from 
each other. Hotel lobby and bar area are modern but then rest of the 
building is dated. We seems to have the furthest room from reception (2nd 
floor, along very long corridor which had significant downhill gradient in 
it and then down tall set of spiral stairs - elderly guests or those not 
great on their feet wouldn't have managed it). The windows are original 
wooden (peeling paint and thin glass ) sash windows with sliding ones added 
on top. I doubt the building is listed as its not old enough so I dont know 
why they dont replace with good PVC ones. We were…Read moreDate of stay: 
September 2019HelpfulShareResponse from TravelodgeUK, Zack from The Social 
Media Team at Travelodge London Kings Cross Royal ScotResponded 19 Sep 
2019Thank you for your review of our London Kings Cross Royal Scot hotel. 
We are pleased to hear that you had an overall positive stay in our hotel 
It is our aim to provide an enjoyable stay to all of our guests, and 
feedback like yours is always a pleasure to receive. Thanks again for 
taking the time to submit your review, we hope to welcome you back to stay 
with us again in the near future.Read more</t>
  </si>
  <si>
    <t>Elizabeth T wrote a review Jun 2019Sherborne, United Kingdom36 
contributions4 helpful votes</t>
  </si>
  <si>
    <t>harryhuscroft wrote a review Sep 2019Peterborough, United Kingdom1 
contribution</t>
  </si>
  <si>
    <t>Stay at the Travelodge, WaterlooWe were going to a dinner in London so said just wanted a bed. It was 
perfect for that. I think £9.50 is a lot for breakfast - we didn't have 
any, but all in all a great experience. We would have liked a bar in the 
room. We had paid over £150 so thought it might be a good idea.Read 
moreReview collected in partnership with TravelodgeDate of stay: June 
2019HelpfulShare</t>
  </si>
  <si>
    <t>HorrendousThe room was horrendous. Not worth £174 at all. I could not believe how run 
down the room was. It was disgusting. Had so many faults. Cracks in the 
walls peeling wallpaper. Horrible smell throughout the hallwayRead 
moreReview collected in partnership with this hotelDate of stay: September 
2019HelpfulShareResponse from TravelodgeUK, Shaf from the Social Media Team 
at Travelodge London Kings Cross Royal ScotResponded 19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</si>
  <si>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Theresa D wrote a review Jun 201915 contributions16 helpful votes</t>
  </si>
  <si>
    <t>Joeske K wrote a review Sep 2019Helmond, The Netherlands42 contributions4 
helpful votes</t>
  </si>
  <si>
    <t>Great FindBooked this hotel to be near to Waterloo and location was perfect; a quick 
4 minute walk. I booked a super room which was huge. The bed was comfy and 
the room was clean and quiet. Couldn’t ask for more really for 1 night away 
with work. TIP: Fantastic sit down chip shop next door, just what was 
needed after a long day.Read moreDate of stay: June 20191 Helpful 
voteHelpfulShare</t>
  </si>
  <si>
    <t>Short 6 day stay with my Son.The room was great and clean. The staff, also at the front desk, was 
superfriendly, but busy because it is always busy at the hotel. But they 
try to take the time for you. And there is always security in the evening/ 
night, so you are very safe there. This hotel is a 15 minut walk of Kings 
Cross International station, where also the tube is and trains and buses. 
Further it's very central for evrything you want to do.Read moreDate of 
stay: September 2019HelpfulShare</t>
  </si>
  <si>
    <t>https://www.tripadvisor.co.uk/Hotel_Review-g186338-d1812157-Reviews-or400-Travelodge_London_Waterloo_Hotel-London_England.html#REVIEWS</t>
  </si>
  <si>
    <t>https://www.tripadvisor.co.uk/Hotel_Review-g186338-d243667-Reviews-or730-Travelodge_London_Kings_Cross_Royal_Scot-London_England.html#REVIEWS</t>
  </si>
  <si>
    <t>David D wrote a review Jun 2019Thirsk, United Kingdom4 contributions</t>
  </si>
  <si>
    <t>RobinEaston wrote a review Sep 2019Bishop Auckland, United Kingdom54 
contributions16 helpful votes</t>
  </si>
  <si>
    <t>Four Night StayStayed here many times before and always found the staff, facilities and 
location first class. We could walk to the London Eye in 15 mins, Waterloo 
station in just over 5. The Old Vic Theatre is only about 100 metres away 
and there is also a good selection of restaurants in the vicinity. We used 
TAS, a Turkish restaurant, which was excellent as usual. Recommend paying a 
little extra for a Superoom.Read moreReview collected in partnership with 
TravelodgeDate of stay: May 2019HelpfulShare</t>
  </si>
  <si>
    <t>Handy for Kings Cross &amp; St. PancrasStayed here again prior to a Arena Rail holiday in Europe, but tried the 
other Kings Cross Travelodge upon return. The Royal Scot is only a 7-8 
minute walk, though the Kings Cross one is more or less just across the 
road from the Station. The rooms are fairly similar, though we had a room 
on our return overlooking an open part of the Underground so it was rather 
noisier at the Kings Cross hotel. So if you prefer a quieter night, chose 
the Royal Scot!Read moreDate of stay: September 2019HelpfulShareResponse 
from TravelodgeUK, Shaf from the Social Media Team. at Travelodge London 
Kings Cross Royal ScotResponded 18 Sep 2019Thank you for reviewing our 
London Kings Cross Royal Scot Travelodge. We're really sorry to learn if 
your stay was affected by the external noise. Feedback is invaluable and 
our Hotel Managers regularly review their TripAdvisor reviews in order to 
fix any issues raised and pass on feedback to their team. Thank you once 
again and we do hope you will stay with us in the future.Read more</t>
  </si>
  <si>
    <t>robineas2n wrote a review Sep 2019Durham, United Kingdom1 contribution</t>
  </si>
  <si>
    <t>janesullivan4 wrote a review Jun 2019kent.uk7 contributions3 helpful votes</t>
  </si>
  <si>
    <t>OvernighterNeeding to stay overnight in London before a Eurostar trip, this is within 
reasonable walking distance of St Pancras and Kings Cross Station. We have 
stayed before and its quieter than the other Travelodge at Kings Cross 
(which has underground trains funning 'underneath it - though a shorter 
walk!), Ate there in the evening.. Again OK as long as your expectations 
are not too high. Its all about convenience rather than looking anything 
else.Read moreReview collected in partnership with this hotelDate of stay: 
September 2019HelpfulShare</t>
  </si>
  <si>
    <t>Fantastic hotelLovely hotel , fabulous breakfast and staff were the the friendliest I’ve 
come across in a hotel ! Will be back , had a good nights sleep , could not 
find fault with anything or anyone at this hotel ! Would give this hotel 
and its staff 5 stars ⭐️Read moreDate of stay: June 2019HelpfulShare</t>
  </si>
  <si>
    <t>Willtravel wrote a review Jun 2019Welwyn, United Kingdom19 contributions3 
helpful votes</t>
  </si>
  <si>
    <t>27ivor wrote a review Sep 2019Poole, United Kingdom61 contributions8 
helpful votes</t>
  </si>
  <si>
    <t>Great accomodation for a night out in LondonStayed here for just one night after a night out in Soho, London. Good room 
standard, comfortable bed and well furnished. Breakfast fine with a good 
amount of choice and bright welcoming cafe/bar. Big screen to watch sports. 
Not far from Waterloo station and tube. Fairly easy to find and close to 
many bars and restaurants. Would recommend for a central location but 
cheaper than around Oxford Street and parts of the City/ShoreditchRead 
moreDate of stay: June 2019HelpfulShare</t>
  </si>
  <si>
    <t>https://www.tripadvisor.co.uk/Hotel_Review-g186338-d1812157-Reviews-or405-Travelodge_London_Waterloo_Hotel-London_England.html#REVIEWS</t>
  </si>
  <si>
    <t>Friendly staff. Hotel room very tired lookingStayed here overnight on a Saturday. Booked in a small family room . Which 
like most of travelodge is a pull out bed and appears to offer little extra 
space to a standard room. Early check in no problem and staff very 
friendly. The room was very poor value. It was expensive for what it was 
and that is a very tired room. The windows are single glazed with a sliding 
‘double glaze’ window and opens a couple of inches. There is noise from 
road traffic, sirens etc. No evidence of soundproofing as could hear other 
guests all night. There was paint peeling off the ceilings in both the 
bedroom and bathroom, peeling wallpaper, badly filled holes in the walls 
and bare paintwork in the bathroom. The main issue is the inconsistency of 
the rooms when booking a travelodge . The prices…Read moreDate of stay: 
September 2019HelpfulShareResponse from TravelodgeUK, Zack from The Social 
Media Team at Travelodge London Kings Cross Royal ScotResponded 17 Sep 
2019Thank you for reviewing our London Kings Cross Royal Scot hotel. We are 
pleased to hear that our staff were friendly during your stay and that your 
early check in was done without hassle. We are sorry to hear of your 
disappointment with our room maintenance, that there was paint peeling from 
the walls and your disappointment with the soundproofing in our rooms. We 
will be sure to pass your feedback on to the relevant department within our 
support centre to be looked into so we are able to improve the service we 
offer to our guests. Thank you again for your response, and we hope we are 
able to welcome you back to stay again soon.Read more</t>
  </si>
  <si>
    <t>Passenger53942135114 wrote a review Jun 20191 contribution</t>
  </si>
  <si>
    <t>bondgirl44dd wrote a review Sep 2019Barnsley, United Kingdom416 
contributions127 helpful votes</t>
  </si>
  <si>
    <t>Move on - you can do betterDespite this Travelodge claiming to have undergone a million pound 
refurbishment, the hotel varied from poor to adequate. Rooms on one half of 
the hotel are ridiculously small, with windows that are 18 inches wide 
(beware of those ending in an odd number). The rooms on the other side are 
still narrow, but of an adequate size. Everything about the rooms is pretty 
basic - it's like the Pound Saver of hotels. It's not unclean (although the 
hallways on the fifth floor had a bad smell to them), the service was fine 
(nothing bad nor exceptional), and the location is very good. But you can 
do better and it's certainly overpriced for what you get.Read moreDate of 
stay: June 2019HelpfulShareResponse from TravelodgeUK, Molly from the 
Social Media Team at Travelodge London Waterloo HotelResponded 11 Jun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</si>
  <si>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Great value for money at the weekendStayed here as visiting proms in the park. Not far from Kings cross 
station.Felt safe in the area even at night time. Friendly staff on 
arrival.Found a fan which was reat to cool us down on our return that 
eveningRead moreReview collected in partnership with TravelodgeDate of 
stay: September 2019HelpfulShare</t>
  </si>
  <si>
    <t>Hollymay13 wrote a review Jun 2019Ireland61 contributions25 helpful votes</t>
  </si>
  <si>
    <t>https://www.tripadvisor.co.uk/Hotel_Review-g186338-d243667-Reviews-or735-Travelodge_London_Kings_Cross_Royal_Scot-London_England.html#REVIEWS</t>
  </si>
  <si>
    <t>"Had a pleasant stay"Stayed in this hotel for three nights , There were three of us adults 
sharing a family room .Rooms are comfortable and spacious with electric 
kettle and TV .Hotel is good location not too noisy had a good nights sleep 
. There are plenty of little cafes and bars in the area. Would return to 
this hotel .Read moreDate of stay: May 2019HelpfulShare</t>
  </si>
  <si>
    <t>David J wrote a review Sep 2019Newcastle upon Tyne, England, United 
Kingdom14 contributions29 helpful votes</t>
  </si>
  <si>
    <t>Jackie L wrote a review Jun 2019Dorchester, United Kingdom4 contributions3 
helpful votes</t>
  </si>
  <si>
    <t>London tripHandy Travel Lodge for visiting London attractions. 10min walk from Kings 
cross Station. Various bus routes. Ten minutes into London by Tube. 
Restaurant and Bar. Good breakfast. Book early for best rate as prices go 
up and downRead moreReview collected in partnership with this hotelDate of 
stay: September 2019HelpfulShare</t>
  </si>
  <si>
    <t>Central locationThis Travelodge was a short walk to the London Eye, dungeons, aquarium and 
shreks adventures, however, the hotel could have a taxi waiting outside in 
3 minutes if needed. Clean and comfortable but bring your own hairdryer as 
these aren’t in all rooms.Read moreReview collected in partnership with 
TravelodgeDate of stay: June 2019HelpfulShare</t>
  </si>
  <si>
    <t>Paul S wrote a review Sep 20191 contribution</t>
  </si>
  <si>
    <t>AverageThe staff were welcoming and friendly, apart from the barman who clearly 
didn't want to be there on Saturday night. The rooms where clean but the 
shower was awful. Friday morning i decided to go for a breakfast, that was 
the worst part of the weekend. I went for the English and it was terrible, 
apart from that the hotel was fine.Read moreReview collected in partnership 
with this hotelDate of stay: September 2019HelpfulShare</t>
  </si>
  <si>
    <t>Liz O wrote a review Sep 2019Horsham, United Kingdom38 contributions13 
helpful votes</t>
  </si>
  <si>
    <t>Second visit this year- more than happy with value for moneyBack again. Still Faulty Towers ish. Not the staff but the building and 
equipment. The staff put themselves out time and time again. Very 
responsive to change and problems. - THANK YOU GUYS AND GIRLS&gt; My room was 
great. Breakfast could be better but fair value. Thank you Hopefully see 
you again. xRead moreDate of stay: September 2019HelpfulShare</t>
  </si>
  <si>
    <t>https://www.tripadvisor.co.uk/Hotel_Review-g186338-d1812157-Reviews-or410-Travelodge_London_Waterloo_Hotel-London_England.html#REVIEWS</t>
  </si>
  <si>
    <t>Colin K wrote a review Jun 201912 contributions1 helpful vote</t>
  </si>
  <si>
    <t>65728 wrote a review Sep 2019Nottingham, United Kingdom2 contributions3 
helpful votes</t>
  </si>
  <si>
    <t>superModern hotel very clean great location tube station just down the road , 
rooom was a good size very clean airconditioned, super comfy bed, friendly 
helpful staff, great breakfast lots to choose from hot and cold A** all 
round.Read moreDate of stay: May 2019HelpfulShare</t>
  </si>
  <si>
    <t>ScannableJam wrote a review Jun 2019Sherborne, United Kingdom12 
contributions5 helpful votes</t>
  </si>
  <si>
    <t>Cheap and convenient but noisyAny hotel in London will be expensive so this was really good value for 
money at £49 for one night. However it was very noisy with other residents 
coming in through the night to about 4am and banging doors shouting etc. 
The hotel can do little about this but some prominent notices asking people 
to be considerate might help. Also the mattress had collapsed on one side. 
We did not raise this with the hotel as it was late when I discovered it 
and I needed to go to bed for an early start. It would however be obvious 
to anyone making up the bed.Read moreReview collected in partnership with 
TravelodgeDate of stay: September 2019HelpfulShareResponse from 
TravelodgeUK, Ben from the Social Media Team at Travelodge London Kings 
Cross Royal ScotResponded 16 Sep 2019Thank you for taking the time to write 
a review about our London Kings Cross Royal Scot hotel. We're pleased to 
hear that you liked the hotels location and found your stay to be good 
value however we are sorry to learn that you were disturbed by noise from 
other guests and of the problems with the mattress. If customers are 
causing noise that may disrupt other guests our hotel teams will ensure 
that they politely ask them to lower the noise levels. We strive to make 
our customers as comfortable as possible and we would like to apologise if 
on this occasion we were not able to offer you a good night's sleep. We 
appreciate all the feedback we receive and our Hotel Managers regularly 
review their TripAdvisor reviews in order to fix any issues raised and pass 
on feedback to their team. Thank you once again and we do hope you will 
stay with us in the future.Read more</t>
  </si>
  <si>
    <t>AverageComfortable and decent breakfast. Nice and quiet. But the two bottle tops 
left on the floor by previous occupants when I arrived hadn’t been cleared 
by the time I left two days later. The toilet seat was warped and the soap 
dispenser didn’t work. There was a spare mattress randomly on the floor 
even though I was travelling on my own.Read moreDate of stay: June 
2019HelpfulShare</t>
  </si>
  <si>
    <t>noblesness wrote a review Jun 2019Chester, United Kingdom213 
contributions60 helpful votes</t>
  </si>
  <si>
    <t>https://www.tripadvisor.co.uk/Hotel_Review-g186338-d243667-Reviews-or740-Travelodge_London_Kings_Cross_Royal_Scot-London_England.html#REVIEWS</t>
  </si>
  <si>
    <t>Relax23660855279 wrote a review Sep 20195 contributions1 helpful vote</t>
  </si>
  <si>
    <t>Convenient location &amp; pleasant staffI have stayed at this particular Travelodge on a number of occasions &amp; I 
have always found the staff friendly &amp; helpful. The hotel is a short walk 
from Waterloo Station &amp; Tube which is convenient for travel around London &amp; 
beyond. There are a number of nice bars &amp; restaurants in the area. The 
hotel has a good sized bar which serves an okay selection of food at 
reasonable prices. They have a deal on for about £12 for two dishes - which 
helps when you are on a budget from work. The pizza was good &amp; the pudding 
excellent. The rooms have all been very clean &amp; of a good size - 
particularly for London. In fact huge compared to many other hotel rooms in 
London! Great air conditioning. I stay in a Superoom - so I get to enjoy 
the kitkats &amp; coffee machine. Would recommend &amp;…Read moreDate of stay: May 
2019HelpfulShare</t>
  </si>
  <si>
    <t>Jamie T wrote a review Jun 201914 contributions</t>
  </si>
  <si>
    <t>London breakStayed at this hotel befor...it’s in an ideal location...not in the centre 
of things but that’s why we like it..walking distance to any bus we needed 
to do our sightseeing and theatre...the rooms are excellent very 
comfortable..breakfast is great value for money and all you can eat too. 
Will definitely be going back for third time .Read moreReview collected in 
partnership with TravelodgeDate of stay: September 2019HelpfulShare</t>
  </si>
  <si>
    <t>https://www.tripadvisor.co.uk/Hotel_Review-g186338-d1812157-Reviews-or495</t>
  </si>
  <si>
    <t>Great stay, friendly staff, clean rooms, very competitive price. I make 
this my go to hotel.Great service in the restaurant from Lindsay and Simen, room is as 
expected, nothing more and nothing less. Always on par with my expectations 
and never any issues at all. Very welcoming group of staff.Read moreDate of 
stay: June 2019HelpfulShare</t>
  </si>
  <si>
    <t>billt112018 wrote a review Sep 2019York, United Kingdom33 contributions8 
helpful votes</t>
  </si>
  <si>
    <t>mahound29 wrote a review Jun 2019Monmouthshire, United Kingdom66 
contributions34 helpful votes</t>
  </si>
  <si>
    <t>Travelodge heavenI am actually rejoicing from my bed as I can plug in my phone next to me 
unlike the Southwark travelodge near by. This place is so much better that 
Southwark! I actually feel deceived for the last 6 months I have spent 
there. The room is smaller but fresh and the shower is hot!Read moreDate of 
stay: June 2019HelpfulShare</t>
  </si>
  <si>
    <t>Poor service and overpricedThe only redeeming factor of this visit was the hotels location, being 
close to Kings Cross Station. The corridors were littered with used towels, 
there was no hot water in the shower and the bar staff really shouldn’t be 
employed in the hospitality industry.Read moreReview collected in 
partnership with TravelodgeDate of stay: September 2019HelpfulShareResponse 
from TravelodgeUK, James from the Social Media Team at Travelodge London 
Kings Cross Royal ScotResponded 15 Sep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</si>
  <si>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Mike Etchingham wrote a review Sep 20192 contributions</t>
  </si>
  <si>
    <t>https://www.tripadvisor.co.uk/Hotel_Review-g186338-d1812157-Reviews-or415-Travelodge_London_Waterloo_Hotel-London_England.html#REVIEWS</t>
  </si>
  <si>
    <t>sbhill2016 wrote a review Jun 2019Penryn, United Kingdom4 contributions1 
helpful vote</t>
  </si>
  <si>
    <t>Avoid the basement!It's a Travelodge, so expectations weren't sky high, but I did hope for a 
better standard than this. I was allocated one of their 'millennial' rooms 
which sounded like an upgrade.....read on! These rooms, whilst being on the 
second floor, are semi-basement level given that the hotel is on a hill. 
Issues included a musty, damp smell in stair lobby, dark accommodation 
because the rooms front directly onto the pavement and so curtains have to 
be closed, no aircon so the window must be open and road / pavement noise 
is an issue if you want to sleep! The paid WiFi service didn't work and 
most TV channels were pixelated and had a poor signal. The toilet seat was 
hanging off and the shower hose sprayed water in all directions other than 
towards the shower head! There was no phone…Read moreReview collected in 
partnership with TravelodgeDate of stay: September 2019HelpfulShareResponse 
from TravelodgeUK, Zack from The Social Media Team at Travelodge London 
Kings Cross Royal ScotResponded 15 Sep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</si>
  <si>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A warm friendly placeAfter a long day travelling I was at the reception of the travel with a 
very pleasant lady with a welcoming smile And warm friendly welcome The 
room was clean and fresh The bar staff friendly And the food was delicious 
All in all this travel was very impressive to some others I have stayed in 
They definitely have the upper edge I would recommend Waterloo central 
travel to any one Well done.Read moreDate of stay: June 2019HelpfulShare</t>
  </si>
  <si>
    <t>https://www.tripadvisor.co.uk/Hotel_Review-g186338-d243667-Reviews-or745-Travelodge_London_Kings_Cross_Royal_Scot-London_England.html#REVIEWS</t>
  </si>
  <si>
    <t>Brendan wrote a review Sep 2019Chesterfield, United Kingdom36 
contributions2 helpful votes</t>
  </si>
  <si>
    <t>Happy2go_lucky wrote a review Jun 2019Chesterton, United Kingdom31 
contributions36 helpful votes</t>
  </si>
  <si>
    <t>Good for locationIf you're only stopping off on a longer journey and need to be close to ST 
Pancras this is in a good location. The staff are really friendly but the 
rooms are dated and it can be very loud given the area.Read moreDate of 
stay: September 2019HelpfulShareResponse from TravelodgeUK, Zack from The 
Social Media Team at Travelodge London Kings Cross Royal ScotResponded 12 
Sep 2019Thank you for taking the time to write a review of our London Kings 
Cross Royal Scot hotel. We are pleased to hear that the location was good 
for the needs of your stay and that our staff provided friendly service 
during your stay, however we are disappointed to hear that you feel that 
our rooms are dated and that noise can sometimes be a problem. Our more 
central locations may be noisier however to ensure our guests are 
comfortable we do provide double glazing and we try to work with the local 
areas and communities. It is regrettable to hear this was not enough to 
guarantee a good night stay for you.. Your feedback is very important to us 
as it is the starting point we use to act on improvements and we thank you 
for taking the time to share your experience.Read more</t>
  </si>
  <si>
    <t>Well located Hotel with helpful and friendly staff.Situated on the Southbank of the river Thames just a short walk from 
Waterloo station and Westminster the hotel is in an ideal spot for touring 
London. The hotel staff were excellent from the minute I walked through the 
door to leaving ,I really cannot praise them more highly especially a lady 
in the resturant who was oustanding with the young children having there 
meals. The hotel is relitavely new all rooms are spacey with a comfortable 
bed the only minor gripe I would have, if your on a longer stay more than a 
couple of days there is a lack of space for clothing to be stored. 
Breakfast is satisfactory with plenty of choice and the main meal menu has 
been expanded and is value for money. There are plenty of resturants and 
street food outlets all around this area so your not…Read moreDate of stay: 
May 2019HelpfulShare</t>
  </si>
  <si>
    <t>Megan M wrote a review Sep 2019McLean, Virginia3 contributions1 helpful vote</t>
  </si>
  <si>
    <t>Horrible, Run-Down, Loud StayThe staff was nice, but the hotel itself was gross. Yes, the sheets were 
clean and bed comfortable, but the windows were old and the doors/hallways 
had no insulation so you could hear every person walking and having 
conversations in the hallway. The doors didn't close all the way unless you 
pushed the lock in right before, and slammed it (which could also be heard 
throughout the entire hallway/floor). The staff kept the place as clean as 
they could, but the carpet in the room had bleach stains all over and very 
clearly needed to be replaced. We didn't eat at the hotel because all of 
the appliances were run down and the place looked grungy because of it. I 
love the idea of the shampoo and soap dispensers instead of single use, but 
we had to 'fix' our shampoo dispenser every…Read moreReview collected in 
partnership with TravelodgeDate of stay: September 2019HelpfulShareResponse 
from TravelodgeUK, Tilly from The Social Media Team at Travelodge London 
Kings Cross Royal ScotResponded 4 Oct 2019Many thanks for submitting your 
review of our London Kings Cross Royal Scot hotel. We understand that your 
overall experience was not exceptional and we do apologise for this. We'll 
be sure to pass your valuable feedback directly to our colleagues in our 
hotel as this is the best way for us to improve the service we offer. Thank 
you again for your review.Read more</t>
  </si>
  <si>
    <t>https://www.tripadvisor.co.uk/Hotel_Review-g186338-d1812157-Reviews-or420-Travelodge_London_Waterloo_Hotel-London_England.html#REVIEWS</t>
  </si>
  <si>
    <t>S B wrote a review Jun 2019Uk South Coast35 contributions34 helpful votes</t>
  </si>
  <si>
    <t>SohoTraveller wrote a review Sep 2019London, United Kingdom70 
contributions36 helpful votes</t>
  </si>
  <si>
    <t>Suprisingly better than expected!Normally stay at Premier Inn or similar but could not find one close enough 
to where I was going and the travel lodge came up. My experience of old and 
expectation was only basic but I was pleasantly suprised. This hotel looks 
like the rooms have recently been updated and it was a nice change. The 
bathrooms are still too basic but hey that's how they are (shame!) We 
didn't eat here purely because the choice, quality and price very locally 
were a better option. The 3pm check-in is too late though and does need 
reviewing.Read moreReview collected in partnership with TravelodgeDate of 
stay: May 2019HelpfulShare</t>
  </si>
  <si>
    <t>Good price but you get what you pay for. Feels a bit like a hostel in 
communal areas.Lovely staff - very helpful but once in the core of the hotel it looks a 
little tired. My room had a repaired cracked sink and very bad paintwork. 
Not cleaned properly but sheets ok. Don’t ask for a single or twin room the 
beds are FAR too narrow and hard/high and I fell out and woke myself up In 
the night - i think it’s the same price for a double bed room so make sure 
you book one of thoseRead moreReview collected in partnership with 
TravelodgeDate of stay: September 2019HelpfulShare</t>
  </si>
  <si>
    <t>TCarter14 wrote a review Jun 2019Newcastle upon Tyne, United Kingdom55 
contributions19 helpful votes</t>
  </si>
  <si>
    <t>Fairly Good Hotel (after check-in issues were resolved)Arrived in the evening, it took around 10 - 15 minutes for the staff to 
find our double rooms. Once we eventually got into the room we found that 
both rooms were twins - they had made up two single beds and pushed them 
together. Went back down to reception to mention that I had booked a double 
room, (also found out that the other room we were given was setup the same 
way). They had to go and check with their manager to try and find double 
rooms, eventually asked to go and take a seat. Around 20 minutes later we 
were finally given keys to our room. If we had known we were going to have 
to wait that long then I would have gone and sat in the bar (or they could 
have at least offered us a drink for the inconvenience). Eventually got 
into our rooms and all fine, but an hours wait,…Read moreDate of stay: May 
2019HelpfulShare</t>
  </si>
  <si>
    <t>https://www.tripadvisor.co.uk/Hotel_Review-g186338-d243667-Reviews-or750-Travelodge_London_Kings_Cross_Royal_Scot-London_England.html#REVIEWS</t>
  </si>
  <si>
    <t>darryl420 wrote a review Sep 20191 contribution</t>
  </si>
  <si>
    <t>Venture33446612234 wrote a review Jun 20191 contribution</t>
  </si>
  <si>
    <t>OK stayThe stay was OK, nothing amazing. The font of hose staff were very friendly 
and efficient. the room, was a little sterile and tiered though. Terrible 
shower/shower curtain arrangements meaning you spend most your shower time 
trying to unpick the curtain form sticking to your body. The rooms are just 
a little bland/ lacking in colour and personality, and a little 
used/old/tiered in place. But overall an Ok stay.Read moreReview collected 
in partnership with this hotelDate of stay: September 2019HelpfulShare</t>
  </si>
  <si>
    <t>Excellent location. Friendly helpful staffComfy basic rooms. Great location. Staff helpful and friendly. My daughter 
was unwell on check out and reception let us stay in room until she felt 
better Nice fresh breakfast. Clean rooms. Would stay again. London eye was 
our bedroom viewRead moreReview collected in partnership with 
TravelodgeDate of stay: May 2019HelpfulShare</t>
  </si>
  <si>
    <t>Richard186466 wrote a review Sep 2019Swansea, United Kingdom128 
contributions54 helpful votes</t>
  </si>
  <si>
    <t>https://www.tripadvisor.co.uk/Hotel_Review-g186338-d1812157-Reviews-or425-Travelodge_London_Waterloo_Hotel-London_England.html#REVIEWS</t>
  </si>
  <si>
    <t>Poor AccommodationStated two nights over three week period. First night good accommodation 
nice room. Second night very poor dingy room needed updating very small 
with damp patches on ceiling and walls after leak. As a member i would 
expect better from Travel Lodge.Read moreReview collected in partnership 
with TravelodgeDate of stay: September 2019HelpfulShare</t>
  </si>
  <si>
    <t>Ali wrote a review Jun 20191 contribution</t>
  </si>
  <si>
    <t>Julie G wrote a review Sep 2019Rotherham, United Kingdom32 contributions13 
helpful votes</t>
  </si>
  <si>
    <t>WeekenderBooked for a 2 night stay with friends for a weekend in london. Excellent 
location. Room was spacious, very clean and air conditioned . Staff were 
very helpful and friendly. (Especially BARBORA! And marcio, your great 
behind a bar) very enjoyable stay and would highly recommend to anyone 
planning to visit the heart of london.Read moreDate of stay: May 
2019HelpfulShare</t>
  </si>
  <si>
    <t>shambolicRoom was small and dated. Bathroom was a tight squeeze bath chipped and 
cracked tiles had grout smeared over them. Breakfast was a joke when food 
available there were no plates when there were plates no cutlery and ran 
out of dishes for cereals. Ran out of glasses for juice and mugs for tea 
and coffee so reduced to using paper cups. No tables so guests sitting at 
bar to eat. On Tring to speak to staff to get some service they walked away 
did not answer and toes that did jus said curtly they will be ou soon.Read 
moreDate of stay: September 2019HelpfulShareResponse from Ben T, James from 
the Social Media Team at Travelodge London Kings Cross Royal ScotResponded 
10 Sep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</si>
  <si>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helb167 wrote a review May 2019Manchester, United Kingdom283 
contributions79 helpful votes</t>
  </si>
  <si>
    <t>Lovely hotelStayed here for 2 nights with my son. The hotel was easy to find. Check in 
was quick and easy as I’d prepaid when booking. We had room 739, it was a 
superoom. It was a good size and very clean. My son loved the coffee 
machine in the room. The bathroom was clean and had everything you need. We 
had breakfast every morning. Plenty to choose from and the staff in the 
restaurant were lovely. The bar staff were friendly too.Read moreDate of 
stay: May 2019HelpfulShare</t>
  </si>
  <si>
    <t>kimrivers19 wrote a review Sep 20191 contribution</t>
  </si>
  <si>
    <t>ADDY_GTZ wrote a review May 2019Mexico City, Mexico2 contributions</t>
  </si>
  <si>
    <t>PoorLooked tired, area was a little shady! Too far away from train station. 
Rooms lacked a certain level of niceness for the price of the room. Shower 
was backing up. Bed uncomfortable. The receptionist (mark I think) was very 
helpful and politeRead moreReview collected in partnership with 
TravelodgeDate of stay: September 2019HelpfulShareResponse from Ben T, 
James from the Social Media Team at Travelodge London Kings Cross Royal 
ScotResponded 10 Sep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</si>
  <si>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Travelodge made me two Charges for the same reservation be carefullHi, I had a problem with my reservation Payment, I made a reservation on 
line in web site with my debit card and I recived the charge in my account, 
when I was in the hotel to make the check in, the person in chargue said me 
I had to pay again because the first payment will be released in 3 working 
days. so had to pay again with my credit card, my confirmation number is 
1474273096, my money havent returned to my debit card and I need the money 
to pay the charge in my credit card, so please help me to release the first 
payment from your side, since I went back to my country 15 days ago and I 
havent received nothing.Read moreDate of stay: May 2019HelpfulShare</t>
  </si>
  <si>
    <t>Marie J wrote a review Sep 20193 contributions3 helpful votes</t>
  </si>
  <si>
    <t>Juju37-10 wrote a review May 2019Belfast, United Kingdom17 contributions4 
helpful votes</t>
  </si>
  <si>
    <t>Waterloo Sunset.Top marks for location, cleanliness, friendly staff and price. Area was 
safe and just a 10 minute walk to the South Bank and Waterloo Station, lots 
of interesting places to eat and drink nearby. Just do it!Read moreDate of 
stay: May 2019HelpfulShare</t>
  </si>
  <si>
    <t>Dont Ever Stay in this place or with this companySo what can i say about this hotel. Don`t ever stay at this hotel, or in 
fact this company as when I have gone to make a complaint I was threatened 
by one of there customer service team member. So let me start from the top 
we arrived on Saturday 7th September, we were 10 mins early to check in, we 
went to the desk and asked if we could check in, the receptionist look at 
the computer asked our name which we gave and stated you haven`t paid for 
early check in so you can`t check in, unless you want to pay the early 
check in charge. She proceeded to try and give me the costs, in which 
stated i wasn't paying an early check in charge for 10 minutes. Now i could 
understand if i was a few hours early but not 10 minutes, and for 10 
minutes the room must have been ready (their local…Read moreDate of stay: 
September 2019HelpfulShareResponse from Ben T, James from the Social Media 
Team at Travelodge London Kings Cross Royal ScotResponded 10 Sep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</si>
  <si>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Gordon W wrote a review May 2019Nottingham, United Kingdom9 contributions</t>
  </si>
  <si>
    <t>Spacious, clean and surprisingly quietI'm a great fan of Travelodge - their rooms are spacious and clean, the 
beds are superbly comfortable, the staff really helpful and their prices 
are great. This hotel had all of these things. Maybe I was lucky because my 
room (on the top floor and facing away from the road) also had a pleasant 
view and was extremely quiet (unexpected in London).Read moreReview 
collected in partnership with this hotelDate of stay: May 2019HelpfulShare</t>
  </si>
  <si>
    <t>https://www.tripadvisor.co.uk/Hotel_Review-g186338-d243667-Reviews-or755-Travelodge_London_Kings_Cross_Royal_Scot-London_England.html#REVIEWS</t>
  </si>
  <si>
    <t>mattsampson87 wrote a review Sep 20191 contribution</t>
  </si>
  <si>
    <t>https://www.tripadvisor.co.uk/Hotel_Review-g186338-d1812157-Reviews-or430-Travelodge_London_Waterloo_Hotel-London_England.html#REVIEWS</t>
  </si>
  <si>
    <t>If you want an awful, aged and stupidly expensive hotel then this is the 
one!The room is so dated the 1970s want it back. The room was so dusty when i 
walked past the tiny table fan they call an air conditioning unit my black 
tshirt turned white with dust. To cool the room down you had to open the 
windows, if you dont want to sleep at all and listen to the horrendous 
noises outside all night, then by all means keep that window open. However 
if you shut your windows don't you worry about that lack of noise as the 
lift and everyone else slamming their doors will keep you awake all night 
anyway. As for the shower, if you like to wrestle with a shower curtain 
that's long enough to wrap itself round you like an anaconda then you're in 
for a right treat.Read moreReview collected in partnership with 
TravelodgeDate of stay: September 2019HelpfulShareResponse from Ben T, 
James from the Social Media Team at Travelodge London Kings Cross Royal 
ScotResponded 10 Sep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</si>
  <si>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mandj17 wrote a review May 201933 contributions21 helpful votes</t>
  </si>
  <si>
    <t>David H wrote a review Sep 2019Applecross, Australia1 contribution</t>
  </si>
  <si>
    <t>Excellent value for moneyThoroughly enjoyable 2 night stay in this hotel over the May Bank Holiday 
weekend. Ideally located, the area was surprisingly peaceful and we enjoyed 
2 nights sleep without any of the London noise usually accustomed to a stay 
in the City. Within walking distance to many landmarks and Waterloo Station 
just up the road the location was excellent. Staff were very friendly and 
welcoming and the room was clean and well appointed. We will definitely 
stay here again and this hotel is a great example for the brand.Read 
moreDate of stay: May 2019HelpfulShare</t>
  </si>
  <si>
    <t>Give it a missOver all bad hotel,bad room, bad food, bad every thing, nothing went right 
breakfast was a joke new coffee machines one not working, sheets 
ripped,dinners at night terrible, bar service a joke, this hotel needs more 
staff and lots of staff trainingRead moreReview collected in partnership 
with TravelodgeDate of stay: August 2019HelpfulShareResponse from Ben T, 
James from the Social Media Team at Travelodge London Kings Cross Royal 
ScotResponded 10 Sep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</si>
  <si>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jskyner wrote a review May 2019Greenfield, United Kingdom18 contributions5 
helpful votes</t>
  </si>
  <si>
    <t>Allan W wrote a review Sep 2019Stenhousemuir, United Kingdom128 
contributions23 helpful votes</t>
  </si>
  <si>
    <t>very nice staytayed one night did a theatre show at the Aldwych. Very nice budget hotel, 
very clean and modern with pleasant knowledgable and helpful staff. Perfect 
location 15 minutes to Covent Garden and less than 5 minutes to Waterloo 
main line station.Nice bar area open 24 hours. Rooms were nice and clean 
with tea and coffee making facilities, did not eat at the hotel, we used 
the Master Super Fish fish and chip cafe next door, fabulous food and 
excellent service. This was an enjoyable stay at a very good price in a 
good location near to tourist attractions. We would not hesitate to stay 
here again and would certainly recommend this hotel.Read moreDate of stay: 
May 2019HelpfulShare</t>
  </si>
  <si>
    <t>Comfortable and convenientGood location for Kings Cross, clean rooms, plenty of great places to eat 
close by and at a decent price. Breakfast was a bit busy and expensive and 
there are probably better ones to be had close by, but it was convenient 
and tasty.Read moreDate of stay: September 2019HelpfulShare</t>
  </si>
  <si>
    <t>VynB wrote a review May 2019Sheffield, United Kingdom42 contributions20 
helpful votes</t>
  </si>
  <si>
    <t>LauraTitley wrote a review Sep 2019Birmingham, United Kingdom130 
contributions37 helpful votes</t>
  </si>
  <si>
    <t>My in-budget hotel of choiceI stay here very regularly, and think that this Travelodge does the 
organisation proud. Good value (by London's standards), well located for 
Waterloo, South Bank, Westminster, etc. and plenty of places to eat at 
nearby. I'm a light sleeper and find it quiet enough to be able to sleep 
well (despite Ambulance HQ nearby!). I always get excellent customer 
service from the staff. This isn't a 4-star hotel, so if you want a pool, 
gym or spa, it's not for you. If you want the basics done very well, it's 
perfect.Read moreDate of stay: May 2019HelpfulShare</t>
  </si>
  <si>
    <t>Ok at bestRooms are very dated and in need of a huge upgrade. On arrival the 
electrics in room weren’t working. This was quickly resolved thankfully. 
The location is ok, about 10-15 min walk st pancreas station. Very slow to 
serve at bar. Not sure I would return even at the low priceRead moreDate of 
stay: September 2019HelpfulShareResponse from Ben T, James from the Social 
Media Team at Travelodge London Kings Cross Royal ScotResponded 9 Sep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</si>
  <si>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HolidayAddict17 wrote a review Sep 2019London66 contributions24 helpful 
votes</t>
  </si>
  <si>
    <t>Old and tiredStayed here for one night with my friend as we were attending an event in 
Central London. We managed to bag a saver deal which was the only reason we 
booked and thought the location was good... The hotel itself was so old and 
dated, the furniture all wearing away and the carpet was most probably 
antique. It reminded me of staying in a residence when working a night 
shift in a hospital.. I really wouldnt recommend staying here because it 
was pretty depressing, the staff were pleasant so that was no issue but the 
hotel itself was so poor. There was an old fan in the room which didn't do 
much to help an overheated room. Its shocking how this hotel is still 
standing in my opinion. Avoid avoid!!!!Read moreDate of stay: September 
2019HelpfulShareResponse from Ben T, James from the Social Media Team at 
Travelodge London Kings Cross Royal ScotResponded 9 Sep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</si>
  <si>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https://www.tripadvisor.co.uk/Hotel_Review-g186338-d1812157-Reviews-or435-Travelodge_London_Waterloo_Hotel-London_England.html#REVIEWS</t>
  </si>
  <si>
    <t>https://www.tripadvisor.co.uk/Hotel_Review-g186338-d243667-Reviews-or760-Travelodge_London_Kings_Cross_Royal_Scot-London_England.html#REVIEWS</t>
  </si>
  <si>
    <t>Pat and Bob Hull wrote a review May 20194 contributions</t>
  </si>
  <si>
    <t>Kathleen C wrote a review Sep 2019Lincoln, United Kingdom26 contributions3 
helpful votes</t>
  </si>
  <si>
    <t>Theatre visit to londonFor a budget hotel in the capital this is excellent. We stayed here in 
January 19 for a visit to see Tina the musical excellent also. Hotel room 
clean and warm hotel is few minutes walk to bridge nice places to eat 
Breakfasts included in the price were very good l would recommend this 
hotel.Read moreDate of stay: January 2019HelpfulShare</t>
  </si>
  <si>
    <t>Convenient and well run stop on our trip through LondonStaff made out stay near Kings Cross so easy. They are very obliging and 
gave us a warm welcome. The location is convenient to take the most of a 
stop on the trip through London. Many of our places of interest were within 
easy location for travel to the different areas of the capital. We managed 
to see four Art Exhibitions, meet friends for lunch and cram in some 
exciting shopping. What a trip! and all with a nice room with a good bed in 
a clean reliable place to stay the night who also look after our luggage 
for our onward journey. What more could one ask?Read moreDate of stay: 
August 2019HelpfulShare</t>
  </si>
  <si>
    <t>Glenda wrote a review May 20195 contributions</t>
  </si>
  <si>
    <t>Mobile65032734240 wrote a review Sep 20192 contributions</t>
  </si>
  <si>
    <t>Very basicOur room had the following problems: No body wash in shower Toilet seat was 
broken on one side Eyelets of each end of the curtain was off the rod No 
phone to contact reception- particularly if there was an emergency No guest 
information handout.Read moreDate of stay: May 2019HelpfulShare</t>
  </si>
  <si>
    <t>London breakVery friendly and helpful staff special thank you to bella for a making me 
feel very welcome clean rooms and hotel breakfast was excellent would 
definitely stay here again perfect location most london attractions less 
than an hour's walk awayRead moreReview collected in partnership with this 
hotelDate of stay: September 2019HelpfulShare</t>
  </si>
  <si>
    <t>Pete M wrote a review May 2019Manchester, United Kingdom7 contributions2 
helpful votes</t>
  </si>
  <si>
    <t>bod292 wrote a review Sep 2019Southport, United Kingdom35 contributions17 
helpful votes</t>
  </si>
  <si>
    <t>Good value,, great location and excellent breakfastFirst time I had stayed at this Travelodge but have stayed at several other 
in London previously. The location was great. About 5 mins walk from 
Waterloo station and 10 mins from the river. The staff in the hotel were 
lovely from the receptionist to Drahoslava who looked after the breakfast 
room. All i n all a good value hotel in an excellent location.Read moreDate 
of stay: May 2019HelpfulShare</t>
  </si>
  <si>
    <t>Good locationMyself and my daughter stayed here for one night while seeing a show on the 
Friday night and another Saturday afternoon , it's in a good location 
..about 10 minute walk from kings cross station we found the staff friendly 
, the room was clean and comfortable but very noisy from traffic , the 
breakfast which was extra was sufficient although we had to queue for a 
while as they didn't seem to have enough tables for every room, all in all 
would stay here againRead moreDate of stay: August 2019HelpfulShare</t>
  </si>
  <si>
    <t>JulieS756 wrote a review May 2019Kettering, United Kingdom12 contributions7 
helpful votes</t>
  </si>
  <si>
    <t>Good locationHad a 2 night stay in this hotel! Room was nice and quiet! Reception and 
bar staff were lovely! Hotel was near lots of site's and the station! Only 
thing I can say is it would be nice to have a couple of glasses in the room 
so you didn't have to ask at the bar!Read moreDate of stay: May 
2019HelpfulShare</t>
  </si>
  <si>
    <t>Catherine M wrote a review Sep 201911 contributions3 helpful votes</t>
  </si>
  <si>
    <t>ChrisNChaz wrote a review May 20192 contributions</t>
  </si>
  <si>
    <t>Great stay and good location.Had a great stay here. Location was spot on for us. Hotel was a lot quieter 
than others we have stayed at so had a great nights sleep. April on 
reception was very helpful and always cheerful. She made checkin easy. 
:-)Read moreReview collected in partnership with TravelodgeDate of stay: 
May 2019HelpfulShare</t>
  </si>
  <si>
    <t>Won't come back againStayed here for 5 nights Rooms are small and airless Staff are friendly at 
reception but very abrupt at the cafe Shower curtain was disgusting and 
needed changed really good shower though Cleaniness of the room is not 
great and very obvious that the room is not inspected by head house as 
there were stains on the pillowcase and on duvet cover .Read moreDate of 
stay: September 2019HelpfulShare</t>
  </si>
  <si>
    <t>Skins67 wrote a review Sep 2019Keighley, United Kingdom52 contributions14 
helpful votes</t>
  </si>
  <si>
    <t>https://www.tripadvisor.co.uk/Hotel_Review-g186338-d1812157-Reviews-or440-Travelodge_London_Waterloo_Hotel-London_England.html#REVIEWS</t>
  </si>
  <si>
    <t>Dreamer23464195092 wrote a review May 2019Bournemouth, United Kingdom1 
contribution</t>
  </si>
  <si>
    <t>Anniversary weekend in LondonStayed here for our weekend to London, We have stayed here before and its 
quite nice. On this occasion though it was very different. the room we had 
was clean, but very dated, think its time these rooms had a fresh lick of 
paint, and the bathroom, although clean looks grubby. When we got in our 
room there was no air conditioning so they had a fan on, which was only 
blowing hot air around, the room was so uncomfortable and hot, we hardly 
slept, we had to have the windows open because of the heat, but the noise 
from out side also kept us awake. We waited 40 mins for a drink when they 
said they were off to change the barrel, in the end up we just gave up and 
went to the pub over the road. Its a brilliant hotel for location and 
price, but they really need to freshen it up and soon.Read moreReview 
collected in partnership with TravelodgeDate of stay: September 
2019HelpfulShareResponse from TravelodgeUK, Zack from The Social Media Team 
at Travelodge London Kings Cross Royal ScotResponded 5 Sep 2019Thank you 
for taking the time to leave your review of our London Kings Cross Royal 
Scot hotel. We are sorry to hear of your disappointment with your room, and 
that your experience was hindered by the lack of air conditioning. We have 
taken measures to limit the nuisance caused by the heat and we do apologise 
if these were not sufficient to give you a good night’s sleep. We will be 
sure to pass your valuable feedback on to the hotel team so we are able to 
improve the service we offer. Thanks again for your feedback.Read more</t>
  </si>
  <si>
    <t>My stay this last weekendI had a weekend stay at this hotel and there were a supposedly a fire on 
one of the fires in which we didn’t get noted to leave rooms and the fire 
bells kept going on and off. We had no indication to leave rooms or 
anything. When we all vacated the hotel we wasn’t told much of the incident 
what so ever and was outside for 2/3 hours alsoRead moreReview collected in 
partnership with TravelodgeDate of stay: May 2019HelpfulShareResponse from 
TravelodgeUK, Shaf from the Social Media Team. at Travelodge London 
Waterloo HotelResponded 23 May 2019Thank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</si>
  <si>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Bamagirl440 wrote a review May 2019Cullman, Alabama48 contributions20 
helpful votes</t>
  </si>
  <si>
    <t>https://www.tripadvisor.co.uk/Hotel_Review-g186338-d243667-Reviews-or765-Travelodge_London_Kings_Cross_Royal_Scot-London_England.html#REVIEWS</t>
  </si>
  <si>
    <t>313liamd wrote a review Sep 2019Rhondda Cynon Taff, United Kingdom1 
contribution</t>
  </si>
  <si>
    <t>Lovely stay!We stayed four nights and were very pleased with this hotel. The location 
is about four blocks from Waterloo station and within walking distance to 
the London Eye, Westminster Abbey, Parliament buildings, Trafalgar Square 
and other attractions. It was clean, quiet, spacious and they offered a 
delightful buffet breakfast in the cafe downstairs. There is an extra 
charge each day for the buffet, but it is worth the money as they had hot 
and cold items and they kept them re-filled often. There were plenty of 
food selections and the seating was adequate. The set up was great so that 
everyone was not on top of each other trying to get their food. The 
employees were friendly and helpful. The nicest part is that on the 
week-ends the buffet is open from 8-12. We loved that touch! We…Read 
moreDate of stay: May 2019HelpfulShare</t>
  </si>
  <si>
    <t>London kings crossExcellent service, great food and value for money, good location 10 minutes 
from the underground, lots to do and lots of places to eat around there. 
Brilliant staff that make you feel welcome and cater to your needs 
also.Read moreReview collected in partnership with TravelodgeDate of stay: 
September 2019HelpfulShare</t>
  </si>
  <si>
    <t>contabilidadeseg2019 wrote a review Sep 20191 contribution</t>
  </si>
  <si>
    <t>Lic wrote a review May 20191 contribution</t>
  </si>
  <si>
    <t>Visit to friendsVery handy location being 5 mins walk from Waterloo station; yet quiet 
rooms and friendly , helpful staff. and must not forget great coffee &amp; 
cooked breakfast. Good size room ; with good shower and decent towels.Read 
moreDate of stay: May 2019HelpfulShare</t>
  </si>
  <si>
    <t>Not goodWe made an early check in and found the hall of our floor full of 
garbage.The bathroom had days dust in the toilet paper supper and dirt 
behind the door. The door itseld was without paint. The toilet was BLACK 
inside of the dirt - use bleach please! The room was extremely hot during 
all stay, even though outside was fine. We only had a small fan. There is 
no air conditioned. The air passage in the room was amost nothing, even 
with the window open. There is no security in the premises at night, 
because there was always noise ousite of couples, that seem to find 
interesting to procreate next to the garbage disposal.... the breakfast is 
also very poor including quality of the items...Read moreReview collected 
in partnership with TravelodgeDate of stay: September 
2019HelpfulShareResponse from Ben T, Niki from The Social Media Team at 
Travelodge London Kings Cross Royal ScotResponded 9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</si>
  <si>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DayTrip75744 wrote a review May 20191 contribution</t>
  </si>
  <si>
    <t>A Trip to the Vic.Excellent service and facilities. Room was clean and very comfortable. 
Staff were very helpful and welcoming. The location was great.... close to 
Underground, and the Old Vic and National Theatres. Very nice restaurants 
nearby. Will return again.Read moreReview collected in partnership with 
TravelodgeDate of stay: May 2019HelpfulShare</t>
  </si>
  <si>
    <t>Gabby198319 wrote a review Sep 2019London, United Kingdom1 contribution</t>
  </si>
  <si>
    <t>https://www.tripadvisor.co.uk/Hotel_Review-g186338-d1812157-Reviews-or445-Travelodge_London_Waterloo_Hotel-London_England.html#REVIEWS</t>
  </si>
  <si>
    <t>I wont be returningThe bathroom sink wasnt clean and neither was the toilet itself. The soap 
in the dispenser felt more like water than soap. There were black finger 
marks on the pilowcases. You also dont stand a good chance of getting an 
iron if you request one. I cant understand why a hotel that size has such a 
limited number of irons you have to be put on a waiting list!Read 
moreReview collected in partnership with TravelodgeDate of stay: September 
2019HelpfulShareResponse from TravelodgeUK, Ben from the Social Media Team 
at Travelodge London Kings Cross Royal ScotResponded 15 Sep 2019Thank you 
for submitting your review of our London Kings Cross Royal Scot Travelodge. 
We're sorry to hear your room was not up to the usual high standard of 
cleanliness we would have wished for you and of your disappointment with 
the availability of irons. Feedback is invaluable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</si>
  <si>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Mr m wrote a review Sep 2019United Kingdom4 contributions6 helpful votes</t>
  </si>
  <si>
    <t>travel20022 wrote a review May 2019Wrexham1 contribution</t>
  </si>
  <si>
    <t>Work stayWasn’t the best of hotels been in better but also been in worse staff are 
very very friendly, it is also 2 minutes walk from st Pancras train station 
and also plenty of eating places around it especially the wee chicken place 
facing it which was lovely and good value for moneyRead moreDate of stay: 
August 2019HelpfulShareResponse from TravelodgeUK, Zack from The Social 
Media Team at Travelodge London Kings Cross Royal ScotResponded 5 Sep 
2019Thank you for taking the time to review our London Kings Cross Royal 
Scot. We are pleased to hear that you felt you received good service and 
that our staff were friendly at the hotel, and that you felt the location 
was ideal for your stay. We will be sure to pass on your valuable feedback 
to the hotel team. Thanks again for writing your review, and we hope we are 
able to welcome you back again soon.Read more</t>
  </si>
  <si>
    <t>conference attendeeThe hotel was an easy walk from Waterloo station and also to my conference 
and South bank. The staff were cheerful and helpful, even when busy. I was 
offered a room on the ground floor. It was clean and comfortable. The water 
pressure in the shower was good. Overall, a great experience.Read 
moreReview collected in partnership with TravelodgeDate of stay: May 
2019HelpfulShare</t>
  </si>
  <si>
    <t>Sarah wrote a review May 201924 contributions19 helpful votes</t>
  </si>
  <si>
    <t>https://www.tripadvisor.co.uk/Hotel_Review-g186338-d1812157-Reviews-or500</t>
  </si>
  <si>
    <t>Terry S wrote a review Sep 20198 contributions4 helpful votes</t>
  </si>
  <si>
    <t>Second reviewThis is my second review for the Travelodge Waterloo. Again I would like to 
express my satisfaction and gratitude to the staff. As always they were 
polite, friendly and helpful. Fabulous location, clean room. Great 
stay.Read moreDate of stay: May 2019HelpfulShare</t>
  </si>
  <si>
    <t>Aep wrote a review May 20191 contribution</t>
  </si>
  <si>
    <t>great value stayWe stayed at the royal scot for the weekend. Breakfast was great,room airy, 
clean and well maintained. Reception staff very helpful and polite and all 
at a good price. Location was ok, just a 10 minute walk to Kings cross 
tube.Read moreReview collected in partnership with TravelodgeDate of stay: 
September 2019HelpfulShare</t>
  </si>
  <si>
    <t>Dr.Upon arrival the hotel personnel claims that the booking of four rooms 
wasn't possible due to maintenance. Big chance that four rooms was due to 
maintenance, seems like they overbook the rooms and send the guests to 
further away locations. Was rerouted to another hotel far away from working 
place. This was not notified in any way before arrival. Unfortunately the 
arrival was late and could have been handled much more professional by this 
hotel. Will not stay at this hotel or other hotels by travellodge.Read 
moreDate of stay: May 2019HelpfulShareResponse from TravelodgeUK, Molly 
from the Social Media Team at Travelodge London Waterloo HotelResponded 14 
May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</si>
  <si>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https://www.tripadvisor.co.uk/Hotel_Review-g186338-d243667-Reviews-or770-Travelodge_London_Kings_Cross_Royal_Scot-London_England.html#REVIEWS</t>
  </si>
  <si>
    <t>Paul C wrote a review May 2019Alston, United Kingdom3 contributions2 
helpful votes</t>
  </si>
  <si>
    <t>SHort and very sweetFlying visit to London just for one night. Facilities (bar/restaurant) 
great; location superb with great pubs and eateries all around - theatres 
too; staff very professional and polite. Maybe London Marathon day made the 
whole atmosphere better?Read moreReview collected in partnership with this 
hotelDate of stay: April 2019HelpfulShare</t>
  </si>
  <si>
    <t>Alicia M wrote a review Sep 20191 contribution</t>
  </si>
  <si>
    <t>https://www.tripadvisor.co.uk/Hotel_Review-g186338-d1812157-Reviews-or450-Travelodge_London_Waterloo_Hotel-London_England.html#REVIEWS</t>
  </si>
  <si>
    <t>Challenge cuppersExcellent for large groups just wanting a base and somewhere to sleep and 
shower that is clean. Nothing fancy infact basic but for what we needed it 
fitted the bill. Food was ok but service very very slow had to to go and 
ask reception after 30 minutes of not seeing a member of staff come out of 
the kitchen. Would stay again but woukdnt book evening meal breakfast was 
basic not a lot of choice but as the saying goes you get what you pay for 
so not complaining. Overall for the price was happy.Read moreReview 
collected in partnership with this hotelDate of stay: August 
2019HelpfulShare</t>
  </si>
  <si>
    <t>Soldier1979 wrote a review Sep 20191 contribution</t>
  </si>
  <si>
    <t>Travel lodge Kings crossPoor, no AC, rooms so hot and small, only 1 small fan between 2 people, 
beds tiny small as if we were children in a twin room, shower varied in 
temp, breakfast juice and milk were watered down and the catering staff are 
abrupt and rude. There was limited options for breakfast with no 
continental breakfast offered. TV in room had only 2 working channels. The 
bar staff were nice.Read moreReview collected in partnership with 
TravelodgeDate of stay: August 2019HelpfulShareResponse from TravelodgeUK, 
Tilly from The Social Media Team at Travelodge London Kings Cross Royal 
ScotResponded 6 Sep 2019Many thanks for submitting your review of our 
London Kings Cross Royal Scot hotel. We understand that your overall 
experience was not exceptional and we do apologise for this. We'll be sure 
to pass your valuable feedback directly to our colleagues in our hotel as 
this is the best way for us to improve the service we offer. Thank you 
again for your review.Read more</t>
  </si>
  <si>
    <t>rachelmrogers72 wrote a review May 2019Taunton, United Kingdom1 contribution</t>
  </si>
  <si>
    <t>bethchandler98 wrote a review Sep 20191 contribution</t>
  </si>
  <si>
    <t>Overnight stayThe room was clean and fairly comfortable - the mattress showed signs of 
wear, rolling us to the middle. Shower hot and powerful. Reasonably quiet, 
some noise from room above. We have stayed here 3 times and have always 
been satisfied.Read moreReview collected in partnership with this hotelDate 
of stay: May 2019HelpfulShare</t>
  </si>
  <si>
    <t>Basic but good value for moneyVery clean, staff were very friendly and good value for money. The twin 
beds are incredibly narrow though, so that’s something to bear in mind. The 
hotel is located about 10 minutes away from the Kings Cross St Pancras 
underground and about 25 minutes walk away from Euston.Read moreReview 
collected in partnership with TravelodgeDate of stay: August 
2019HelpfulShare</t>
  </si>
  <si>
    <t>craig625 wrote a review Sep 2019Derby, United Kingdom182 contributions40 
helpful votes</t>
  </si>
  <si>
    <t>Peski50 wrote a review May 2019Stratford-upon-Avon, United Kingdom68 
contributions28 helpful votes</t>
  </si>
  <si>
    <t>Never againThe room was like a sauna no aircon and smelt very damp you can only open 
the window slightly so it was very uncomfortable we hardly slept at all 
even though there was a fan it is badly in need of modernisation. When 
checking in we were handed a key and the the reception just walked away 
there was no information given at all i wouldn't expect this from 
travelodge who i normally very goodRead moreReview collected in partnership 
with TravelodgeDate of stay: August 2019HelpfulShareResponse from 
TravelodgeUK, Zack from The Social Media Team at Travelodge London Kings 
Cross Royal ScotResponded 3 Sep 2019Thank you for providing feedback of our 
London Kings Cross Royal Scot hotel. We are sorry to hear that your stay 
was affected by the lack of air conditioning. We have taken measures to 
limit the nuisance caused by the heat and we would like to apologise if 
these were not sufficient to give you a good night’s sleep. We also 
apologise that the staff were not polite and helpful. It is the utmost 
importance to us that guests receive a warm welcome and their needs are met 
during their visit. We will be sure to feed this back to the hotel to 
ensure this does not happen again. We hope to have the opportunity to 
welcome you again in the future.Read more</t>
  </si>
  <si>
    <t>Clean, great value hotelHad an overnight stay at this hotel whilst in London to see a couple of 
shows. A bit further away from the underground that we expected however it 
was comfortable and clean with friendly helpful staff. Breakfast catered 
for vegans too with a good choice of foodRead moreReview collected in 
partnership with TravelodgeDate of stay: May 2019HelpfulShare</t>
  </si>
  <si>
    <t>https://www.tripadvisor.co.uk/Hotel_Review-g186338-d243667-Reviews-or775-Travelodge_London_Kings_Cross_Royal_Scot-London_England.html#REVIEWS</t>
  </si>
  <si>
    <t>https://www.tripadvisor.co.uk/Hotel_Review-g186338-d1812157-Reviews-or455-Travelodge_London_Waterloo_Hotel-London_England.html#REVIEWS</t>
  </si>
  <si>
    <t>sophialouisa wrote a review Sep 2019London, United Kingdom45 
contributions14 helpful votes</t>
  </si>
  <si>
    <t>AnnMudefordDorset wrote a review May 2019Christchurch, United Kingdom137 
contributions64 helpful votes</t>
  </si>
  <si>
    <t>TerribleStayed here for business and I was very unimpressed. Check in and check out 
took a very long time as they were very under staffed. The room itself was 
horrendous hardly no toilet paper and when I asked in reception for some 
they told me they don’t have a delivery until the next day. The shower was 
horrible and didn’t look clean at all. The bed sheets were dirty that I 
slept fully clothed as I was too scared to sleep inside the bed! No air 
conditioning but a little table fan that was completely broken and old so 
was completely unless. Overall a terrible experience and will not be 
returningRead moreDate of stay: August 2019HelpfulShareResponse from 
TravelodgeUK, Zack from The Social Media Team at Travelodge London Kings 
Cross Royal ScotResponded 3 Sep 2019Thank you for taking the time to review 
our hotel. We are really sorry to hear that you encountered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</si>
  <si>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Brilliant Hotel, great location and lovely staffIf we stay in central London we always stay here, It is excllent value and 
the rooms are clean and comfortable but is is the staff who really make 
this hotel a bit special. They are so helpful many of them have been here a 
while and recogonise us when we arrive and try to let us have our room 
preference if available. Special mentions to Tan, Hilina and Humayra. The 
bar is a great place to return to after a show especially when many local 
places have closed on a Sunday. well done TravelodgeRead moreDate of stay: 
May 20192 Helpful votesHelpfulShare</t>
  </si>
  <si>
    <t>Clubfiz wrote a review Sep 2019London, United Kingdom196 contributions169 
helpful votes</t>
  </si>
  <si>
    <t>Nathan D wrote a review May 2019Portsmouth306 contributions91 helpful votes</t>
  </si>
  <si>
    <t>Good location but woken up by the cleaners!We stayed here for one night as we were going to a late night event nearby 
and just needed somewhere to get changed and get our heads down and the 
location was perfect. We were checked in by the lovely Megan, really 
friendly and explained everything to us. She offered us the chance to have 
a late check out at 2pm for £10 and as were were going to be back late we 
accepted and paid so we could have a lay-in before the long journey home. 
At exactly 12 noon the cleaners came banging on the door and woke us up. We 
couldn't go back to sleep at that point so got up, got ready and left - we 
had gone by 12.45 making the late check-out pointless. Surely the hotel 
should communicate with the cleaners as to who has a late check out?? 
Otherwise the rooms were quite large but tired looking,…Read moreDate of 
stay: August 2019HelpfulShare</t>
  </si>
  <si>
    <t>Cora C wrote a review Sep 2019Newport, United Kingdom1 contribution</t>
  </si>
  <si>
    <t>Weekend awayLovely weekend away staying with the travel lodge. Friendly &amp; helpful 
staff. Amazing location and good service. Only negative was our shower in 
the hotel was broken but apart from that definitely recommend.Read moreDate 
of stay: September 2019HelpfulShare</t>
  </si>
  <si>
    <t>This place is brilliant, perfect for London tripsCost £43 for a Sunday night, 10 mins from underground parking on Cornwall 
Road and 15 mins from the Clipper boat service which we took to the Tower 
of London. Lovely place, clean, got a bar and the breakfast is brilliant. 
The coffee machines are top drawer and your can even get a take away too. 
Barbara was very welcoming and a credit to the breakfast team, Our room was 
spotless and we will be back, our little girl loves the place and if you 
book well in advance the prices are amazing.Read moreDate of stay: May 
2019HelpfulShare</t>
  </si>
  <si>
    <t>lolabunny wrote a review Sep 2019Staffordshire108 contributions54 helpful 
votes</t>
  </si>
  <si>
    <t>wards123 wrote a review May 20196 contributions3 helpful votes</t>
  </si>
  <si>
    <t>Horrendous stay, no hot water!We stayed at the travelodge Kings scott road on the 29th for 2 nights. We 
arrived to be greeted by a very polite lady who told us where our room was 
and that food was available 24/7 in the bar area. We went up to our room 
and found out the reviews i had seen on trip advisor were correct and the 
rooms were ridiculous hot with one fan in the room. We freshened up and 
went down to get a snack in the bar. No one was around so I went to find 
someone we went to order a chicken sandwich however got told that the only 
things available was a pizza!! Not the response I wanted I said why are the 
menu cards on the table. The response i got from the lady was we’ve been 
out of panini for weeks and only do Pizza. If this is the case then the 
menus should be removed from the tables and all…Read moreDate of stay: 
August 2019HelpfulShareResponse from TravelodgeUK, James from the Social 
Media Team at Travelodge London Kings Cross Royal ScotResponded 2 Sep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</si>
  <si>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Nicest travel lodge I've stayed inI've visited a few travel lodges and this one was the nicest, really clean 
up to date lovely bar and restaurant. Room was clean modern with air con, 
good food in the restaurant, overall really nice stay and good atmosphere 
across all the hotel.Read moreReview collected in partnership with 
TravelodgeDate of stay: May 2019HelpfulShare</t>
  </si>
  <si>
    <t>Alan S wrote a review Sep 2019Leicester, United Kingdom9 contributions4 
helpful votes</t>
  </si>
  <si>
    <t>Frances M wrote a review May 20192 contributions1 helpful vote</t>
  </si>
  <si>
    <t>ExcellentClean friendly perfect for any stay in London Rooms good with tea/ coffee 
facilities Great cafe bar on ground floor Breakfast brilliant staff at 
breakfast very helpful and friendly Would thoroughly recommend.Read 
moreReview collected in partnership with this hotelDate of stay: April 
2019HelpfulShare</t>
  </si>
  <si>
    <t>Good value hotel for London Leisure TripThe London Kings Cross Royal Scot Travelodge has rooms of above average 
size for budget hotels, the bedding, room and bathroom were very clean and 
the reception staff friendly, efficient and professional. On the downside 
the hotel is situated in a fairly depressing part of London and the nearest 
Tube/Railway station is Kings Cross/St Pancras which is about 14 minutes 
walk. The hotel rooms are to be recommended but the bar is disappointing; 
the bar doesn't offer much choice in beer and during my stay there was no 
Martel brandy and no lemon slices for gin and tonics; the single barmaid 
struggled to provide an adequate service and there was no table service. 
The bar itself is a brightly lit cafeteria-style room without the ambience 
of a true hotel bar.Read moreReview collected in partnership with 
TravelodgeDate of stay: August 2019HelpfulShare</t>
  </si>
  <si>
    <t>https://www.tripadvisor.co.uk/Hotel_Review-g186338-d1812157-Reviews-or460-Travelodge_London_Waterloo_Hotel-London_England.html#REVIEWS</t>
  </si>
  <si>
    <t>https://www.tripadvisor.co.uk/Hotel_Review-g186338-d243667-Reviews-or780-Travelodge_London_Kings_Cross_Royal_Scot-London_England.html#REVIEWS</t>
  </si>
  <si>
    <t>Sara B wrote a review Sep 20195 contributions</t>
  </si>
  <si>
    <t>Watch the room numbers!Stayed at beginning and end of our Eurostar trip. Good location and ideal 
for our needs. Bar very busy so abandoned it to use an alternative venue. 
On 2nd visit hotel was much quieter so we did get a drink. 6th floor room 
difficult to find as no indication of where rooms were. 661 onwards in one 
direction and 680 in another. No mention of 673!Read moreReview collected 
in partnership with this hotelDate of stay: August 2019HelpfulShare</t>
  </si>
  <si>
    <t>caramac49 wrote a review May 2019Durham, United Kingdom3 contributions</t>
  </si>
  <si>
    <t>peter j wrote a review Sep 2019Lowick, United Kingdom173 contributions72 
helpful votes</t>
  </si>
  <si>
    <t>Great budget hotel in London. Reasonable choice for wheelchair usersI stay in this hotel most weeks for work. I travel a lot for work and this 
is one of the best budget hotels I've stayed in, it is clean, comfortable 
and after a makeover last year it is relatively smart. The best feature of 
the hotel is the staff - all are very friendly, welcoming and efficient but 
special mention to Barbora on the breakfast service who makes mornings much 
brighter with her exemplary service. She makes every guest feel special - a 
rare pleasure in budget hotels. The staff definitely deserve a five star 
review. I am a paraplegic, full time wheelchair user. I find I manage well 
in the hotel. The disabled access rooms are large and easy to get around. 
The hotel generally is flat and the front doors are automatic. Transport 
links are good, Waterloo station nearby…Read moreDate of stay: May 
2019HelpfulShare</t>
  </si>
  <si>
    <t>good value but no air-con!we only stayed one night thank goodness - the room was like a furnace!! 30+ 
degrees outside and only a small fan in the room to keep you cool - 
needless to say it was most ineffective. Staff on reception and bar area 
were extremely friendly and helpful, but the building does need a full 
refurb to include air-con in all rooms.Read moreDate of stay: August 
2019HelpfulShare</t>
  </si>
  <si>
    <t>Stacey B wrote a review May 201913 contributions</t>
  </si>
  <si>
    <t>mac m wrote a review Aug 20193 contributions4 helpful votes</t>
  </si>
  <si>
    <t>Disgusting behaviourFast asleep in the hotel last night and security comes in and wakes us up 
shouting that we had been smoking and the flash alarm is going off, so was 
searching the room. Which was fine wiv us, he then started screaming that 
there was fag ends on the window and we had been smoking, when we said we 
hadn't been smoking, my partner checked it and told him theres nothing 
there mate, and in fact he had just woke us up as he seen. he started 
screaming there is ash on the window there is ash on the window repeatedly. 
So my partner having enough of his abuse at nearly 3am jumped out of bed 
and he soon cleared off. We went back 2 sleep and 45 minutes later, the 
police woke us up stood at the end of the bed saying we had verbally 
attacked him. Yeah ok mate, we were just trying 2 say we…Read moreDate of 
stay: May 2019HelpfulShareResponse from TravelodgeUK, Molly from the Social 
Media Team at Travelodge London Waterloo HotelResponded 2 May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</si>
  <si>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Not Travelodge standardVery dated and poor decor plaster peeling off walls no quilt on bed shabby 
restaurant would advise going elsewhere. Manager blaming instead of 
accepting faults. Certainly won't be back. Much better placed to stay on a 
budgetRead moreDate of stay: August 2019HelpfulShareResponse from 
TravelodgeUK, James from the Social Media Team at Travelodge London Kings 
Cross Royal ScotResponded 2 Sep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</si>
  <si>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Ruth E wrote a review Apr 2019Matha, France2 contributions1 helpful vote</t>
  </si>
  <si>
    <t>Weekend stayExcellent personal service where the staff really looked after us in a very 
professional and outstanding way thanks especially to Darren and Humayra 
Room clean and comfortable. Staff went out of their way to make sure we 
were near our daughters room.Read moreReview collected in partnership with 
TravelodgeDate of stay: April 20191 Helpful voteHelpfulShare</t>
  </si>
  <si>
    <t>https://www.tripadvisor.co.uk/Hotel_Review-g186338-d1812157-Reviews-or465-Travelodge_London_Waterloo_Hotel-London_England.html#REVIEWS</t>
  </si>
  <si>
    <t>https://www.tripadvisor.co.uk/Hotel_Review-g186338-d243667-Reviews-or785-Travelodge_London_Kings_Cross_Royal_Scot-London_England.html#REVIEWS</t>
  </si>
  <si>
    <t>Rob G wrote a review Aug 20194 contributions3 helpful votes</t>
  </si>
  <si>
    <t>Safari03237778983 wrote a review Apr 2019Stourbridge, United Kingdom1 
contribution</t>
  </si>
  <si>
    <t>Easter hols overnight stay in LondonDecided on an overnight stay in London for Easter hols sight seeing trip. I 
booked this Travelodge at Waterloo as the reviews were good and i thought 
sounded good value at only £86 for family room with breakfast The reception 
staff were really friendly and helpful and we went straight up to our room 
even though we were slightly early. Lovely spacious room with 2 single pull 
outs and a kingsize bed. TV and tea/coffee etc. Nice and clean. The beds 
were really comfy too. The pull outs are not as wide as a standard single 
but fine for kids, my 14 year old was happy enough in it! Buffet breakfast 
next morning was fab, the normal bacon, eggs, sausages including a veggie 
one, all the normal accompaniments plus toast, cereal, fruit, yoghurt, 
juice. And as much as you wanted. All served…Read moreReview collected in 
partnership with this hotelDate of stay: April 2019HelpfulShare</t>
  </si>
  <si>
    <t>Quite dissapointedWe recently visited kings cross royal scot travelodge for 5 days and were 
really disappointed woth quite a few things.the room was extremely hot and 
had only a small fan to cool it down. Towels when left in bathtub as 
instructed were not changed during the week and were only folded and put 
back into place again. One day our bedroom was not arranged at all for us. 
Will not go back to this travelodge again.Read moreDate of stay: August 
2019HelpfulShareResponse from TravelodgeUK, Zack from The Social Media Team 
at Travelodge London Kings Cross Royal ScotResponded 1 Sep 2019We're truly 
sorry to learn your experience at our London Kings Cross Royal Scot 
Travelodge and we appreciate you taking the time to leave us your review. 
We are concerned to hear that the room temperature affected your stay with 
us. We strive to make our customers as comfortable as possible, fans are 
offered for our guests and we are taking measures to ensure our rooms are 
cooler. In any case we would like to apologise if these measures have not 
been enough to guarantee a good night's stay for you. We are also sorry to 
hear that your towels were not replaced and your room not serviced on one 
of the days of your stay. We will be sure to pass your feedback on to the 
hotel team to improve the service we offer. Thanks again for your 
review.Read more</t>
  </si>
  <si>
    <t>Boblet667 wrote a review Apr 2019Manchester, United Kingdom52 
contributions14 helpful votes</t>
  </si>
  <si>
    <t>Such friendly staffThe stats and photos show this is… well, it's a Travelodge. And you kind of 
know what to expect. Until you walk in and meet the staff. I've stayed here 
many times on business and never cease to be impressed by the cheerfulness 
and helpfulness of the staff here. It really is something.Read moreDate of 
stay: April 2019HelpfulShare</t>
  </si>
  <si>
    <t>cuzgemz wrote a review Aug 2019St Andrews, United Kingdom2 contributions</t>
  </si>
  <si>
    <t>Jillybb wrote a review Apr 2019Sheffield, United Kingdom50 contributions11 
helpful votes</t>
  </si>
  <si>
    <t>3 day holidayThe place was ok, very dated and needs a refreshing up. rooms we very very 
hot we struggled to sleep and the bathroom was so small u could barely turn 
around. we left our suitcases both when we arrived early and when we 
checked out on return they let us into the room and although we had tickets 
noone checked so we could have been away with anyones bags. First night 
fire alarm went of so we all went outside but no staff were around to tell 
us what was happening if it wasnt for some guest going back in to ask what 
was going on we could have been outside all night. would not be staying 
here again if we travel back to LondonRead moreDate of stay: August 
2019HelpfulShareResponse from TravelodgeUK, Zack from The Social Media Team 
at Travelodge London Kings Cross Royal ScotResponded 1 Sep 2019We're truly 
sorry to learn your experience at our London Kings Cross Royal Scot 
Travelodge and we appreciate you taking the time to leave us your review. 
We are concerned to hear that the room temperature affected your stay with 
us. We strive to make our customers as comfortable as possible, fans are 
offered for our guests and we are taking measures to ensure our rooms are 
cooler. In any case we would like to apologise if these measures have not 
been enough to guarantee a good night's stay for you. We are also sorry to 
hear that the fire alarm went off during your stay. Thanks again, we will 
continue to find new ways to improve the service we offer.Read more</t>
  </si>
  <si>
    <t>Friendly staff, clean, well locatedStayed 2 nights on business. Place looks new or newly refurbished. Very 
clean and fantastic showers. It's basic - no cupboards or drawers for 
clothes, no phone in the room and you have to ask at Reception to borrow a 
hairdryer. Beds are comfy, staff are great, breakfast was good. Altogether 
good value. Close to tube stations, restaurants and easy walking distance 
of attractions for tourists.Read moreDate of stay: April 2019HelpfulShare</t>
  </si>
  <si>
    <t>Graham B wrote a review Aug 20192 contributions1 helpful vote</t>
  </si>
  <si>
    <t>uktravellero7 wrote a review Apr 2019Clacton-on-Sea, United Kingdom228 
contributions48 helpful votes</t>
  </si>
  <si>
    <t>LondonFamily close and reasonable for a visit to London. We have stayed there 
before and we knew what we were getting. Restaurant and cafes and pubs were 
available. The rooms could do with a fridge. Reasonably maintained inside 
but outside could do with tidying up.Read moreReview collected in 
partnership with TravelodgeDate of stay: August 2019HelpfulShare</t>
  </si>
  <si>
    <t>Lone Wolf wrote a review Aug 201930 contributions1 helpful vote</t>
  </si>
  <si>
    <t>Best one in London so farWe've stayed in a few travelodges in London and this has been one of the 
better ones. Great location. Fast and efficient check in, staff were great. 
I booked an adapted room, the room was on 1st floor which was ok as there 
was a lift, but to get to the room there were 3 steps down the corridor, 
something to bear in mind if you can't do steps. The room was quiet, clean 
and even came with air conditioning.Read moreDate of stay: April 
2019HelpfulShare</t>
  </si>
  <si>
    <t>https://www.tripadvisor.co.uk/Hotel_Review-g186338-d1812157-Reviews-or470-Travelodge_London_Waterloo_Hotel-London_England.html#REVIEWS</t>
  </si>
  <si>
    <t>Unbearable - worst night sleep everNever had such a bad sleep in a hotel before. Noise from the road below was 
unbelievable - endless traffic, sirens, beeping, music with loud bass. Cars 
and motorbikes revving. As well as the noise the heat in the room was 
stifling. Window boxed off for safety so can't get any air in. Unless you 
can sleep under any conditions I wouldn't bother staying. Rooms and beds 
tiny. Bathroom far too small. Never seen towels and towel rail right above 
the toilet before, very unhygienic. Sink was dirty with hairs in it. Good 
points were the location, although immediate surrounding area is a bit 
rough with bags of rubbish piled everywhere. Staff were also friendly and 
when we had an issue with our room it was resolved within 15 minutes. But 
overall I'd never stay here again. Thank god we…Read moreDate of stay: 
August 2019HelpfulShareResponse from Ben T, Zack from The Social Media Team 
at Travelodge London Kings Cross Royal ScotResponded 11 Sep 2019Thank you 
for taking the time to review our hotel. We are really sorry to hear that 
noise from the road outside the hotel affected your stay with us, as well 
as the room temperature. We are also sorry to read of your disappointment 
with the beds inside the rooms and the placement of the towels.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</si>
  <si>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PatRTeddington wrote a review Apr 2019Teddington, United Kingdom49 
contributions26 helpful votes</t>
  </si>
  <si>
    <t>https://www.tripadvisor.co.uk/Hotel_Review-g186338-d243667-Reviews-or790-Travelodge_London_Kings_Cross_Royal_Scot-London_England.html#REVIEWS</t>
  </si>
  <si>
    <t>A good stayHave stayed in several Travelodges ...all been good with nothing really to 
moan about. I wasn't expecting much from Waterloo as it is close to the 
station and I imagined it was going to be noisy. And I was completely 
wrong! I heard not a whisper.! The room could be well ventilated,bearing in 
mind the windows have to be secure and the heating/aircon worked a treat. 
Room was well prepared and very clean...well done housekeeping.! Tl 
breakfasts are not as comprehensive as Prem Inn but they are adequate and 
convenient. Waterloo TL is a superb location,a few minutes walk from The 
Old Vic,Royal Festival Hall and Southbank centre and you should have no 
qualms about safety at night when the theatres turn out as there are plenty 
of people about. So..I was pleasantly surprised it was well…Read moreDate 
of stay: April 2019HelpfulShare</t>
  </si>
  <si>
    <t>KrustyWalker wrote a review Aug 2019Sheffield, United Kingdom10 
contributions9 helpful votes</t>
  </si>
  <si>
    <t>SheilaH702 wrote a review Apr 2019Basildon, United Kingdom176 
contributions33 helpful votes</t>
  </si>
  <si>
    <t>Great location, tiny roomI booked a room for £54 with early check in, but the room itself was so 
small with only a single bed. I thought all Travelodges were double beds 
but I'm obviously wrong on that. The only good about this hotel is the 
location, only a 10 min walk from St Pancras. If you're just looking for 
somewhere to get your head down after spending all day in London drinking 
it's ok, for anything else it's not good at all. I can't comment on 
breakfast as I didn't get it but I think I'll be staying in a different 
Travelodge next time I'm in London.Read moreReview collected in partnership 
with TravelodgeDate of stay: August 2019HelpfulShareResponse from 
TravelodgeUK, Shaf from the Social Media Team. at Travelodge London Kings 
Cross Royal ScotResponded 29 Aug 2019Thank you for reviewing our London 
Kings Cross Royal Scot Travelodge. We're pleased to hear you liked the 
location of the hotel and sorry to learn of your disappointment regarding 
the room itself. We do provide single rooms in some of our London hotels 
and would be advised on our website when booking. Feedback is invaluable 
and our Hotel Managers regularly review their TripAdvisor reviews in order 
to fix any issues raised and pass on feedback to their team. Thank you once 
again and we do hope you will stay with us in the future.Read more</t>
  </si>
  <si>
    <t>Plesant SurpriseFantastic quiet location near South Bank . Superooms are the best way to 
go. Has everything you need and a comfy bed and coffee machine with ironing 
facilities in the room,Breakfast amazing. Nothing they haven't got that I 
can think of. Good veggie options too.Reception and breakfast staff very 
nice and helpful.Read moreReview collected in partnership with this 
hotelDate of stay: April 2019HelpfulShare</t>
  </si>
  <si>
    <t>annehall6 wrote a review Aug 2019Buckie, United Kingdom1 contribution</t>
  </si>
  <si>
    <t>Klonarijan wrote a review Apr 2019Bath, United Kingdom33 contributions11 
helpful votes</t>
  </si>
  <si>
    <t>Poor room servicingHotel cleaning staff did not hover room for the 5 days we were there and 
even left us with no loo paper Room past it’s best. Waited 30 minuets to 
get a drink at bar gave up in the end and went outside, had a meal on one 
night worst meal Burger and chips and chicken both dry and Luke warm.Read 
moreReview collected in partnership with this hotelDate of stay: August 
2019HelpfulShare</t>
  </si>
  <si>
    <t>Great hotel in great locationSuperb location close to rail, bus and underground as well as easy walk 
over the bridge. Clean and tidy with very helpful staff. We had a large 
corner room which was very quiet albeit a little hot but then all 
Travelodges seem to be well heated! Good breakfast too!Read moreReview 
collected in partnership with this hotelDate of stay: April 2019HelpfulShare</t>
  </si>
  <si>
    <t>Robina S wrote a review Aug 20192 contributions</t>
  </si>
  <si>
    <t>Sarah G wrote a review Apr 2019Durham, United Kingdom2 contributions</t>
  </si>
  <si>
    <t>Great visit!Love the staff here - so friendly every time I have visited! I stayed for 
one night and it was a comfortable, clean room... Breakfast excellent and 
very convenient to where I work. Would highly recommend!Read moreDate of 
stay: April 2019HelpfulShare</t>
  </si>
  <si>
    <t>Noisy, spooky and old, avoid if you actually want to sleep at night!By far the oldest and most run down travelodge I have ever stayed in. 
Reception area and cafe/bar area were lovely and modern. The second you 
exited the lift where rooms were it was like stepping back in time four 
decades. Dusty old wardrobe, lampshades at either side of the bed (only one 
worked). Greeted by a rickery old fan on the desk which was practically 
dancing across the desk how faulty it was. A tv which was flickering 
despite being off a the plug. Spookiness and ascetics asides, I could have 
easily put up with the faults considering I was a 10 min walk away from 
King cross having paid only £35. After all I was only there to sleep. But 
Unfortunately I had one of the worst nights sleeps of my life here. From 
10pm-5am sleeping was impossible. Guests running up and down…Read 
moreReview collected in partnership with TravelodgeDate of stay: August 
2019HelpfulShareResponse from Ben T, Shaf from the Social Media Team. at 
Travelodge London Kings Cross Royal ScotResponded 11 Sep 2019Thank you for 
reviewing our London Kings Cross Royal Scot Travelodge. We're really sorry 
to learn your stay was affected by the internal noise and the hotel being 
quite old. We are sorry to hear that you were disrupted by noise levels 
during your stay. We do have staff patrolling the corridors every 2 – 3 
hours, and if other customers are making noise that may cause disruption to 
our guest’s, we have procedures in place to intervene with this. However we 
apologise if we were unsuccessful in ensuring you a peaceful stay on this 
occasion. Travelodge are always reviewing our hotels for refurbishments so 
we will ensure to pass your comments on to the relevant department. 
Feedback is invaluable and our Hotel Managers regularly review their 
TripAdvisor reviews in order to fix any issues raised and pass on feedback 
to their team. Thank you once again and we do hope you will stay with us in 
the future.Read more</t>
  </si>
  <si>
    <t>VPics wrote a review Apr 2019Rochester, United Kingdom4 contributions1 
helpful vote</t>
  </si>
  <si>
    <t>Perfect stay - in a great locationSo impressed with this hotel and its lovely staff. Location is great - a 
100m from Waterloo side entrance and 5 mins walk to Southbank. Perfect for 
a visit to the Old Vic and lots of little bars / restaurants around you. 
Its new interiors are bright, modern and welcoming. We booked an upgrade 
room - about £8 more - and loved it. Clean, bright and view of London Eye. 
The staff completed a lovely stay - couldn't have been friendlier - with 
genuine smiles, especially Sofia and Raisa on reception. Thank you TLodge 
Waterloo. Will stay again.Read moreDate of stay: April 2019HelpfulShare</t>
  </si>
  <si>
    <t>https://www.tripadvisor.co.uk/Hotel_Review-g186338-d1812157-Reviews-or475-Travelodge_London_Waterloo_Hotel-London_England.html#REVIEWS</t>
  </si>
  <si>
    <t>https://www.tripadvisor.co.uk/Hotel_Review-g186338-d243667-Reviews-or795-Travelodge_London_Kings_Cross_Royal_Scot-London_England.html#REVIEWS</t>
  </si>
  <si>
    <t>bodbea7 wrote a review Apr 2019Durham, United Kingdom63 contributions30 
helpful votes</t>
  </si>
  <si>
    <t>SandraMoylan wrote a review Aug 2019Mirfield, United Kingdom55 
contributions28 helpful votes</t>
  </si>
  <si>
    <t>Great LocationLast minute booking with Travelodge Waterloo and i'm impressed with the 
hotel overall. The hotel is a 5 Minute walk from underground and 5-7 minute 
walk to County Hall and the South Bank. The hotel was fresh from the recent 
renovation and we had a great room, although the room was standard was 
still equipt with a king size bed, tea and coffee facilities and a walk in 
shower. Clean and modern rooms with a great little bar area near reception. 
All reception staff we spoke with were friendly and welcoming, Check in was 
efficient and easy. On check out we left our bags with reception who stored 
them in the luggage room and provided us with a ticket, we were then able 
to spent the day in London before our train home. We would highly recommend 
this hotel!Read moreDate of stay: April 2019HelpfulShare</t>
  </si>
  <si>
    <t>Overnight stayNegatives Room unbearably hot . Beds only 2.6 wide . Bathroom shabby and 
tiny . The hotel tired and grubby looking in general . Positives Lovely 
white sheets and towels . Good over bath shower . Only a good 10 minute 
walk to station .Read moreReview collected in partnership with 
TravelodgeDate of stay: August 2019HelpfulShareResponse from TravelodgeUK, 
Zack from The Social Media Team at Travelodge London Kings Cross Royal 
ScotResponded 28 Aug 2019May we thank you for sharing your review of your 
recent stay at our London Kings Cross Royal Scot Travelodge. We would like 
to apologise that you found the room to be too hot. We can confirm we do 
have fans to assist our guests in cooling down which are available from the 
reception team. However we are happy to note you enjoyed the linen in the 
room and the location of the hotel, and we do hope to see you again in the 
future.Read more</t>
  </si>
  <si>
    <t>Roving745585 wrote a review Apr 20191 contribution</t>
  </si>
  <si>
    <t>Kathy A wrote a review Aug 20191 contribution1 helpful vote</t>
  </si>
  <si>
    <t>https://www.tripadvisor.co.uk/Hotel_Review-g186338-d1812157-Reviews-or505</t>
  </si>
  <si>
    <t>One night stopoverExtremely helpful and friendly staff. Allowed to leave luggage as we were 
too early for the room and also left it the next day until we went for our 
next train. Room a bit tired but adequate for what it cost. Within walking 
distance of Kings Cross/St Pancras. Would recommend to anyone wanting a 
brief stay at a reasonable price.Read moreDate of stay: August 
2019HelpfulShare</t>
  </si>
  <si>
    <t>Really lovely staff, great serviceSpotless room, no noise, super-efficient and lovely staff in the restaurant 
(Adelina). I felt really welcome, service was attentive but never 
intrusive. Will definitely be back, this is a really great location for 
Westminster and the South Bank.Read moreDate of stay: April 2019HelpfulShare</t>
  </si>
  <si>
    <t>Lisa D wrote a review Aug 2019Nottingham, United Kingdom3 contributions1 
helpful vote</t>
  </si>
  <si>
    <t>Becon7 wrote a review Apr 2019Paignton, United Kingdom4 contributions1 
helpful vote</t>
  </si>
  <si>
    <t>perfect place to stayTravelodge provided a spacious room with shower. Very clean and 
comfortable, all you need for a short stay and more. Was impressed with 
hotel staff friendliness and felt very safe. Location very good for 
transport.Read moreReview collected in partnership with TravelodgeDate of 
stay: April 2019HelpfulShare</t>
  </si>
  <si>
    <t>Royal scottVery scruffy tatty room and bathroom Needs ripping out and updating. 
Miserable bar staff no wine glasses poor selection and offers. The foods 
not great either. Drug deals happening outside the hotel on both nights of 
the stay.Read moreReview collected in partnership with TravelodgeDate of 
stay: August 2019HelpfulShareResponse from TravelodgeUK, Zack from The 
Social Media Team at Travelodge London Kings Cross Royal ScotResponded 28 
Aug 2019We would like to thank you for taking the time to advise of your 
recent stay at our London Kings Cross Royal Scot hotel. We were 
disappointed to read of your experience during your stay with us. Whilst an 
apology will regrettably not alter the outcome of your experience on this 
occasion, we do thank you for taking the time to share your experience so 
these issues can be resolved to ensure that this does not repeat for other 
guests. It is only through feedback such as yours that we are able to 
maintain and indeed, where necessary improve upon the service that we 
provide to our valued guests. Thanks again for leaving your review, and we 
hope we are able to welcome you to stay again soon.Read more</t>
  </si>
  <si>
    <t>Vacationer714940 wrote a review Aug 20192 contributions</t>
  </si>
  <si>
    <t>Family 2 night break.Friendly helpful staff. Good secure left luggage facilities. Easy walking 
from Kings Cross Station wheeling our cases, following the instructions on 
the booking form. Rooms comfortable. Plenty of hot water in the morning. 
well stocked buffet breakfast.Read moreReview collected in partnership with 
this hotelDate of stay: August 2019HelpfulShare</t>
  </si>
  <si>
    <t>Ellie p wrote a review Apr 2019Dorchester, United Kingdom2 contributions1 
helpful vote</t>
  </si>
  <si>
    <t>lenrich186 wrote a review Aug 20191 contribution1 helpful vote</t>
  </si>
  <si>
    <t>Great Budget HotelWe have stayed here a few times and whether it is in a normal room or one 
of the super rooms I can really recommend this Travelodge. Although the 
area around Waterloo seems a bit rough it is safe and it looks like the 
area is being rejuvenated. You can walk into the West End from here (if you 
like walking) and is perfect if you are attending events at either the O2 
or Wembley as is only a short walk from Waterloo.Read moreReview collected 
in partnership with TravelodgeDate of stay: April 2019HelpfulShare</t>
  </si>
  <si>
    <t>Very poor not recomendFirst the air conditioning had been taken out and a small infective fan put 
in its place. It was hot and air less. The route to the room included lots 
of stairs, no fun with big bags and in your sixties. The bathroom was 
falling apart. It's not in a great part of town having to weave past drunks 
and down and outs. Not recommended late at night.Read moreReview collected 
in partnership with TravelodgeDate of stay: August 2019HelpfulShareResponse 
from TravelodgeUK, Niki from The Social Media Team at Travelodge London 
Kings Cross Royal ScotResponded 27 Aug 2019Thank you for your feedback. In 
our ongoing efforts to beat the heat, we do offer fans and lighter bed 
linen for guests at reception, however we fully appreciate and do apologise 
that you were not comfortable during your time with us. We hope you can 
appreciate that we are a budget hotel so we are unable to provide air 
conditioning in all of our hotels however your feedback is very important 
to us as it is the starting point we use to act on improvements. We thank 
you for taking the time to share your experience and we hope to have the 
chance to welcome you back again soon.Read more</t>
  </si>
  <si>
    <t>https://www.tripadvisor.co.uk/Hotel_Review-g186338-d1812157-Reviews-or480-Travelodge_London_Waterloo_Hotel-London_England.html#REVIEWS</t>
  </si>
  <si>
    <t>https://www.tripadvisor.co.uk/Hotel_Review-g186338-d243667-Reviews-or800-Travelodge_London_Kings_Cross_Royal_Scot-London_England.html#REVIEWS</t>
  </si>
  <si>
    <t>Adventure64062289653 wrote a review Apr 20191 contribution</t>
  </si>
  <si>
    <t>Lee K wrote a review Aug 201920 contributions8 helpful votes</t>
  </si>
  <si>
    <t>Excellent location for SouthbankI would definitely stay here again - the hotel was clean and modern, staff 
were very helpful and as I was attending an event at the BFI Southbank, the 
location was ideal - not even 10 mins away. The price was also excellent, 
much cheaper than other hotels in the area.Read moreReview collected in 
partnership with TravelodgeDate of stay: April 2019HelpfulShare</t>
  </si>
  <si>
    <t>ikaletahi wrote a review Apr 2019Northcote, New Zealand39 contributions87 
helpful votes</t>
  </si>
  <si>
    <t>Pretty poor experienceStarted off OK with the usual friendly greating from reception. After that 
it went down hill! No fan in the room and it was extremely hot. The room 
did not get cleaned properly after the first night, quilt was just thrown 
back on the bed, a couple of clean towels and that was it! Cups left dirty, 
pillows not touched, coffee not replaced and the bed cover left on the 
floor. The bar staff were terrible both nights. Started by being looked at 
then the barmaid left for 15 minutes without saying anything. Leaving 3 
customers wondering what was going on!! The receptionist eventually went to 
find her and apparently she was changing a barrel without mentioning this 
to anyone!! Similar issue the next night with getting ignored and slow 
service.Read moreReview collected in partnership with TravelodgeDate of 
stay: August 2019HelpfulShareResponse from TravelodgeUK, Niki from The 
Social Media Team at Travelodge London Kings Cross Royal ScotResponded 8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</si>
  <si>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Very averageSeems this hotel it is for those who want to experience a very average 
stay!! Breakfast was not a friendly experience!! So many people, they need 
to reorganise the whole process, its totally chaotic !! Plus having 30 
minutes free WiFi is penny pinching!! Make it free whilst you are there 
makes more sense!!Read moreReview collected in partnership with 
TravelodgeDate of stay: April 2019HelpfulShare</t>
  </si>
  <si>
    <t>houseofweemen wrote a review Aug 2019Derbyshire, United Kingdom1 
contribution1 helpful vote</t>
  </si>
  <si>
    <t>michw271 wrote a review Apr 2019Edinburgh, United Kingdom2 contributions</t>
  </si>
  <si>
    <t>DirtyRoom not cleaned , dirty sanitary wear on floor leaking toilet child 
slipped banged head . Children’s bedding dirty stained sheets looked like 
blood . Never been in such a shocking Travelodge . Staff didn’t give two 
hootsRead moreReview collected in partnership with TravelodgeDate of stay: 
August 2019HelpfulShareResponse from TravelodgeUK, Zack from The Social 
Media Team at Travelodge London Kings Cross Royal ScotResponded 28 Aug 
2019Thank you for taking the time to review our London Kings Cross Royal 
Scot Travelodge, we are thankful for your comments. Please accept our 
deepest apologies for the issues encountered during your booking. The 
experience you received concerns us and we would like to investigate your 
stay further. Please may we kindly ask you to contact our Customer Service 
team via the 'Contact Us' page on our website. Please include a link to 
your review and your booking details. This will enable us to look into your 
visit more thoroughly with our hotel team. Thank you again for sharing your 
experience and giving us the opportunity to adjust the service and 
facilities we provide our guests. We look forward to hearing from you 
shortly.Read more</t>
  </si>
  <si>
    <t>Good budget choiceExcellent for walking distance to main attractions, London eye, dungeon, 
Big Ben and Trafalgar Square. Next to Waterloo tube but a little bit of 
faffing about getting out and in. Triple room ok size wise limited storage 
for 3 though.Main mattress wasn’t great, slightly slopping in centre. 
Bathroom small for 3 and sink not very big. Cleanliness was good. 
Soundproofing as with most travelodges a bit sketchy. Bar and restaurant 
excellent and couldn’t fault staff. Good budget option but slightly cramped 
and basic.Read moreDate of stay: April 2019HelpfulShare</t>
  </si>
  <si>
    <t>Foooodie wrote a review Apr 2019Leicester, United Kingdom24 contributions12 
helpful votes</t>
  </si>
  <si>
    <t>Zophista wrote a review Aug 20192 contributions</t>
  </si>
  <si>
    <t>Great location! Rooms cleanliness average!This my second stay at Waterloo due to its great central location! The 
reception was inviting and the staff were friendly. The only issues I had 
were the carpets in the room had marks, the drains in the showers had an 
awful smell. The light switch was also quiet dirty.. we paid £52 for one 
night on the Easter bank holiday which I think reasonable.. Just be aware 
that the London ambulance service is located opposite, and a few bars near 
down the road so it can be noisy in the middle of the night. Overall 
average room with a great location!Read moreDate of stay: April 
2019HelpfulShare</t>
  </si>
  <si>
    <t>Not that bad!I like that the room is big, the bed and pillows are comfortable. I also 
like that there is a kettle and a complimentary tea and coffee. Paid wifi 
is weak, wifi should be free in my opinion. The smoke alarm woke us up. 
There’s a bad smell (as in very bad) in the corridor of floor 6. Management 
should look into it.Read moreDate of stay: August 2019HelpfulShare</t>
  </si>
  <si>
    <t>Amy_and_Jami wrote a review Apr 2019Marske-by-the-Sea, United Kingdom490 
contributions140 helpful votes</t>
  </si>
  <si>
    <t>https://www.tripadvisor.co.uk/Hotel_Review-g186338-d243667-Reviews-or805-Travelodge_London_Kings_Cross_Royal_Scot-London_England.html#REVIEWS</t>
  </si>
  <si>
    <t>Very accommodating London hotelI recently stayed at the Travelodge at London Waterloo for work. Location: 
a 10 minute walk away from London Waterloo. Arrival and check in: check in 
was quick and efficient, with a modern seating area and bar. Staff: very 
friendly and helpful. Public areas: on-site bar and restaurant. Room: fine, 
standard travelodge, no complaints. Hotel facilities: good hot breakfast, 
nice dining area with BBC news on TV. Breakfast: good standard travelodge 
hot breakfast. Would I stay here again: yes.Read moreDate of stay: January 
2019HelpfulShare</t>
  </si>
  <si>
    <t>pamlou01 wrote a review Aug 2019London, United Kingdom1 contribution</t>
  </si>
  <si>
    <t>Convenient hotel for London visit.Clean and comfortable room with good shower and small but clean bathroom. 
Friendly and helpful staff. Short walk from Kings Cross station so easy to 
access theatres, restaurants and attractions in central London. Twin beds 
available.Read moreReview collected in partnership with TravelodgeDate of 
stay: August 2019HelpfulShare</t>
  </si>
  <si>
    <t>https://www.tripadvisor.co.uk/Hotel_Review-g186338-d1812157-Reviews-or485-Travelodge_London_Waterloo_Hotel-London_England.html#REVIEWS</t>
  </si>
  <si>
    <t>Nathan Gaskill wrote a review Aug 2019Durham, United Kingdom5 
contributions5 helpful votes</t>
  </si>
  <si>
    <t>Le Bert McBert wrote a review Apr 2019Brighton, United Kingdom67 
contributions21 helpful votes</t>
  </si>
  <si>
    <t>Nothing special but great value for 1 nightI stayed at the Royal Scot for 1 night before taking the Eurostar early in 
the morning the next day. BOOKING Booking online via the Travelodge website 
was simple and efficient. LOCATION The hotel was easy to find - only a 10 
minute walk from King’s Cross &amp; St Pancras Stations - and it’s location is 
convenient. CHECK-IN Check-in took a matter of minutes and the staff were 
friendly and welcoming. ROOM I was surprised with how big the hotel 
actually is - it expands over several floors with multiple rooms on each 
one. Our room was on the 5th floor and was simple but fit for purpose. The 
bed was comfortable enough and extra pillows are provided. Yet, it was on 
wheels thus it moved when you climbed into it. I had a good night’s sleep 
without much noise until early in the morning…Read moreDate of stay: August 
2019HelpfulShare</t>
  </si>
  <si>
    <t>Great value for money.Stayed for one night, Easter weekend. Spotlessly clean, well placed for 
Waterloo station and the River Thames amongst other things. We didn't eat 
in the hotel as we prefer to get out and about but breakfast smelt lovely. 
The staff were Lovely, polite, attentive and it wasn't an act, they were 
genuinely nice people. Raisa, Humayra and Sofia especially, thankyou. 2 or 
3 minutes in your presence set us up for a lovely weekend. You can't buy 
that sort of service it comes from the heart. A great advert for London and 
Travelodge.Read moreDate of stay: April 2019HelpfulShare</t>
  </si>
  <si>
    <t>nickinhull wrote a review Aug 2019kinston upon hull232 contributions115 
helpful votes</t>
  </si>
  <si>
    <t>201raymondw wrote a review Apr 2019Swansea, United Kingdom9 contributions2 
helpful votes</t>
  </si>
  <si>
    <t>3 nights stayMe and my sister booked a double room to spend time in London to celebrate 
her birthday. Our check in was smooth and our room was a good size and 
comfortable. The problems we encountered were that we had to go find the 
maid each day as our room was not serviced whilst we where out. so we had 
to go find her to get toilet rolls towels etc. We had breakfast and where 
not very impressed.The cooked breakfast although tasty was not hot enough. 
The fruit juice was like water and did not taste of anything.Read moreDate 
of stay: August 2019HelpfulShare</t>
  </si>
  <si>
    <t>London Waterloo TravellodgeVery helpful pleasant staff. Good size clean room. Towels and bedding very 
good. Breakfast very good value for money considering London prices. A good 
central location and easy to get to many tourist attractions. Will 
certainly stay again.Read moreReview collected in partnership with this 
hotelDate of stay: April 2019HelpfulShare</t>
  </si>
  <si>
    <t>Ashton Rose wrote a review Apr 2019Cardiff, United Kingdom16 contributions5 
helpful votes</t>
  </si>
  <si>
    <t>Traveler11454285960 wrote a review Aug 2019Rutland, United Kingdom1 
contribution</t>
  </si>
  <si>
    <t>Lovely break awayI just want to say what lovely and attentive staff, we are currently on our 
way home back to Cardiff after a 2 night stay here for my boyfriends 
birthday. We arrived early on the first day which was unplanned however the 
receptionist was able to get us a room straight away for an extra £10 which 
we were happy with. Our room was lovely and clean, breakfast was lovely and 
it was so nice having the bar and menu downstairs to relax rather than 
being stuck in a room. We did have our room refreshed before 11am (fresh 
towels, bed made) as we planned a lot to do on our 3 days there meaning we 
were out most of the time. Lovely location very central and great access to 
the tube meaning you can get anywhere. We paid for visitors Oyster cards 
before coming to London and i must say it’s…Read moreDate of stay: April 
2019HelpfulShare</t>
  </si>
  <si>
    <t>Good location, poor accommodationGood location. Walking distance from Kings Cross. Reception looked lovely, 
nice and clean. Same as the lifts...and then u get to the rooms. None of 
the rooms have a air conditioning which is a massive issue in the summer. 
Two fans didn’t make any difference. Depending what your expectations are 
...I would say they really need to invest in Quality if the rooms / 
particularly bathrooms and size of the tv.Read moreReview collected in 
partnership with TravelodgeDate of stay: August 2019HelpfulShare</t>
  </si>
  <si>
    <t>debir724 wrote a review Apr 2019Rochdale, United Kingdom2 contributions</t>
  </si>
  <si>
    <t>Great location and friendly staffHotel is really well located for easy walking distance access to central 
London and all attractions Hotel was lovely and clean and the staff were so 
friendly offering assistance without even being approachedRead moreReview 
collected in partnership with TravelodgeDate of stay: April 2019HelpfulShare</t>
  </si>
  <si>
    <t>https://www.tripadvisor.co.uk/Hotel_Review-g186338-d243667-Reviews-or810-Travelodge_London_Kings_Cross_Royal_Scot-London_England.html#REVIEWS</t>
  </si>
  <si>
    <t>Global26999971178 wrote a review Apr 2019Newcastle-under-Lyme, United 
Kingdom1 contribution</t>
  </si>
  <si>
    <t>Mid week breakVery enjoyable 2 day stay.great location for sight seeing base.even though 
there were the protesters to contend with we were able to achieve all that 
we set out to do on this break.because of the interruption of some bus 
routes we were able to use our bus passes on the underground without any 
further charges. We purchased an all day ticket for the clipper good value 
for moneyRead moreReview collected in partnership with TravelodgeDate of 
stay: April 2019HelpfulShare</t>
  </si>
  <si>
    <t>https://www.tripadvisor.co.uk/Hotel_Review-g186338-d1812157-Reviews-or490-Travelodge_London_Waterloo_Hotel-London_England.html#REVIEWS</t>
  </si>
  <si>
    <t>TonyFlood wrote a review Apr 2019Eastbourne, United Kingdom16 
contributions3 helpful votes</t>
  </si>
  <si>
    <t>Excellent locations, service and value for moneyI recently stayed at the Travelodge Hotels at London Waterloo and Central 
London Southwark and found they both offered excellent value for money. The 
customer service provided, accomodation and the hotel locations were 
extremely good. The Waterloo hotel was particularly impressive, with a 
modern, well-designed reception and bar area on the ground floor. 
Receptionist Humayra and duty manager Darren at Waterloo Road were 
extremely helpful, as was receptionist Doris at the Southwark hotel. They 
addressed all my needs quickly and efficiently; were welcoming, cheerful 
and friendly. The dining areas were fine, and the value-for-money 
breakfasts offered plenty of food and drink, with special deals for 
children. The relaxing atmosphere at these hotels was beneficial to me as 
an author…Read moreDate of stay: April 2019HelpfulShare</t>
  </si>
  <si>
    <t>Samsonitesky wrote a review Apr 2019Shropshire, United Kingdom5 
contributions5 helpful votes</t>
  </si>
  <si>
    <t>Chaz wrote a review Aug 20192 contributions1 helpful vote</t>
  </si>
  <si>
    <t>Exactly as expectedLovely, clean hotel with staff to match. I really enjoyed my stay, comfy 
beds, tv, and the fan in the room was a nice touch due to the hot weather 
recently. It is everything I expect a hotel to be and will definitely be 
staying again. Thank You.Read moreReview collected in partnership with 
TravelodgeDate of stay: August 2019HelpfulShare</t>
  </si>
  <si>
    <t>Poor management and two evacuationsI had stayed here a few months previous and liked it. This occasion was 
marred though by all guests being evacuated by the fire alarm.Twice. First 
time close on midnight,the second early next morning. That in itself is 
unfortunate and understandable,but less so when staff informed me that it 
originated from a business within their building but separate. So I would 
expect Travelodge to have better provision than to see its guests 
inconvenienced by false alarms from an adjoining business. Also, crucially, 
stood outside, across the road,there was no clear display of staff having 
an effective method for establishing who was evacuated. This did not 
inspire confidence. I felt on seeing this that unaware guests could have 
been unaccounted for,but I don't know what procedure they had…Read moreDate 
of stay: February 2019HelpfulShareResponse from TravelodgeUK, Tilly from 
The Social Media Team at Travelodge London Waterloo HotelResponded 30 Apr 
2019Thank you for taking the time to write a review with regards to our 
London Waterloo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</si>
  <si>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n/a wrote a review Aug 2019Derby, United Kingdom9 contributions24 helpful 
votes</t>
  </si>
  <si>
    <t>Kat Knight wrote a review Apr 2019Luton, United Kingdom83 contributions19 
helpful votes</t>
  </si>
  <si>
    <t>Basic but CleanThe room was ok but the hotel was generally noisy, tired and dated. Handy 
for Kings Cross/St Pancras Station but better still handy for Pizza Union - 
great pizza, There's a Costa coffee close by and a StarbucksRead moreDate 
of stay: August 2019HelpfulShare</t>
  </si>
  <si>
    <t>Great location is the best birI stayed here during a business trip in February. The location of the 
travelodge is definitely the best thing about it as it’s a very short and 
direct walk from London Waterloo. I booked when it was quite cheap and a 
price I felt was acceptable for a London travelodge. Having now stayed here 
and seeing what some people would have to pay to stay here I honestly don’t 
think it’s worth it. When I arrived there were police everywhere and no 
explanation as to why at check in. The staff member who checked me in told 
me nothing about the hotel despite me having not stayed there before. I had 
to ask where breakfast would be etc. The room size is fine. No view to 
speak of (looks over a gym). There was an annoying vibrating noise which 
was quite constant and off putting. I was there…Read moreDate of stay: 
February 2019HelpfulShare</t>
  </si>
  <si>
    <t>Charlesxl5 wrote a review Aug 2019Maryport, United Kingdom1 contribution</t>
  </si>
  <si>
    <t>katejh1812 wrote a review Apr 2019Derbyshire, United Kingdom18 
contributions11 helpful votes</t>
  </si>
  <si>
    <t>Pleasant and very handy for Kings Cross Station. Staff very helpful and 
welcoming, accommodation value and comfortable.Pleasant and very handy for Kings Cross Station. Staff very helpful and 
welcoming, accommodation value and comfortable. Fairly easy to find and the 
adjacent street is not particularly noisy or busy. Would definitely stay 
here again.Read moreReview collected in partnership with TravelodgeDate of 
stay: August 2019HelpfulShare</t>
  </si>
  <si>
    <t>Central Location. Modern clean hotel. Value for money.I stayed at Waterloo Travelodge with my husband and 8 year old for 2 
nights. The hotel was easy to find from Waterloo tube station. We paid for 
early check in arriving about 1230pm and were greeted by friendly reception 
staff. Our room was on the side overlooking flats on the third floor. It 
was fairly small, but adequate for a short stay. It was very clean, only 
downside was we had to turn heating up as rather cold. The facilities were 
adequate. There were tea and coffee making facilities (hot chocolate would 
have been welcome) The beds were comfortable and usb charging points handy. 
The shower room was tiny and there was no lock on door. The shower was easy 
to use , but would have preferred a shower screen rather than curtain for 
cleanliness. It was surprisingly quiet for such…Read moreReview collected 
in partnership with TravelodgeDate of stay: April 2019HelpfulShare</t>
  </si>
  <si>
    <t>https://www.tripadvisor.co.uk/Hotel_Review-g186338-d243667-Reviews-or815-Travelodge_London_Kings_Cross_Royal_Scot-London_England.html#REVIEWS</t>
  </si>
  <si>
    <t>https://www.tripadvisor.co.uk/Hotel_Review-g186338-d1812157-Reviews-or495-Travelodge_London_Waterloo_Hotel-London_England.html#REVIEWS</t>
  </si>
  <si>
    <t>Zoe G wrote a review Aug 2019Northallerton, England, United Kingdom9 
contributions3 helpful votes</t>
  </si>
  <si>
    <t>DayTrip40597115976 wrote a review Apr 2019Belfast, United Kingdom1 
contribution</t>
  </si>
  <si>
    <t>As good as alwaysTwin room booked for 2 nights. Great room, comfortable and clean. Shower 
was very powerful. Lovely area downstairs with bar and restaurant. Food was 
good and service was quick. Reliable, efficient and comfortable as 
always.Read moreDate of stay: August 2019HelpfulShare</t>
  </si>
  <si>
    <t>Enjoyed it, great location.Our room was super clean &amp; comfy, Bathroom too. Breakfast most excellent �� 
location was great for walking down the river bank to tower bridge etc. 
Only 1 complaint the rooms aircon would gurgle @niteRead moreReview 
collected in partnership with this hotelDate of stay: March 2019HelpfulShare</t>
  </si>
  <si>
    <t>karenandkevinm wrote a review Aug 20191 contribution</t>
  </si>
  <si>
    <t>Excellent locationBasic but comfortable stay for one night. Rooms and corridors require 
updating however based on the rate that we paid for the room (Sunday 
evening) - excellent value for money. Provided adequate accommodation 
within walking distance of Kings Cross.Read moreReview collected in 
partnership with this hotelDate of stay: August 2019HelpfulShare</t>
  </si>
  <si>
    <t>ck302019 wrote a review Aug 2019Manchester, United Kingdom2 contributions</t>
  </si>
  <si>
    <t>Mikekbates wrote a review Apr 201910 contributions14 helpful votes</t>
  </si>
  <si>
    <t>Football tripIdeal location, good value for money,comfortable rooms, excellent transport 
links. Staff very helpful and friendly, 24 hour bar, which is very 
relaxing. Great base for exploring the many attractions in London.Read 
moreReview collected in partnership with TravelodgeDate of stay: August 
2019HelpfulShare</t>
  </si>
  <si>
    <t>Cracking hotel in a good locationAll good here. Nice a clean rooms, lack of a wardrobe but we were 
travelling light so didn’t matter whatsoever. Great in-room features 
including the excellent usb chargers on either side of the firm double bed. 
Area is very quiet for “central” London , Cuban bar up the road is a must 
for a lively night out. Around 5ish minutes walk to Waterloo station, you 
can see the London eye from the fro t of the hotel as you walk up so prob a 
15-20 walk over to there if the weather is nice. Bar has big screen sports, 
loses a star as when we got back hoping for a nightcap the bar had no music 
and all the screens turned off at 10:30ish so that was a bit of a letdown 
but other than that is was fine. Paid about £120 for a Saturday night 
family room for 3 people.Read moreDate of stay: April 2019HelpfulShare</t>
  </si>
  <si>
    <t>https://www.tripadvisor.co.uk/Hotel_Review-g186338-d1812157-Reviews-or500-Travelodge_London_Waterloo_Hotel-London_England.html#REVIEWS</t>
  </si>
  <si>
    <t>https://www.tripadvisor.co.uk/Hotel_Review-g186338-d243667-Reviews-or820-Travelodge_London_Kings_Cross_Royal_Scot-London_England.html#REVIEWS</t>
  </si>
  <si>
    <t>Quest18881350535 wrote a review Aug 2019Middlesbrough, United Kingdom3 
contributions1 helpful vote</t>
  </si>
  <si>
    <t>Old and tiredThe accommodation looked clean but due to being in desperate need of an 
update/refurbishment it didn’t feel clean i.e cracked tiles in bathroom, 
carpet old and worn, bathroom door old and tatty, sink and toilet 
discoloured. Breakfast was okay but had to cue for the only 1 tea/coffee 
machine, wait for some of the hot food and search for cutlery!Read 
moreReview collected in partnership with this hotelDate of stay: August 
2019HelpfulShareResponse from TravelodgeUK, Niki from The Social Media Team 
at Travelodge London Kings Cross Royal ScotResponded 20 Aug 2019Thank you 
for your feedback regarding your stay at our London Kings Cross Royal Scot 
hotel.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</si>
  <si>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486jo wrote a review Aug 2019Hurghada, Egypt81 contributions46 helpful votes</t>
  </si>
  <si>
    <t>Frengoesto_- wrote a review Apr 2019Puglia, Italy86 contributions22 helpful 
votes</t>
  </si>
  <si>
    <t>Overall good value for LondonStaff welcoming and helpful. Room OK - it is a Travelodge after all. Could 
do with redecorating. Breakfast very good - well cooked and good choice of 
cereals etc. One evening had the £12.50 dinner - again well cooked and 
great value. Easy 10 minute walk to the train/underground stations.Read 
moreDate of stay: August 2019HelpfulShare</t>
  </si>
  <si>
    <t>With the familyI have already stayed there. This time we were in three and booked a a 
family room. All was good also in this case. My child did not pay for the 
breakfast since we take two light (continental) menu. If you like walking, 
you can reach Trafalgar Square, Piccadilly circus and Leicester Sq. We will 
return again.Read moreDate of stay: March 2019HelpfulShare</t>
  </si>
  <si>
    <t>Trip06590134982 wrote a review Aug 2019United Kingdom1 contribution1 
helpful vote</t>
  </si>
  <si>
    <t>https://www.tripadvisor.co.uk/Hotel_Review-g186338-d1812157-Reviews-or505-Travelodge_London_Waterloo_Hotel-London_England.html#REVIEWS</t>
  </si>
  <si>
    <t>The worst hotel I have ever stayed inWe arrived at midnight to be told that our room was not ready (despite 
check in being from 2pm). The assistant manager was extremely rude. The 
hotel itself is run down and shabby. Location is good for Kings Cross 
station only a 10 minute walkRead moreReview collected in partnership with 
this hotelDate of stay: August 2019HelpfulShareResponse from TravelodgeUK, 
James from the Social Media Team at Travelodge London Kings Cross Royal 
ScotResponded 21 Aug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</si>
  <si>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coraleefisher wrote a review Aug 20191 contribution</t>
  </si>
  <si>
    <t>Excellent customer serviceBella was greeted us with a smile! It took us a while to find u! We were in 
a rush as we had to be at the palladium ASAP! She booked us a taxi straight 
away and confirmed the price and made sure it was ready for us when we 
needed to go! Breakfast was good too the room was tidy and clean but not a 
patch on the Travelodge I usually stay in at Stratford!Read moreReview 
collected in partnership with this hotelDate of stay: August 
2019HelpfulShare</t>
  </si>
  <si>
    <t>Daydream15175462580 wrote a review Apr 2019El Sobrante, California1 
contribution</t>
  </si>
  <si>
    <t>Kieran D wrote a review Aug 20191 contribution</t>
  </si>
  <si>
    <t>https://www.tripadvisor.co.uk/Hotel_Review-g186338-d1812157-Reviews-or510</t>
  </si>
  <si>
    <t>An Excellent Place to StayWe thoroughly enjoyed our stay. The hotel is centrally located and near 
Waterloo Tube Station, and bus service to all areas. The room was well 
maintained and clean. The front desk help were quick to meet our needs. 
They were also knowledgeable about how to make travel connections in the 
are. We went for the full breakfast plan and didn't regret it. WiFi service 
was a bit cranky but we made do.Read moreReview collected in partnership 
with this hotelDate of stay: March 2019HelpfulShare</t>
  </si>
  <si>
    <t>Standard accommodation, staff not seeming to careWhen we first arrived to our room we unpacked the thicker bed cover and 
found that it was covered in large brown stains that stuck the cover 
together. We went down to the reception and told the receptionist who 
didn't really seem to care and also seemed puzzled that we wanted a new 
one. We went out and upon returning a new cover had been dropped off. But 
they had just left the dirty one in our room. So feeling abit annoyed I 
just put the cover in the corridor so they couldn't ignore it. It was there 
for a good 5 hours before it was moved. Half the channels on the TV didn't 
work which not being a major problem as we didn't watch it that much was 
still abit annoying. The Internet isnt very reliable and we were unable to 
connect to it a few times. We were put in a room next to the…Read moreDate 
of stay: August 2019HelpfulShareResponse from TravelodgeUK, Niki from The 
Social Media Team at Travelodge London Kings Cross Royal ScotResponded 19 
Aug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</si>
  <si>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Jet54186292996 wrote a review Apr 20191 contribution</t>
  </si>
  <si>
    <t>Clean, fresh, amazing valueThe newish Travelodge super rooms are well worth the upgrade and if you 
like a bit more comfort/space. The bed was amazingly comfortable - as good 
as/better than Hyatt/Radisson etc etc. Helpful staff throughout and the 
hotel - unusually for a Travelodge - was quiet at all timesRead moreReview 
collected in partnership with TravelodgeDate of stay: March 2019HelpfulShare</t>
  </si>
  <si>
    <t>https://www.tripadvisor.co.uk/Hotel_Review-g186338-d243667-Reviews-or825-Travelodge_London_Kings_Cross_Royal_Scot-London_England.html#REVIEWS</t>
  </si>
  <si>
    <t>Fearless30314777257 wrote a review Apr 20191 contribution</t>
  </si>
  <si>
    <t>Lucy wrote a review Aug 201919 contributions8 helpful votes</t>
  </si>
  <si>
    <t>Weekend family LeisureLovely staff and good service like always.Perfect location in central 
london hotel was clean and well maintained we booked standard double room 
which included everything what we needed.Good Breakfast time and 
serviceRead moreReview collected in partnership with TravelodgeDate of 
stay: April 2019HelpfulShare</t>
  </si>
  <si>
    <t>Dated but good location and friendly staffI stayed here during a trip to London as it is very well priced for a city 
centre hotel and a short walk away from Kings Cross St Pancras. We checked 
in during the early hours and staff were extremely helpful, our room was on 
the 6th floor and was quite small with very dated decor. The bathroom was 
in need of renovation and shower pressure is very weak which contrasts 
other hotels in this chain, presumably because it is an older Travelodge. 
It is in need of a deep clean in parts but overall it has everything needed 
for a short city stay.Read moreDate of stay: August 20191 Helpful 
voteHelpfulShare</t>
  </si>
  <si>
    <t>https://www.tripadvisor.co.uk/Hotel_Review-g186338-d1812157-Reviews-or510-Travelodge_London_Waterloo_Hotel-London_England.html#REVIEWS</t>
  </si>
  <si>
    <t>mtb0at wrote a review Aug 20191 contribution</t>
  </si>
  <si>
    <t>Richard C wrote a review Apr 2019Cardiff, United Kingdom4 contributions3 
helpful votes</t>
  </si>
  <si>
    <t>MTBoatIdeal for buses and trains, so we could easily get around London and go to 
brighton for the day. We were out for the meal times so did not use the 
facilities that looked good to me. Thw room was very quiet even with the 
window openRead moreReview collected in partnership with TravelodgeDate of 
stay: August 2019HelpfulShare</t>
  </si>
  <si>
    <t>Sam H wrote a review Aug 20194 contributions1 helpful vote</t>
  </si>
  <si>
    <t>It's an updated TravelodgeReally well located modern and updated Travelodge, just a few minutes walk 
from the Old Vic, The Cut, Waterloo Station and the South Bank. Staff were 
helpful, although it took a while to get an iron (which should have been in 
the room, and it was a Saturday night). Mattress as comfortable as 
Travelodge ones always are.Read moreReview collected in partnership with 
this hotelDate of stay: March 20191 Helpful voteHelpfulShare</t>
  </si>
  <si>
    <t>ConvenientHotel is close to Kings Cross so location was good but the bed was 
incredibly uncomfortable and room seemed poorly designed - the wardrobe was 
behind the door making it hard to enter with luggage. Breakfast was okRead 
moreReview collected in partnership with TravelodgeDate of stay: August 
2019HelpfulShare</t>
  </si>
  <si>
    <t>1soprano wrote a review Apr 2019Broadstairs, United Kingdom6 contributions7 
helpful votes</t>
  </si>
  <si>
    <t>https://www.tripadvisor.co.uk/Hotel_Review-g186338-d243667-Reviews-or830-Travelodge_London_Kings_Cross_Royal_Scot-London_England.html#REVIEWS</t>
  </si>
  <si>
    <t>Very disappointingOnly 2 towels and no shower mat. Had to ask twice before getting more 
towels. Only 2 teabags. Couldn’t alter room temperature. Breakfast very 
poor- uncooked tomatoes, cold mushrooms, dry bacon dry eggsRead moreReview 
collected in partnership with TravelodgeDate of stay: April 
2019HelpfulShareResponse from TravelodgeUK, Tilly from The Social Media 
Team at Travelodge London Waterloo HotelResponded 9 Apr 2019Thank you for 
submitting your review of our London Waterloo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</si>
  <si>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Dutch2478 wrote a review Aug 2019Liverpool, United Kingdom3 contributions</t>
  </si>
  <si>
    <t>hs2004sc wrote a review Apr 20196 contributions2 helpful votes</t>
  </si>
  <si>
    <t>Excellent stayVery good clean and comfortable hotel well situated near to travel and 
public transport also o wish I’d have had breakfast at the hotel instead of 
elsewhere and considering mine was a short notice booking so paid more I 
was happyRead moreReview collected in partnership with TravelodgeDate of 
stay: August 2019HelpfulShare</t>
  </si>
  <si>
    <t>Good value option for central LondonAs an alternative to Covent garden travelodge this is proving to be a good 
location to central London - about 15 mins walk from hotel to strand 
theaters. note its a bit of a open walk so not much shelter if raining. 
Often cheaper than the other central London its provides good location 
without need for tube travel if going to the theatres/central London area. 
Hotel was clean and welcoming staff and have found to be quiet on both 
ground and top floor rooms.Read moreReview collected in partnership with 
TravelodgeDate of stay: April 2019HelpfulShare</t>
  </si>
  <si>
    <t>mresmith1 wrote a review Aug 20192 contributions</t>
  </si>
  <si>
    <t>Maps05349981225 wrote a review Apr 20191 contribution</t>
  </si>
  <si>
    <t>Extremely comfortableI chose a 'super room' for a one night stay and it was worth it. The shower 
was amazing, I slept well and the coffee machine was a great upgrade. The 
room was a good size and everything was clean. I recommend upgrading!Read 
moreReview collected in partnership with TravelodgeDate of stay: April 
2019HelpfulShare</t>
  </si>
  <si>
    <t>Avoid this place, if you can. Would give no stars if an option.Went to the theatre to see a show and returned after and the room smelt of 
drugs, told reception and was advised to open window and put fan on. Also 
the toilet got blocked so told them and it was still blocked about 12hours 
later. Hair in bath when arrived aswel as blocked sink.Read moreReview 
collected in partnership with TravelodgeDate of stay: August 
2019HelpfulShareResponse from TravelodgeUK, Zack from The Social Media Team 
at Travelodge London Kings Cross Royal ScotResponded 18 Aug 2019Thank you 
for submitting your review of our London Kings Cross Royal Scot Travelodge. 
We are sorry to learn staff were not helpful and welcoming during your 
visit, it is the utmost importance to us that our hotel team offer an 
upbeat welcome from check in to check out, and that your room is cleaned 
and presented to a high standard. We are sorry that you feel this was not 
provided during your stay. We will be sure to pass your valuable feedback 
to the hotel for you to improve the service we offer and would like to 
sincerely thank you for taking the time to write your review.Read more</t>
  </si>
  <si>
    <t>janetbullstirrup wrote a review Aug 20194 contributions1 helpful vote</t>
  </si>
  <si>
    <t>https://www.tripadvisor.co.uk/Hotel_Review-g186338-d1812157-Reviews-or515-Travelodge_London_Waterloo_Hotel-London_England.html#REVIEWS</t>
  </si>
  <si>
    <t>PeterinStockholm wrote a review Apr 2019Stockholm, Sweden14 contributions1 
helpful vote</t>
  </si>
  <si>
    <t>Kings CrossStayed at The Royal Scott Kings Cross for three nights, we found it to be 
good value for money, not far from the underground and Euston. Rooms 
although old fashioned were clean and comfortable. The staff very friendly 
and helpful.Read moreReview collected in partnership with TravelodgeDate of 
stay: August 2019HelpfulShare</t>
  </si>
  <si>
    <t>Good valueRecently renovated this Travelodge is good value for the money. Friendly 
and helpful staff; fresh and clean environment, comfortable /room/bed and 
excellent breakfast. Although on the south bank it's still near to all 
attractions and of course Waterloo Station/underground.Read moreDate of 
stay: April 2019HelpfulShare</t>
  </si>
  <si>
    <t>Alan H wrote a review Aug 2019Saffron Walden, United Kingdom416 
contributions103 helpful votes</t>
  </si>
  <si>
    <t>Caroline D wrote a review Apr 2019Bradford, United Kingdom19 contributions8 
helpful votes</t>
  </si>
  <si>
    <t>Good location for onward journeyWe stayed for one night before travelling on from St Pancras International. 
Great location for this; excellent price. Didn’ t have breakfast, but was 
also reasonably priced. Only problem was difficulty in ventilating room as 
windows don’t open, so became hot in night.Read moreReview collected in 
partnership with TravelodgeDate of stay: August 2019HelpfulShare</t>
  </si>
  <si>
    <t>Well worth a tryI stay at the Travelodge Waterloo for work usually every couple of months. 
I try and book a superoom if I can get it within our budget, these rooms 
have hairdryers, iron and ironingboards- really handy if you need to be 
smart for work. The rooms are generally ok, the last time I did need to ask 
if they could vacuum the room as I found contact lenses on the floor by the 
bed from the last customer-yuk. They did this and apologised. The beds are 
not too bad, make sure if you are staying for more than one night you put 
the note on the door to advise you would like your room to be ‘freshened 
up’ or they won’t bother at all and you won’t get new towels or anything at 
all done in the room. The breakfast is good, a decent choice and all nice 
and hot and there is always staff…Read moreDate of stay: January 
2019HelpfulShare</t>
  </si>
  <si>
    <t>https://www.tripadvisor.co.uk/Hotel_Review-g186338-d243667-Reviews-or835-Travelodge_London_Kings_Cross_Royal_Scot-London_England.html#REVIEWS</t>
  </si>
  <si>
    <t>Excursion58797739592 wrote a review Apr 20191 contribution</t>
  </si>
  <si>
    <t>Kay Y wrote a review Aug 20191 contribution</t>
  </si>
  <si>
    <t>GREAT VALUE FOR MONEYIf booked early enough good value for money on a central London Hotel. 
Spacious room, large comfortable bed &amp; great shower though think we were 
given a free upgrade.Good central location - approx 10 mins walk from 
WaterlooRead moreReview collected in partnership with TravelodgeDate of 
stay: April 2019HelpfulShare</t>
  </si>
  <si>
    <t>Great hotel and very friendly staffVery friendly and helpful staff, especially Haleema who answered our many 
questions and was very helpful, would definately stay here again.Very clean 
and breakfast was lovely.Very close to Kings cross station only a ten 
minute walk.Read moreDate of stay: August 2019HelpfulShare</t>
  </si>
  <si>
    <t>JiffyJay wrote a review Aug 2019Coventry, United Kingdom27 contributions26 
helpful votes</t>
  </si>
  <si>
    <t>maggimay75 wrote a review Apr 2019Maesteg, United Kingdom118 
contributions29 helpful votes</t>
  </si>
  <si>
    <t>Lovely StayVery easy to get to the hotel minutes walk from the Waterloo Station and 
Underground Lovely clean rooms beds comfy Staff friendly Unlimited 
Breakfast Would choose again Plenty if bars and eateries around or good 
choice for a meal at the hotelRead moreDate of stay: March 2019HelpfulShare</t>
  </si>
  <si>
    <t>Not GoodDirty basic room and I mean Basic!! Upon arrival discovered Pubic hairs in 
bathroom, water in sink didn't drain away freely took ages to go down plug 
hole Bedroom carpet don't look as though it had been hoovered properly as 
around and underbed you could see bits Was awoken at 6.05am to Extremely 
loud noise from workmen talking loudly laughing and loading unloading at 
back I was on 5th floor facing out the back of hotel and this noise went on 
and on to no consideration to sleeping guests Went for breakfast which I 
must say was very nice but to have my plate whipped away Before I had even 
finished!!! Was only stirring my cup of tea proper impolite and 
unprofessional This is the worst Travel lodge I have Ever stayed in Sorry 
Royal Scot Kings Cross Travel Lodge but you only get a…Read moreDate of 
stay: August 2019HelpfulShareResponse from TravelodgeUK, Zack from The 
Social Media Team at Travelodge London Kings Cross Royal ScotResponded 15 
Aug 2019Thank you for submitting your review of our London Kings Cross 
Royal Scot Travelodge. Your feedback is greatly appreciated and we would 
like to apologise that your bathroom was not cleaned to our usual high 
standard. We will be sure to pass your valuable comments to the hotel to 
ensure that the service we provide improves. We are truly sorry to learn 
that your stay was affected by external noise. Our more central locations 
may be noisier however to ensure our guests are comfortable we do provide 
double glazing and we try to work with the local areas and communities. It 
is regrettable to hear this was not enough to guarantee a good night stay 
for you. We hope you will chose to stay with us in the future, where we 
will endeavour to restore your faith in Travelodge.Read more</t>
  </si>
  <si>
    <t>tinkle_24 wrote a review Aug 2019Northampton, United Kingdom1,125 
contributions198 helpful votes</t>
  </si>
  <si>
    <t>https://www.tripadvisor.co.uk/Hotel_Review-g186338-d1812157-Reviews-or520-Travelodge_London_Waterloo_Hotel-London_England.html#REVIEWS</t>
  </si>
  <si>
    <t>iallen253 wrote a review Apr 2019Cornwall, United Kingdom6 contributions2 
helpful votes</t>
  </si>
  <si>
    <t>Our favourite London hoteleven though you have to pay for WiFi. Bed is most comfortable and reception 
often friendly. Warmly welcomed by Martin on arrival and hardly any waiting 
needed after 2 pm this time. We often have to wait for over half an hour. 
Free flow of coffee n tea to be made in room. Great location and this time 
we had interesting views being on the fourth floor.Read moreDate of stay: 
August 2019HelpfulShare</t>
  </si>
  <si>
    <t>leahhandsaker wrote a review Aug 20191 contribution</t>
  </si>
  <si>
    <t>Another trip up to LondonHave made the long journey to London for another visit to a hospital. Was 
feeling uneasy after our last experience with a Travelodge (Kings Cross). 
So when we entered Travelodge Waterloo what a wonderful surprise!!!! Room 
bright, spacious and immaculate. Staff looked happy and pleased to be 
there, so helpful. Breakfast was tasty and plentiful. Would have no 
hesitation choosing this hotel again. Maybe other Travelodges that are not 
up to scratch should visit the Travelodge Waterloo to see how to do it 
right........Read moreDate of stay: April 20192 Helpful votesHelpfulShare</t>
  </si>
  <si>
    <t>Good food for dinner , great staffHad a lovely time here staff were always polite and said morning to us , if 
we had a question they would answer it straight away , hotel was very clean 
and good value for money bed wasn't also very comfyRead moreReview 
collected in partnership with TravelodgeDate of stay: August 
2019HelpfulShare</t>
  </si>
  <si>
    <t>Rocket8047 wrote a review Apr 2019Exeter12 contributions1 helpful vote</t>
  </si>
  <si>
    <t>eddie4cairns wrote a review Aug 2019Edinburgh, United Kingdom10 
contributions11 helpful votes</t>
  </si>
  <si>
    <t>Clean comfy good locationGreat location just a short walk from Waterloo station,rooms was clean and 
beds really comfy..plenty of bars and eateries nearby but hotel still very 
quiet and as right by Waterloo station easy to get to anywhere you want to 
go or there is a bus stop right outsideRead moreReview collected in 
partnership with TravelodgeDate of stay: March 2019HelpfulShare</t>
  </si>
  <si>
    <t>Nicola wrote a review Apr 2019Northampton, United Kingdom171 
contributions31 helpful votes</t>
  </si>
  <si>
    <t>Total dumpOver £200 no air conditioning. Friendly staff but place is a total pit . 
Avoid like the plague . Typical rip off UK / London. It’s like a nightmare 
memory from Butlins in the 70s . £230 for horrendous room small TV no 
aircon and a bathroom that would make a caveman cringe . AVOIDRead moreDate 
of stay: August 2019HelpfulShareResponse from TravelodgeUK, Zack from The 
Social Media Team at Travelodge London Kings Cross Royal ScotResponded 14 
Aug 2019Thank you for taking the time to review our London Kings Cross 
Royal Scot hotel. We are sorry to hear that your experience was hindered by 
the lack of air conditioning. We have taken measures to limit the nuisance 
caused by the heat and we do apologise if these were not sufficient to give 
you a good night’s sleep. We are also very sorry to hear that you were 
disappointed with the room you were allocated and the bathroom, however we 
are pleased to hear that you received good service from our staff at the 
hotel. We hope to have the opportunity to welcome you again and restore 
your opinion of Travelodge.Read more</t>
  </si>
  <si>
    <t>https://www.tripadvisor.co.uk/Hotel_Review-g186338-d243667-Reviews-or840-Travelodge_London_Kings_Cross_Royal_Scot-London_England.html#REVIEWS</t>
  </si>
  <si>
    <t>good location &amp; facilities - smelly bathroom thoughGood value for money at £54 for a Friday night. Easy access to Waterloo 
station, very central. We arrived at about 11am &amp; dropped our bags off 
which was easy. Arrived back at about 4.30pm &amp; checked in. Reception &amp; bar 
area are nice, open &amp; clean. Easy check in. Room was very clean - can't 
fault. View was lacking but not a problem. The only issue we had was that 
the bathroom ponged from the minute we entered the room, it all looked 
clean but it seemed to be a drain issue. I was stood at the sink using the 
mirror &amp; there was a stench coming up from the plug hole. Made our room 
smell a little horrible, especially when waking up in the morning. Not sure 
if it's a problem for the whole hotel as we were with another couple who 
were 4 doors down &amp; their room/bathroom was the exact…Read moreDate of 
stay: March 2019HelpfulShare</t>
  </si>
  <si>
    <t>Suzanne_R78 wrote a review Aug 2019Derby, United Kingdom28 contributions13 
helpful votes</t>
  </si>
  <si>
    <t>David B wrote a review Mar 2019Kingswinford, United Kingdom34 
contributions4 helpful votes</t>
  </si>
  <si>
    <t>Great locationMyself and my friend stayed here for a couple of nights whilst we explored 
the sights of London. Location is great. It's on a bus route which takes 
you as far as to London bridge. There's not too much noise and traffic. 
Breakfast was lovely, served downstairs on the lobby so we didn't have far 
to go. If I was to return to London I would be more than happy stay here 
again.Read moreDate of stay: October 2018HelpfulShare</t>
  </si>
  <si>
    <t>A nice and quiet travelodge with helpful staffRecently stayed here for one night … room was large and airy and light 
sockets near the bed had USB ports so I could charge phone overnight. Clean 
and breakfast really good with plenty of tables and no queues. Colleague 
had a problem with the vending machine and they very quickly rectified this 
for her. Guy that appeared to be the manager really helpful. About 5 mins 
walk from Waterloo stationRead moreDate of stay: March 2019HelpfulShare</t>
  </si>
  <si>
    <t>Colin K wrote a review Aug 2019Urquhart, United Kingdom20 contributions12 
helpful votes</t>
  </si>
  <si>
    <t>davidg0rman wrote a review Mar 2019Alicante, Spain5 contributions</t>
  </si>
  <si>
    <t>Great Value HotelGood location hotel, excellent value for London. Great for couples. Clean 
with great service from reception to cafe/bar. A couple of minor hiccups 
with our stay which were attended to quickly. Close to Kings Cross station 
and St Pancras, it makes travel to the centre of London simple and good 
transport links to airports.Read moreReview collected in partnership with 
TravelodgeDate of stay: August 2019HelpfulShare</t>
  </si>
  <si>
    <t>AJAneT19 wrote a review Aug 2019Lincoln, United Kingdom1 contribution</t>
  </si>
  <si>
    <t>UnacceptableHotel stay was booked with dinner included. Arrived for dinner at 8PM and 
was told there was a 90 minute wait as party booked in. Manager explained 
as it was written on chalk board that restaurant may be busy after 7PM it 
wasn't her fault. Atrocious! Did get refund for inclusive dinner but then 
had to find somewhere for dinner. Will never stay here again and would 
think twice about staying at a Travelodge againRead moreDate of stay: March 
2019HelpfulShareResponse from TravelodgeUK, Ben from the Social Media Team 
at Travelodge London Waterloo HotelResponded 28 Mar 2019Thank you for 
taking the time to write a review. We wish for our customers to enjoy their 
experience in our bar café so we are sorry to hear that you were not 
positively impressed by your last stay in our London Waterloo hotel. We aim 
to provide a high level of service from our staff in our bar cafes and we 
do apologise that you did not feel this was provided on this occasion. We 
will make the most of your comments to continue improving the service we 
offer and we hope to welcome you again in the near future.Read more</t>
  </si>
  <si>
    <t>https://www.tripadvisor.co.uk/Hotel_Review-g186338-d1812157-Reviews-or525-Travelodge_London_Waterloo_Hotel-London_England.html#REVIEWS</t>
  </si>
  <si>
    <t>DisappointingThe hotel staff were efficient but not over friendly. The bin in the 
bathroom had not been emptied from previous occupant. The hand basin had a 
huge crack across it. I’ve stayed in other Travelodges in London and this 
one was very poor in comparison.Read moreReview collected in partnership 
with TravelodgeDate of stay: August 2019HelpfulShareResponse from 
TravelodgeUK, Zack from The Social Media Team at Travelodge London Kings 
Cross Royal ScotResponded 14 Aug 2019Thank you for taking the time to 
advise of your recent stay at our London Kings Cross Royal Scot hotel. We 
are sorry to hear of your disappointment with the bathroom you were given, 
and that the sink in your room was broken. It is only through feedback such 
as yours that we are able to maintain and indeed, where necessary improve 
upon the service that we provide to our valued guests. We do thank you for 
taking the time to share your experience so these issues can be resolved to 
ensure that this does not repeat for other guests.Read more</t>
  </si>
  <si>
    <t>Amy P wrote a review Mar 2019Manchester, United Kingdom131 contributions69 
helpful votes</t>
  </si>
  <si>
    <t>Great location and roomChose this hotel as was near Waterloo station. Check in was a little slow 
but we were upgraded to a super room. The room was really nice, spacious 
and we slept really well. We were also able to store our luggage for free 
at the hotel.Read moreDate of stay: March 20191 Helpful 
voteHelpfulShareResponse from TravelodgeUK, James from the Social Media 
Team at Travelodge London Waterloo HotelResponded 25 Mar 2019Thank you for 
reviewing our Travelodge London Waterloo Hotel. We are very happy to hear 
that you enjoyed this stay with us although we do apologise that the check 
in process took a while longer than you expected. Please rest assured that 
the hotel's management team do check up on reviews of their hotels so your 
comments have been passed on. Once again we'd like to thank you for leaving 
this lovely review and we do hope that you stay with us again!Read more</t>
  </si>
  <si>
    <t>AnnonNW wrote a review Aug 20191 contribution</t>
  </si>
  <si>
    <t>Ok for what it isWe arrived early for early check in (11:45 instead of 12:00) and was still 
able to get our room key. Every thing was lovely and clean. Only problem we 
encountered was that in the morning the lights wouldn't turn on (tv, fan 
and kettle worked fine though) so we had to get ready in the dark. We 
couldn't open the curtains as it was on a main road and people would see 
in. Apart from that, everything was good.Read moreReview collected in 
partnership with TravelodgeDate of stay: August 2019HelpfulShare</t>
  </si>
  <si>
    <t>MrP0007 wrote a review Mar 20193 contributions3 helpful votes</t>
  </si>
  <si>
    <t>https://www.tripadvisor.co.uk/Hotel_Review-g186338-d243667-Reviews-or845-Travelodge_London_Kings_Cross_Royal_Scot-London_England.html#REVIEWS</t>
  </si>
  <si>
    <t>Stephen W wrote a review Aug 2019Harrogate, United Kingdom1 contribution</t>
  </si>
  <si>
    <t>Great value for money.Great value for money, very friendly &amp; helpful staff - excellent breakfast 
of freshly cooked food and cereals. Also, it's a great location for Kings 
Cross travellers and others areas of London. I will stay here again in 
future, and have no hesitation in recommending it to others.Read moreReview 
collected in partnership with TravelodgeDate of stay: August 
2019HelpfulShare</t>
  </si>
  <si>
    <t>Weekend awayGreat value place to stay. Check it was very smooth very attentive staff 
room was very clean. Excellent location for central London and southbank. 
We have been here many times and always been greeted with excellent service 
special mention to Marcio on the bar who takes great pride in his work and 
Humayra always great customer service. We will definitely be back again 
soon.Read moreDate of stay: March 20191 Helpful voteHelpfulShare</t>
  </si>
  <si>
    <t>Scenic607502 wrote a review Mar 2019Winchester, United Kingdom28 
contributions3 helpful votes</t>
  </si>
  <si>
    <t>Alan R wrote a review Aug 2019Skegness, United Kingdom12 contributions4 
helpful votes</t>
  </si>
  <si>
    <t>A night away shoppingExcellent service in hotel. We were even upgraded! Coffee machine in rooms 
and KitKats which were a nice touch. Only negative was the lift didn’t work 
but the staff were friendly fly and helpful. Would definitely return 
Breakfast was really good lots of choiceRead moreDate of stay: March 20191 
Helpful voteHelpfulShare</t>
  </si>
  <si>
    <t>A ggod base for LondonThe hotel was well situated, only 10 minutes walk from Kings Cross/Pancras 
Station. It was a good base for a few days break in London. The staff were 
very helpful and friendly allowing us to leave our bags as we had arrived 
early.Read moreReview collected in partnership with TravelodgeDate of stay: 
August 2019HelpfulShare</t>
  </si>
  <si>
    <t>Roam303209 wrote a review Aug 20191 contribution</t>
  </si>
  <si>
    <t>https://www.tripadvisor.co.uk/Hotel_Review-g186338-d1812157-Reviews-or530-Travelodge_London_Waterloo_Hotel-London_England.html#REVIEWS</t>
  </si>
  <si>
    <t>Compliment to my stayI had a lovely stay at the Travel Lodge Royal Scot, The staff was friendly 
and made me feel welcome. There are 2 of the staff who were standing out, I 
would like to mention them, Haleema and Mateusc. Thak you u 2 for the 
welcome reception and when we departured. I have to say, the breakfast was 
good but it was cold before u get to your table. Thanks for the friendly 
staff Frederick from IrelandRead moreReview collected in partnership with 
this hotelDate of stay: August 2019HelpfulShare</t>
  </si>
  <si>
    <t>Aurélie B wrote a review Aug 20192 contributions1 helpful vote</t>
  </si>
  <si>
    <t>A wonderful teamA wonderful team, well organized and a spacious room for a family of 4. The 
meals served for dinner are excellent and there is plenty of food for 
breakfast, enough to suit everybody's needs. The personnel is very nice and 
helpful.Read moreReview collected in partnership with this hotelDate of 
stay: August 2019HelpfulShare</t>
  </si>
  <si>
    <t>Safari09185160454 wrote a review Mar 20191 contribution</t>
  </si>
  <si>
    <t>https://www.tripadvisor.co.uk/Hotel_Review-g186338-d243667-Reviews-or850-Travelodge_London_Kings_Cross_Royal_Scot-London_England.html#REVIEWS</t>
  </si>
  <si>
    <t>AwfulMy stay was ruined by an awful sewage-like smell emanating from the 
bathroom, a frequent buzzing/ vibrating sound coming from above the 
headrest, a gurgling air conditioning unit (whether turned on or off) and 
an unbearably hot room that not even an open window could rectify - my stay 
was in March and it was close to freezing outside. I was then offered a 
full refund upon my departure, only to later find out I had only been 
issued a 50% refund.Read moreReview collected in partnership with 
TravelodgeDate of stay: March 2019HelpfulShareResponse from TravelodgeUK, 
Shaf from the Social Media Team. at Travelodge London Waterloo 
HotelResponded 19 Mar 2019Thank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</si>
  <si>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janettewright2019 wrote a review Aug 2019Thornaby on Tees, United Kingdom1 
contribution</t>
  </si>
  <si>
    <t>MrsBaum wrote a review Mar 2019Leeds, United Kingdom706 contributions240 
helpful votes</t>
  </si>
  <si>
    <t>Excellent value for moneyThe hotel was perfectly located within walking distance of Kings Cross 
railway station It was basic but extremely clean &amp; welcoming. The staff 
were really helpful &amp; the food was excellent, the buffet breakfast being 
tasty &amp; plentiful. Would highly recommend for people looking for a good 
value for money stay in London.Read moreReview collected in partnership 
with this hotelDate of stay: August 2019HelpfulShare</t>
  </si>
  <si>
    <t>Convenient LocationEasy to find from the tube station on the Junilee line which is what I 
wanted as was n London for event at the o2. GBK and Tesco 
Express/Sainsbury’s within short walk. Still hate the £10 early check in 
fee, 14 people all waited until 2 to check in, either rooms are ready or 
they aren’t... Will stay again for location if at another o2 eventRead 
moreReview collected in partnership with TravelodgeDate of stay: March 
20191 Helpful voteHelpfulShare</t>
  </si>
  <si>
    <t>Joe L wrote a review Aug 2019Liverpool, United Kingdom2 contributions</t>
  </si>
  <si>
    <t>GrandTour33105419155 wrote a review Mar 20191 contribution</t>
  </si>
  <si>
    <t>Top Marks!The service in this hotel is suitable for the Queen. We had breakfast and 
dinner on two occasions during our stay, every meal was cooked to 
perfection. All staff members couldn't do enough for us. Thank you for the 
lovely break.Read moreReview collected in partnership with TravelodgeDate 
of stay: March 2019HelpfulShare</t>
  </si>
  <si>
    <t>Odyssey09976326773 wrote a review Mar 20191 contribution</t>
  </si>
  <si>
    <t>An enjoyable 2 night stayAll aspects of what one might expect were satisfied on our 2 night stay. 
Excellent food and service both at breakfast and evening meals Friendly, 
helpful staff. Clean and comfortable. A well managed hotel.Read moreReview 
collected in partnership with TravelodgeDate of stay: March 2019HelpfulShare</t>
  </si>
  <si>
    <t>JoePretty much standard fare apart from the heat in the room, small table fan 
just circulating the hot air, windows can only be opened about 3 inches as 
they have alarms fitted, impossible to sleep at night...hot than a 
sauna...never again..they say you get what you pay for and you certainly 
do, most guests seemed distressed coming down from there rooms in the 
morning it really was so hot...funnily enough they had lovely air con in 
reception...I rest my case.!!!!!Read moreDate of stay: August 
2019HelpfulShareResponse from TravelodgeUK, Ben from the Social Media Team 
at Travelodge London Kings Cross Royal ScotResponded 11 Aug 2019We 
appreciate the time you have taken to review our London Kings Cross Royal 
Scot hotel. We are sorry to learn that the higher temperatures had a 
negative impact on your experience. Unfortunately, this hotel does not have 
air conditioning however our hotels will try their best to reduce the 
impact of the hotter weather by offering fans and keeping the curtains 
closed, however we fully appreciate and do apologise that you were not 
comfortable during your time with us. Your feedback is very important to us 
as it is the starting point we use to act on improvements and we thank you 
for taking the time to share your experience.Read more</t>
  </si>
  <si>
    <t>James C wrote a review Aug 2019Mansfield, United Kingdom16 contributions11 
helpful votes</t>
  </si>
  <si>
    <t>https://www.tripadvisor.co.uk/Hotel_Review-g186338-d1812157-Reviews-or535-Travelodge_London_Waterloo_Hotel-London_England.html#REVIEWS</t>
  </si>
  <si>
    <t>Tracey F wrote a review Mar 2019London, United Kingdom5 contributions1 
helpful vote</t>
  </si>
  <si>
    <t>So soCheck in was half an hour earlier than stated which was handy to get out 
into the city quicker. There is also a service where you can leave your 
stuff in a locker for free if you want to go out before 3pm. The lobby area 
was clean and basic. The WiFi was excellent, no issues atal. The room was 
quite stuffy, but there was a fan provided. The decor is outdated but the 
room was clean and comfortable. I had a good nights sleep, nothing kept me 
awake. The bathroom is tiny but not a huge issue as it was clean, hot 
shower worked. The breakfast wasn’t that good, sooner gone out somewhere 
else. Beans were cold and hash browns funny texture, made me a feel a bit 
gross. Overall, very average. £100 a night in central London you can’t 
complain.Read moreDate of stay: August 2019HelpfulShare</t>
  </si>
  <si>
    <t>Great location, great hotel, pleasant staff and reasonably pricedI booked 2 nights for myself, a friend and 4 family members for my 'big' 
birthday weekend as I needed to have a centrally based location for all the 
activities planned over the weekend. My family live a long way out of 
London and are retired and finding good accommodation at a reasonable price 
in central London is very hard. Travelodge fit the bill perfectly. The 
rooms were clean, good sized (we had Super Doubles) and the unlimited 
breakfast was plentiful and had lots of choice for all tastes and dietary 
requirements. The staff were really helpful and friendly and there was a 
late bar and food served into the early hours on Saturday night which was 
great when you had returned from a night out and wanted a nightcap. Would 
definitely use the hotel again.Read moreDate of stay: March 2019HelpfulShare</t>
  </si>
  <si>
    <t>JTT wrote a review Aug 20194 contributions</t>
  </si>
  <si>
    <t>nlee129874fah wrote a review Mar 2019Portsmouth, United Kingdom3 
contributions</t>
  </si>
  <si>
    <t>Worst room ever stayed inOutdated and dirty. Mould on ceilings and walls. Shower curtain stained 
with mildew. Fittings worn and soap dispenser broken/left open. Completely 
unreasonable for the cost. The funky smell of damp isn't welcoming.Read 
moreDate of stay: August 2019HelpfulShareResponse from TravelodgeUK, James 
from the Social Media Team at Travelodge London Kings Cross Royal 
ScotResponded 8 Aug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</si>
  <si>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Great value and very cleanGreat value and centre of Waterloo very close to the train station. Hotel 
was clean and staff were very helpful. I even left my Fitbit in the room 
and they sent it to me in the post! Very great service and very helpful 
would recommend!Read moreReview collected in partnership with 
TravelodgeDate of stay: March 2019HelpfulShare</t>
  </si>
  <si>
    <t>https://www.tripadvisor.co.uk/Hotel_Review-g186338-d243667-Reviews-or855-Travelodge_London_Kings_Cross_Royal_Scot-London_England.html#REVIEWS</t>
  </si>
  <si>
    <t>Anne B wrote a review Mar 2019Dublin208 contributions22 helpful votes</t>
  </si>
  <si>
    <t>JWD06 wrote a review Aug 20192 contributions</t>
  </si>
  <si>
    <t>Absolutely FineStayed for six nights. Great location for transport. Yes, some aspects of 
the decor are a bit tired but it’s not the end of the world. Room wasn’t 
unbearably hot (and we were there in the very hot week). Yes there was some 
noise from the street but it’s a hotel in central London and didn’t affect 
our sleep. Staff were so helpful on reception from letting us in early when 
we arrived and storing luggage on our last day. Breakfast is worth it if 
you have children and they eat free, maybe not otherwise.Read moreDate of 
stay: July 2019HelpfulShare</t>
  </si>
  <si>
    <t>Convenient and comfortableThe location suited my needs - mainline rail station and tube stations 
nearby and good bus routes up into London though walking a good option 
given the distance and slowness of traffic. Room was perfect for me. I did 
not bother with breakfast/meals as celiac options not hectic eg scrambled 
egg not GF. There are plenty of small supermarkets/cafes nearby such as 
Tesco, Sainsburys, Pret a manger and Costa. Only issue was there was only 
one lift working on 5 of the 6 days I was there. Even the staff had to use 
the one lift which has to service 8 floors up. Small enough as with luggage 
really only four people could fit. On the last day the remaining lift was 
groaning a bit. Overall I was happy as it was clean and quiet as well as 
comfortable. My room was small but well…Read moreDate of stay: March 
2019HelpfulShare</t>
  </si>
  <si>
    <t>Phillip L wrote a review Aug 201935 contributions4 helpful votes</t>
  </si>
  <si>
    <t>Traveler49211620247 wrote a review Mar 2019Cardiff, United Kingdom1 
contribution</t>
  </si>
  <si>
    <t>https://www.tripadvisor.co.uk/Hotel_Review-g186338-d1812157-Reviews-or515</t>
  </si>
  <si>
    <t>Travel Lodge WaterlooWe stayed for 2 nights. Good clean rooms with a good location and 
reasonably priced. Just a short walk from waterloo station. Food was good 
and reasonably priced for London. The staff were friendly and helpfulRead 
moreReview collected in partnership with TravelodgeDate of stay: March 
2019HelpfulShare</t>
  </si>
  <si>
    <t>Hot room, no A/C and couldn't open the window wide enoughThis room was the cheapest I could find for a business trip, but it was 
only 20% cheaper than CitizenM in Shoreditch last week which was good. 
Overall this place felt tired, hot and noisy. The room was hot on entry, 
even though the weather was low 20C. No A/C and the windows only open about 
10cm. It was warmer the next morning even though outside it was around 15C. 
No iron or a hairdryer. Decor and comfort I would expect from a non-chain 
bargain hotel. Won't stay here again.Read moreDate of stay: August 
2019HelpfulShareResponse from TravelodgeUK, Ben from the Social Media Team 
at Travelodge London Kings Cross Royal ScotResponded 13 Aug 2019We 
appreciate the time you have taken to review our London Kings Cross Royal 
Scot hotel. We are sorry to learn that the higher temperatures had a 
negative impact on your experience. Unfortunately, this hotel does not have 
air conditioning however our hotels will try their best to reduce the 
impact of the hotter weather by offering fans and keeping the curtains 
closed, however we fully appreciate and do apologise that you were not 
comfortable during your time with us. Your feedback is very important to us 
as it is the starting point we use to act on improvements and we thank you 
for taking the time to share your experience.Read more</t>
  </si>
  <si>
    <t>Dave_Sarah72 wrote a review Mar 2019Leicester, United Kingdom7 
contributions2 helpful votes</t>
  </si>
  <si>
    <t>Lucy C wrote a review Aug 20191 contribution</t>
  </si>
  <si>
    <t>Weekend away in LondonWe've been to this Travelodge a few times now and it has always been very 
good stay to stay there. The location to Waterloo Train Station is only a 
short walk away and the staff are always accommodating (special mention to 
Humayra, Raisa and Darren). The room we had was a double room but we found 
that the air conditioning unit was a little noisy even when it was switched 
off. We advised the reception about this and they changed our room with no 
problems. The hotel itself is generally clean and tidy, and the breakfast 
there is also very good. We would recommend this hotel for a stay in 
London.Read moreDate of stay: March 2019HelpfulShare</t>
  </si>
  <si>
    <t>OutdatedI've stayed at the 3 Travelodges in the area : Central Kings Cross, Royal 
Scot and Farringdon. Royal Scot is by far the worst. Rooms far too hot, 
with no AC. Only a fan which has little effect. Desks and tables in rooms 
are worn out. Although, the reception and dining space was lovely. Nice 
location, not too far to walk to Kings Cross station. Farringdon is better 
in my opinion &amp; cheaper depending on what time you go.Read moreDate of 
stay: August 2019HelpfulShare</t>
  </si>
  <si>
    <t>EwaKoci wrote a review Aug 2019Edinburgh, United Kingdom1 contribution</t>
  </si>
  <si>
    <t>https://www.tripadvisor.co.uk/Hotel_Review-g186338-d1812157-Reviews-or540-Travelodge_London_Waterloo_Hotel-London_England.html#REVIEWS</t>
  </si>
  <si>
    <t>Very good stay in London (polecam!)Very good location, especially because of short distance to public 
transport, direct coach to Stansted Airport and of course British Museum. 
Rooms from the front have great view for street life, but very noisy ;) 
Rooms from the back - opposite. Thanks to staff (Mateusz, who was extremely 
helpful and chatty, thank You! Offered help for later as well, knowledge 
about the city, very smily and professional.) I want to back there to see 
Camden area.Read moreReview collected in partnership with TravelodgeDate of 
stay: July 2019HelpfulShare</t>
  </si>
  <si>
    <t>Katrina S wrote a review Mar 2019Fleet, United Kingdom6 contributions</t>
  </si>
  <si>
    <t>S Swann wrote a review Aug 20193 contributions2 helpful votes</t>
  </si>
  <si>
    <t>Good place to stayThis was a great Travelodge. It was very clean, fantastic location, and 
exactly what I needed for my short stay. The rooms were quiet, and the 
breakfast was decent. The price was okay, it is London so it really wasn’t 
to bad for what you get. Love how the room had USB ports and a place to 
work which was great.Read moreReview collected in partnership with 
TravelodgeDate of stay: March 2019HelpfulShare</t>
  </si>
  <si>
    <t>Friendly staffA clean, simple hotel in a good location, offering excellent value for 
money. The bed was comfortable. The staff were friendly and helpful. Thank 
you Halooma for all your help with our baggage an directions, you were 
5*.Read moreDate of stay: August 2019HelpfulShare</t>
  </si>
  <si>
    <t>StanleyArthur wrote a review Mar 2019KENT44 contributions8 helpful votes</t>
  </si>
  <si>
    <t>https://www.tripadvisor.co.uk/Hotel_Review-g186338-d243667-Reviews-or860-Travelodge_London_Kings_Cross_Royal_Scot-London_England.html#REVIEWS</t>
  </si>
  <si>
    <t>Excellent value in convenient locationStayed here for one night and I was very pleasantly surprised by the Hotel. 
Room was nice and warm on a cold wet day. Spotlessly clean room and 
bathroom. Fluffy white towels and tea and coffee making facilities in the 
room. Excellent breakfast- full English, yogurt fresh fruit good quality 
tea and coffee. Excellent selection. Would definitely stay here again.Read 
moreReview collected in partnership with TravelodgeDate of stay: March 
2019HelpfulShare</t>
  </si>
  <si>
    <t>damienn484 wrote a review Aug 2019Barnsley, United Kingdom57 contributions1 
helpful vote</t>
  </si>
  <si>
    <t>Top holidayMe and my daughter in the big city that never sleeps well located good 
transportation links quiet hotel but very busy breakfast excellent value 
lots of choice children eat free and brilliant for fussy eaters to make 
sure kids have something to eatRead moreReview collected in partnership 
with TravelodgeDate of stay: August 2019HelpfulShare</t>
  </si>
  <si>
    <t>Blanca wrote a review Aug 2019Madrid, Spain2 contributions</t>
  </si>
  <si>
    <t>Meryl B wrote a review Mar 201917 contributions4 helpful votes</t>
  </si>
  <si>
    <t>Good experienceThough we were a bit scared because of some of the opinions we had read we 
have to say our experience was positive. We stayed there for 3 nights. Room 
clean and with good temperature, a bit small but we needed no more just to 
rest and take a shower. We asked for an interior room as recommended here 
and we were easily given it so the nights were calm and with no noise at 
all. We also paid for wifi and breakfast and sincerely think the variety of 
breakfast does not worth the price (you have plenty of cafés and options to 
have it, even at Kings Cross St Pancras station, which is about 8 minutes 
walking from the hotel and gets you to the city centre in very few time). 
On our last day, after checkout was done, we asked if they could keep our 
luggage while we took a last short walk…Read moreDate of stay: August 
2019HelpfulShare</t>
  </si>
  <si>
    <t>A findV clean, refurbished, good value, well placed and offering good value on 
food and drink. Staff were efficient and most welcoming. Handy for South 
Bank, Waterloo Station, theatres and many restaurants.Read moreReview 
collected in partnership with this hotelDate of stay: March 2019HelpfulShare</t>
  </si>
  <si>
    <t>Chantal M wrote a review Aug 20191 contribution</t>
  </si>
  <si>
    <t>https://www.tripadvisor.co.uk/Hotel_Review-g186338-d1812157-Reviews-or545-Travelodge_London_Waterloo_Hotel-London_England.html#REVIEWS</t>
  </si>
  <si>
    <t>Discovering LondonI brought my 3 year old daughter to London on a discovery trip. I was 
disappointed that in a day stay, not once a staaff came to my room to at 
least empty the bins Otherwise good location and good value for money, 
although the rooms are old.Read moreDate of stay: July 2019HelpfulShare</t>
  </si>
  <si>
    <t>M S wrote a review Mar 20191 contribution</t>
  </si>
  <si>
    <t>Scott fyfe wrote a review Aug 20191 contribution</t>
  </si>
  <si>
    <t>Excellent hotel!It's my second stay at this hotel, and I can only say that it has five 
stars standards. The rooms are high spec and spotlessly clean. There was a 
manager in the lobby speaking to guests and working alongside their staff 
in the morning and the evening. Having stayed at many of your hotels, I can 
confidently say that Waterloo is by far the best.Read moreReview collected 
in partnership with this hotelDate of stay: March 2019HelpfulShare</t>
  </si>
  <si>
    <t>Mr fyfeExcellent staff very helpfully being abit of a big lad Bella came to rescue 
was great sorted me out another room couldn’t have been more helpful with 
directions places to eat taxis everything bella is the bestRead moreDate of 
stay: August 2019HelpfulShare</t>
  </si>
  <si>
    <t>Sightseer17497159963 wrote a review Mar 2019Axminster, United Kingdom1 
contribution</t>
  </si>
  <si>
    <t>https://www.tripadvisor.co.uk/Hotel_Review-g186338-d243667-Reviews-or865-Travelodge_London_Kings_Cross_Royal_Scot-London_England.html#REVIEWS</t>
  </si>
  <si>
    <t>travelodge waterloo hotelwould recommend this hotel, very close to waterloo station, and heart of 
London, rooms were clean, tidy, and very quiet, staff were very pleasant 
and helpful, good breakfast, and evening meal was very good, we were even 
able to leave our luggage there on the last day, until we caught our train, 
all in all a very pleasant experience.Read moreDate of stay: February 
2019HelpfulShare</t>
  </si>
  <si>
    <t>Gezz wrote a review Aug 2019Stalybridge, United Kingdom1 contribution</t>
  </si>
  <si>
    <t>Happy holiday wrote a review Mar 2019Romsey, United Kingdom6 contributions1 
helpful vote</t>
  </si>
  <si>
    <t>Short breakExcellent location, staff friendly, good value the breakfast was good value 
but as it was the first week of school holidays the dining room staff 
struggled to keep up with numbers. I would not pay for WIFI access in the 
future as we were unable to log on during our stay.Read moreReview 
collected in partnership with TravelodgeDate of stay: July 2019HelpfulShare</t>
  </si>
  <si>
    <t>Overnight breakHotel spotlessly clean comfy beds clean shower and toilet Staff in all 
departments were very welcoming We had the breakfast that was brilliant 
loads of choice and plenty of it Good location as we travelled by train and 
we were able to leave out luggage on checkout so we could site see before 
going home I would stay again and recommend the hotelRead moreReview 
collected in partnership with this hotelDate of stay: March 2019HelpfulShare</t>
  </si>
  <si>
    <t>Lukeh123 wrote a review Mar 2019Kings Langley, United Kingdom9 
contributions4 helpful votes</t>
  </si>
  <si>
    <t>bub_s869 wrote a review Aug 2019Portsmouth, United Kingdom33 contributions8 
helpful votes</t>
  </si>
  <si>
    <t>Dreadful communicationWe stayed here Sunday 24th Feb and was woken up late Sun evening / Mon 
morning by the hotels fire alarm. We made our way to the reception / bar 
area along with a lot of other guests only to be told by staff if was a 
false alarm and it's safe to return to our room. A short time later after 
getting back into bed the fire alarm sounded again again dressed and 
downstairs to be told again by another member of staff that it was a false 
alarm and to ignore it. We went back to bed for the fire alarm to sound 
again I waited a while as staff had told us to ignore it however it 
persisted I eventually gave up and went downstairs to be confronted by 
another member of staff who informed me I needed to evacuate I told him 
that on 2 occasions female staff had told me to ignore it he said not…Read 
moreDate of stay: February 2019HelpfulShareResponse from TravelodgeUK, Shaf 
from the Social Media Team. at Travelodge London Waterloo HotelResponded 8 
Mar 2019Thank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</si>
  <si>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OK TravelodgeWe were allocated room on Business floor (6th) and could hear a peersistent 
low rumbling. Although it did not cause us to lose any sleep it might 
affect other couples. Travelodge was the usual standard you would accept - 
clean rooms, good breakfast and helpful staff. This Travelodge is ten 
minutes walk from Kings Cross which was very convenient for us. Didn't have 
a car so can't comment on parking arrangements.Read moreReview collected in 
partnership with this hotelDate of stay: August 2019HelpfulShare</t>
  </si>
  <si>
    <t>DavidCh1966 wrote a review Aug 2019Wigan, United Kingdom1 contribution</t>
  </si>
  <si>
    <t>https://www.tripadvisor.co.uk/Hotel_Review-g186338-d1812157-Reviews-or550-Travelodge_London_Waterloo_Hotel-London_England.html#REVIEWS</t>
  </si>
  <si>
    <t>Good value for moneyExcellent staff attitude and hotel did what it said on the tin. Not plush 
but clean and functional. Breakfast really nice. Bit scruffy neighbourhood 
but on the whole, would definitely stay there again. Short walk from KIngs 
Cross Stn so location good.Read moreReview collected in partnership with 
this hotelDate of stay: August 2019HelpfulShare</t>
  </si>
  <si>
    <t>https://www.tripadvisor.co.uk/Hotel_Review-g186338-d243667-Reviews-or870-Travelodge_London_Kings_Cross_Royal_Scot-London_England.html#REVIEWS</t>
  </si>
  <si>
    <t>Trek65293483905 wrote a review Mar 20191 contribution1 helpful vote</t>
  </si>
  <si>
    <t>Sightsee58521912608 wrote a review Aug 20191 contribution</t>
  </si>
  <si>
    <t>Wailing shower spoils stayA very pleasant weekend, apart from being rudely awoken on Sunday morning 
by the shower waste making strange noises. Despite being a "superroom", I'm 
very surprised there were no glasses, or even plastic cups. My other half 
was not very impressed whilst getting ready, having to drink her wine out 
of a coffee mug!Read moreReview collected in partnership with 
TravelodgeDate of stay: March 20191 Helpful voteHelpfulShare</t>
  </si>
  <si>
    <t>FrenchPerson wrote a review Mar 2019Leeds, United Kingdom296 
contributions114 helpful votes</t>
  </si>
  <si>
    <t>Short city break.Travelled to London for my daughter's 18th birthday. The hotel is ideally 
located for shopping, visiting the theatre or sight seeing. We walked to 
most places we visited but it is just as easy to hop on the tube or train. 
The staff were very helpful if you needed help with this and also ordering 
a local taxi. Will definitely stay again. The breakfast was 
exceptional.Read moreReview collected in partnership with TravelodgeDate of 
stay: August 2019HelpfulShare</t>
  </si>
  <si>
    <t>The staff make it specialI stay in London 2 nights a week for my job. Last week I stayed in a 
certain 4* hotel near Lambeth North - I won’t name names - but I recently 
reviewed it... and this travelodge was better �� What really made it were 
the staff. Big shout out to Wassim on reception. Every time I came in the 
hotel he told me how nice it was to see me again... he greeted me and was 
incredibly helpful. That’s total 5* service I’d expect in a 5* hotel. 
Thanks Wassim, you’re a star! The lady working in the restaurant and bar on 
5th March (evening) was also excellent and gave me great service. Sorry I 
didn’t get your name but yet again a lovely member of staff. The hotel is 
in a good location with decent transport links. The breakfast is honestly 
very tasty and well stocked. Again, the breakfast…Read moreDate of stay: 
March 2019HelpfulShare</t>
  </si>
  <si>
    <t>Soccerkev wrote a review Aug 2019Guildford, United Kingdom1 contribution</t>
  </si>
  <si>
    <t>ROLAND S wrote a review Mar 2019CARDIFF, United Kingdom2 contributions</t>
  </si>
  <si>
    <t>Good EnoughNeeded a cost effective room for one night. The room was clean and 
comfortable. There were no extras: no fridge, no a/c, soap was in a 
dispenser on the wall that didn’t work, no hair dryer etc. But I didn’t 
really need those things. The price was right and I had a good nights 
sleep. Front desk staff were friendly.Read moreReview collected in 
partnership with this hotelDate of stay: August 2019HelpfulShare</t>
  </si>
  <si>
    <t>Comfortable and convenientThis popular and conveniently sited Travelodge has friendly and helpful 
staff. I use it frequently. I have nothing else to add and it is irritating 
to be constrained to writing two hundred characters.Read moreReview 
collected in partnership with this hotelDate of stay: February 
2019HelpfulShare</t>
  </si>
  <si>
    <t>https://www.tripadvisor.co.uk/Hotel_Review-g186338-d1812157-Reviews-or555-Travelodge_London_Waterloo_Hotel-London_England.html#REVIEWS</t>
  </si>
  <si>
    <t>chrisb1233 wrote a review Mar 2019Poole, United Kingdom296 contributions110 
helpful votes</t>
  </si>
  <si>
    <t>https://www.tripadvisor.co.uk/Hotel_Review-g186338-d243667-Reviews-or875-Travelodge_London_Kings_Cross_Royal_Scot-London_England.html#REVIEWS</t>
  </si>
  <si>
    <t>Good locationRooms are not that big but adequate. Lovely shower we had the new plus room 
very clean and nice lighting. Receptionist took a while to acknowledge that 
we were waiting to check in just carried on with what she was doing. Bar 
and restaurant area very clean and modern. Plenty of choice at breakfast 
but all hot food was barely warm. Wouldn’t like to stay for any length of 
time but for overnight it’s fine.Read moreDate of stay: March 
2019HelpfulShare</t>
  </si>
  <si>
    <t>ollieleitrm wrote a review Aug 2019Leitrim6 contributions1 helpful vote</t>
  </si>
  <si>
    <t>alexhmmoore224 wrote a review Mar 2019Basingstoke, United Kingdom3 
contributions</t>
  </si>
  <si>
    <t>Lovely Stay in LondonWe just recently visited London and stayed in the Travelodge Kings Cross 
Royal Scot. We had a great time- the hotel staff were friendly, welcoming 
and very helpful- answering any questions or offering best advice to help 
us get around easily. The rooms were clean and comfortable and a great 
place to unwind after action packed days going around the city. The 
breakfast was included in our package which fueled us and kept us full till 
the afternoon. Thanks to the staff for their hospitality and accommodating 
us on our visit. Looking forward to staying with you againRead moreDate of 
stay: August 2019HelpfulShare</t>
  </si>
  <si>
    <t>Great and Well SituatedLovely food, room and staff we had no issues whilst we stayed there 
everyone was extreamely helpful and the food was lovely. We both slept well 
and had everything we needed. It was great value for money and I would 
recommend.Read moreReview collected in partnership with TravelodgeDate of 
stay: March 2019HelpfulShare</t>
  </si>
  <si>
    <t>ashbekkah wrote a review Aug 20191 contribution</t>
  </si>
  <si>
    <t>H011y Day wrote a review Mar 20194 contributions1 helpful vote</t>
  </si>
  <si>
    <t>Great value for money, lovely stay, friendly and welcoming staff.Really enjoyed our stay. Arrived during the heatwave so room was very warm 
on the first night but can’t be helped. Hotel closed the curtains and 
provided a fan, did all they could to make us as comfortable as possible. 
Very clean and decently sized room. Comfy bed and pillows and had a great 
nights sleep aside from the heat. Everything worked well and staff were 
lovely and accommodating. Food on the first night was delicious from the 
bar. The chicken on the second night was half warm and half cold which was 
a little disappointing, but made staff aware and was offered a replacement. 
Accepted a refund instead, but staff were very apologetic and resolved the 
issue. Would definitely stay again, good location and it was good that the 
hotel had vending machines to get drinks when the…Read moreReview collected 
in partnership with TravelodgeDate of stay: July 2019HelpfulShare</t>
  </si>
  <si>
    <t>GreatI have stayed here for 6 nights over the last couple of months. It has been 
great each time. The rooms have been spotlessly clean, and are newly 
decorated. Breakfast has been great, and the beds v comfy. The location, 
literally just 5 mins from Waterloo, is fab. It’s a 10 min walk to the 
imperial war museum. The restaurant food has been excellent value for money 
- great with a child - but there are also places, inc a Prets close by, if 
wanted. But the best thing is the staff. None of them could have been nicer 
or more helpful on each and every day of my stay. Would recommend. Beats 
the Hilton next door - my room when I stayed there a year ago was half the 
sizeRead moreDate of stay: March 2019HelpfulShare</t>
  </si>
  <si>
    <t>Louisevad wrote a review Aug 2019Viborg, Denmark1 contribution</t>
  </si>
  <si>
    <t>138andrea12 wrote a review Mar 2019Falmouth, United Kingdom7 contributions1 
helpful vote</t>
  </si>
  <si>
    <t>Really good for the priceWe had a really good stay at the hotel. It wasn’t the first time staying at 
this exact travelodge hotel, så we knew how good the standard and quality 
was. Great service and very helping and friendly staff. The only minus 
about the room is the bed. It is very hard from what we are used to, and 
the pillows are too hard and big to sleep comfortable with.Read moreReview 
collected in partnership with TravelodgeDate of stay: July 2019HelpfulShare</t>
  </si>
  <si>
    <t>Weekend stayWe checked in Friday the 22nd February . We were there untill Monday 
morning. We droped off our luggage on the Friday morning and they kept it 
for us untill we checked in later that evening. We asked for a travel cot 
for our daughter and there was one in the room all up but it was filthy had 
big holes in the mesh and was all stained . Should have been thrown out . 
They quickly changed it over for us after we complained. The Sunday night 
the fire alarms started to go off at 11.pm they kept shoping nd starting my 
husband went down to ask what was going on and was told not to worry as it 
was the gym next doors alarms that were concted to the travel lodge fire 
alarms . They then started to go on for longer and we had to evacuate the 
travel lodge . We are just left on the…Read moreDate of stay: February 
2019HelpfulShare</t>
  </si>
  <si>
    <t>elea03283 wrote a review Aug 2019Stoke-on-Trent, United Kingdom1 
contribution</t>
  </si>
  <si>
    <t>https://www.tripadvisor.co.uk/Hotel_Review-g186338-d1812157-Reviews-or560-Travelodge_London_Waterloo_Hotel-London_England.html#REVIEWS</t>
  </si>
  <si>
    <t>Tom Wright wrote a review Mar 2019Derby, United Kingdom8 contributions14 
helpful votes</t>
  </si>
  <si>
    <t>UncomfortableThe only value for money is that the hotel is in a good area and about a 
30/40 minute walk to central London. However, upon arrival at the hotel, 
the reception staff seem unapproachable and busy in their own conversations 
before allowing homeless people into the building toilets (giving them key 
cards to enter) who remain in there for a good half an hour doing god knows 
what. Before returning and having lengthy conversations with the staff. The 
millennium suites are in a far corner of the hotel ( up in the lift, along 
a floor and then back down tons of stairs) not ideal for pushchairs or 
suitcases. The suites appear okay however the rooms are hot and sticky as 
the building lacks air con and only provides cheap, poor quality fans that 
do not do anything. The view from the window…Read moreReview collected in 
partnership with TravelodgeDate of stay: August 2019HelpfulShareResponse 
from TravelodgeUK, Ben from the Social Media Team at Travelodge London 
Kings Cross Royal ScotResponded 13 Aug 2019Thank you for taking the time to 
write a review about our London Kings Cross Royal Scot hotel. We're pleased 
to hear that you liked the hotels location however we are sorry to learn 
that you felt the team were unapproachable and of your disappointment with 
the temperature and bed in the room. Unfortunately, this hotel does not 
have air conditioning however our hotels will try their best to reduce the 
impact of the hotter weather by offering fans and keeping the curtains 
closed, however we fully appreciate and do apologise that you were not 
comfortable during your time with us. Feedback is invaluable and our Hotel 
Managers regularly review their TripAdvisor reviews in order to fix any 
issues raised and pass on feedback to their team. Thank you once again and 
we do hope you will stay with us in the future.Read more</t>
  </si>
  <si>
    <t>Great value stayWaterloo travelodge is a great value, budget hotel in London. Rooms are 
pleasant and clean. Breakfast very good. And staff are pleasant and 
helpful. This was our second stay and cannot fault it at the price we 
paid.Read moreReview collected in partnership with TravelodgeDate of stay: 
March 2019HelpfulShare</t>
  </si>
  <si>
    <t>Phil C C wrote a review Mar 2019Rushden, United Kingdom189 contributions42 
helpful votes</t>
  </si>
  <si>
    <t>https://www.tripadvisor.co.uk/Hotel_Review-g186338-d243667-Reviews-or880-Travelodge_London_Kings_Cross_Royal_Scot-London_England.html#REVIEWS</t>
  </si>
  <si>
    <t>A good one...Had a refurb since my last visit - well presented, great facilities and 
friendly staff. A nice touch is the USB chargers in the plug sockets and 
next to the bed. Location is very close to Waterloo, and convenient for the 
Southbank.Read moreDate of stay: March 2019HelpfulShare</t>
  </si>
  <si>
    <t>Visit2London wrote a review Aug 2019Lincolnshire, United Kingdom21 
contributions8 helpful votes</t>
  </si>
  <si>
    <t>Good for Kings Cross StationLocation - handy for the station and an easy walk to Angel. Staff: Always 
helpful and lovely to deal with. Rooms: As the rest of the hotel, no money 
has been spent here for a long time. That said, the room was clean and had 
everything you need - more plugs are needed though. (and please all 
Travelodges, start putting hairdryers in rooms!). We had twin beds - the 
tiniest I've seen - not sure they are even meant for adults. Good that TL 
have the option (as against family bed and couch), but proper sized beds 
are needed. Bathroom - no issues - everything there and clean. Luggage - 
this lodge will store your luggage - a plus point as this varies. Extra tea 
and coffee on the reception counter - a good idea as reception is busy.Read 
moreDate of stay: July 2019HelpfulShare</t>
  </si>
  <si>
    <t>Foggtraveller wrote a review Mar 2019Foggtraveller12 contributions8 helpful 
votes</t>
  </si>
  <si>
    <t>Great stay and nice staffStayed here loads and always clean and friendly 5 minutes from Waterloo 
station A good location with trains and buses and south bank is cool place 
to hang out Breakfast was good Roland well worth the moneyRead moreDate of 
stay: March 2019HelpfulShare</t>
  </si>
  <si>
    <t>Escape60409169918 wrote a review Mar 20191 contribution</t>
  </si>
  <si>
    <t>brendamitchell2019 wrote a review Aug 20191 contribution</t>
  </si>
  <si>
    <t>NiceThis was a nice place to stay and I'd recommend it. The room was clean and 
the staff were friendly. I got a good night's sleep apart from the fire 
alarm going off in the morning which went off for at least 20 minutesRead 
moreReview collected in partnership with this hotelDate of stay: February 
2019HelpfulShare</t>
  </si>
  <si>
    <t>Nice hotel, pity about the hot water.No hot water on one morning, unable to shower. Numerous complaints from 
other customers. Not offered any compensation for the inconvenience. Hotel 
clean and tidy. Comfortable room. Good choices at breakfast, 10 minutes 
walk from Kings Cross station.Read moreReview collected in partnership with 
TravelodgeDate of stay: August 2019HelpfulShare</t>
  </si>
  <si>
    <t>https://www.tripadvisor.co.uk/Hotel_Review-g186338-d1812157-Reviews-or565-Travelodge_London_Waterloo_Hotel-London_England.html#REVIEWS</t>
  </si>
  <si>
    <t>amo4325 wrote a review Mar 2019Hertfordshire, United Kingdom10 
contributions11 helpful votes</t>
  </si>
  <si>
    <t>https://www.tripadvisor.co.uk/Hotel_Review-g186338-d243667-Reviews-or885-Travelodge_London_Kings_Cross_Royal_Scot-London_England.html#REVIEWS</t>
  </si>
  <si>
    <t>Friendly staff and ideal locationThis was the perfect place for us before my daughter was performing at the 
Royal Festival Hall. Very quiet - so a good night’s sleep. Pleasant bar and 
restaurant area. The staff were lovely and we felt well looked after 
especially during our evening meal which was good value for money. We would 
stay here again.Read moreReview collected in partnership with this 
hotelDate of stay: February 20191 Helpful voteHelpfulShare</t>
  </si>
  <si>
    <t>cmaslem wrote a review Jul 2019County Galway, Ireland1 contribution</t>
  </si>
  <si>
    <t>Great and cleanThe staff serviced us exceptionally, the room is well maintained and clean, 
all beds were freshly made and pillows were comfortable, i would just say 
they need air conditioner but they provided a fan!Read moreReview collected 
in partnership with TravelodgeDate of stay: July 2019HelpfulShare</t>
  </si>
  <si>
    <t>jamietomw wrote a review Jul 2019Durham, United Kingdom10 contributions2 
helpful votes</t>
  </si>
  <si>
    <t>grom894 wrote a review Mar 2019Preston, United Kingdom10 contributions2 
helpful votes</t>
  </si>
  <si>
    <t>Good Value Overnight Stay Close to St PancrasGreat value room about ten minutes walk from St Pancras station - stayed in 
a single room which was small but functional and was able to leave my 
luggage at the hotel on arriving in London earlier that day. Breakfast was 
more than adequate, although perhaps slightly on the expensive side for 
what it was. Just don't confuse this hotel for the other similarly named 
Travelodge around the corner.Read moreDate of stay: July 2019HelpfulShare</t>
  </si>
  <si>
    <t>Business TripStayed here mid week. Excellent quick book in and out. Friendly staff and a 
lovely clean modern room. Breakfast was plentiful and well cooked. Only 
five minutes from Waterloo train and tube station with a number of great 
places to eat and drink.Read moreDate of stay: February 2019HelpfulShare</t>
  </si>
  <si>
    <t>Jacqui C wrote a review Jul 201911 contributions3 helpful votes</t>
  </si>
  <si>
    <t>Gary D wrote a review Feb 2019Lincoln, United Kingdom6 contributions4 
helpful votes</t>
  </si>
  <si>
    <t>Stay at Waterloo Travelodge Very PleasantWe stayed at the Waterloo Travelodge on Thursday 21st Feb and was made very 
welcome by the staff, in fact I felt they went above and beyond. The hotel 
is clean and modern. Rooms were clean and had any amenities that you would 
want.Read moreReview collected in partnership with this hotelDate of stay: 
February 2019HelpfulShare</t>
  </si>
  <si>
    <t>Hot, shabby and uncomfortableWe had a pretty awful stay at this Travelodge, but to be fair it is 
obviously budget accommodation and the UK was in the middle of a heatwave. 
There was no air conditioning but a fan was provided. It's on a busy road 
so overnight we had to choose between stifling heat, a noisy fan or windows 
open and noise from outside. About 4 or 5am a delivery van arrived outside 
and there was an awful metallic scraping noise for a while. Needless to say 
my teenage son and I barely slept. The accommodation is also badly in need 
of a refurb as it's old and shabby. On the upside all the staff were very 
friendly and helpful. Personally I would not stay here again, I'd save up 
the extra £30 or so to stay in a B and B nearer St Pancras (it was a bit of 
a walk with heavy bags up to the station too).…Read moreReview collected in 
partnership with this hotelDate of stay: July 2019HelpfulShareResponse from 
TravelodgeUK, James from the Social Media Team at Travelodge London Kings 
Cross Royal ScotResponded 31 Jul 2019Thank you for reviewing our Travelodge 
London Kings Cross Royal Scot Hotel. We are really sorry to hear that the 
room temperature spoiled your stay with us. We strive to make our customers 
as comfortable as possible and we would like to apologise if on this 
occasion we were not able to offer you a good night's sleep.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</si>
  <si>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Leona T wrote a review Jul 201919 contributions6 helpful votes</t>
  </si>
  <si>
    <t>https://www.tripadvisor.co.uk/Hotel_Review-g186338-d1812157-Reviews-or570-Travelodge_London_Waterloo_Hotel-London_England.html#REVIEWS</t>
  </si>
  <si>
    <t>Not up to standardStaff were all pleasant and helpful enough. Corridors smelled strongly of 
damp. Piles of laundry left on the corridors for over a day. Not 
particularly clean, especially the bathroom which also sported a cracked 
sink and no hot water on our last morning. Wallpaper peeling off the walls. 
The bed was helpfully made with only a sheet as it was so hot and there was 
no air conditioning. There was a duvet in the cupboard but with no cover on 
if we had wanted to use it. The only positives were the bed was comfortable 
and it was relatively quiet for fairly central London accommodationRead 
moreDate of stay: July 2019HelpfulShareResponse from TravelodgeUK, Shaf 
from the Social Media Team. at Travelodge London Kings Cross Royal 
ScotResponded 31 Jul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</si>
  <si>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Jen B wrote a review Feb 20196 contributions2 helpful votes</t>
  </si>
  <si>
    <t>https://www.tripadvisor.co.uk/Hotel_Review-g186338-d1812157-Reviews-or520</t>
  </si>
  <si>
    <t>https://www.tripadvisor.co.uk/Hotel_Review-g186338-d243667-Reviews-or890-Travelodge_London_Kings_Cross_Royal_Scot-London_England.html#REVIEWS</t>
  </si>
  <si>
    <t>DO NOT STAY HEREFirst of all we arrive to the hotel on an extremely hot day in the city and 
the room is blasting 26 degrees heat making it unbearable to be in. There 
is a loud bleeping alarm coming from outside the room so we are unable to 
even open the window to air the room in peace. At 8.30am the next morning 
after a sleepless night, the fire alarm goes off in all the rooms! No staff 
can be found to explain what is happening and no evacuation taken place. 
After 15 minutes or so we finally speak to someone who lets us know the 
alarm panel was accidentally broken. No apology was offered or a 
compensation for being so rudely awoke and Travelodge policy of a fire 
evacuation was carried out. Heads banging from the sound, we check out 
early. Stay ruined and very unhelpful staff, would never stay…Read 
moreReview collected in partnership with TravelodgeDate of stay: February 
20191 Helpful voteHelpfulShareResponse from TravelodgeUK, Ben from the 
Social Media Team at Travelodge London Waterloo HotelResponded 1 Mar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</si>
  <si>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Karen M wrote a review Feb 2019Liverpool, United Kingdom4 contributions</t>
  </si>
  <si>
    <t>Fabulous hotel and staffI stay here regularly on business due it's location to central London, 
value for money and cleanliness. All the staff are friendly and welcoming 
but Lyndsey in the restaurant is a real gem. ALWAYS smiling and calm even 
when rushed off her feet, full of zest and eager to please. She epitomizes 
everything you would want in a member of staff and I always look forward to 
seeing her when I am there. Thanks!Read moreDate of stay: February 
2019HelpfulShare</t>
  </si>
  <si>
    <t>emeighan wrote a review Jul 2019Belfast, United Kingdom1 contribution</t>
  </si>
  <si>
    <t>Littleleg64 wrote a review Feb 2019Portsmouth, United Kingdom39 
contributions11 helpful votes</t>
  </si>
  <si>
    <t>My london stay.Really enjoyed my stay at the Travelodge kings cross. Friendly staff and 
very handy to all transport. Could find our way about no problem. Shops and 
bars all handy to the hotel. So all in i would recommend staying at the 
Travelodge to any family or couples.Read moreReview collected in 
partnership with this hotelDate of stay: July 2019HelpfulShare</t>
  </si>
  <si>
    <t>Good ValueHad a Lovely night at London Waterloo Hotel we chose this Sunday as it was 
good value for money and as we were not theatregoers there is still a lot 
to do around London the hotel itself was clean tidy and very central to the 
station and underground and some of the sites of London very close to the 
Southbank would definitely do this again but the price we paid for 
breakfastVery good value all you can eat food was hot fresh Could not fault 
itRead moreReview collected in partnership with TravelodgeDate of stay: 
February 2019HelpfulShare</t>
  </si>
  <si>
    <t>Glen O wrote a review Jul 20195 contributions1 helpful vote</t>
  </si>
  <si>
    <t>Mj B wrote a review Feb 20191 contribution</t>
  </si>
  <si>
    <t>Good location and great staff at budget price.We spent the weekend with freinds at the royal scot for a London break. 
From the off the staff made us incredibly welcome and were extremely 
helpful and enthusiastic. Our room was a typical Travelodge standard. 
Clean, functional and adequate at a brilliant price. The bar was ok but 
lacked a draught lager.... a small downside really. Breakfast was great at 
a reasonable price with a good selection. Totally enjoyable weekend and we 
will return.Read moreDate of stay: July 2019HelpfulShare</t>
  </si>
  <si>
    <t>Waterloo amazing visitSo welcoming at the Travelodge everybody was so friendly always willing to 
help the room was as expected, clean room available everyday that you are 
there breakfast was a wide range of food to select although both mornings 
beans seem to be cold or very luke warm but good overall we also had meal 
in the evening Lindsay was great easy to talk to and very pleasant great 
value food at £12 for main and dessert which tasted good too also at 
checking out reception was very helpful as they took our bags to look after 
as we went out for the day before we went home overall great service and 
rooms would definitely recommend and come backRead moreDate of stay: 
February 2019HelpfulShare</t>
  </si>
  <si>
    <t>svglx wrote a review Jul 2019Durham, United Kingdom1 contribution</t>
  </si>
  <si>
    <t>isabel190776 wrote a review Feb 2019Loughborough, United Kingdom84 
contributions6 helpful votes</t>
  </si>
  <si>
    <t>Busy breakfastThe only complaint was, breakfast was so busy we had to wait 15 minutes for 
a table and lots of food had run out. So eat all you want breakfast didn’t 
work. The staff did their best though. We paid for 48 hour wi-fi but 
couldn’t get connected so a waste of money.Read moreReview collected in 
partnership with this hotelDate of stay: July 2019HelpfulShare</t>
  </si>
  <si>
    <t>Debbie B wrote a review Jul 2019Selby, United Kingdom10 contributions7 
helpful votes</t>
  </si>
  <si>
    <t>Mess at reception with bookings and other issuesThe hotel is very well located super close to tube station. when we arrived 
reception messes up my booking and told me my friends have done the 
checking for me STRANGE. then they were not 100% which one was my room, 
they were confused because my name was the same as one of my friends 
already booked, well ask for an ID maybe?? they never did. The decoration 
of reception and rooms is very nice. our room smelled a bit not very fresh. 
view was into the local fish and chip below (NOT NICE as you could not 
leave window open due to smell) and one more thing that we were very 
disappointed, unless you hang a little tag outside the room it seems they 
don't enter to clean them, REALLY? so now in hotels you have to ask to get 
your room clean? very disappointing coming at night and…Read moreReview 
collected in partnership with TravelodgeDate of stay: February 
2019HelpfulShareResponse from TravelodgeUK, Tilly from The Social Media 
Team at Travelodge London Waterloo HotelResponded 11 Mar 2019Thank you for 
taking the time to write a review with regards to our London Waterloo 
Hotel. We are sorry to learn of the issues you have had whilst staying with 
us. We would kindly ask you contact one of our Customer Services Advisors 
with your review via our website help form to look into this more 
thoroughly. Thank you again for reviewing our hotel.Read more</t>
  </si>
  <si>
    <t>Ouch!The rooms are quite dated with the shower over the bath. Even being 
careful, I managed to fall my length as I tried to get into the shower (no 
mat or anti slip textured surface). Badly bruised and shaken, I decided to 
check out a day early.Read moreDate of stay: June 2019HelpfulShareResponse 
from TravelodgeUK, Niki from The Social Media Team at Travelodge London 
Kings Cross Royal ScotResponded 28 Jul 2019Thank you for your feedback. We 
are really sorry to hear of your experience. Please accept our sincerest 
apologies. Could we kindly ask you to contact one of our Customer Services 
Advisors via our website help form with a copy of your review to look into 
this more thoroughly. Thank you again for reviewing our hotel.Read more</t>
  </si>
  <si>
    <t>https://www.tripadvisor.co.uk/Hotel_Review-g186338-d1812157-Reviews-or575-Travelodge_London_Waterloo_Hotel-London_England.html#REVIEWS</t>
  </si>
  <si>
    <t>Thomas809 wrote a review Feb 201947 contributions21 helpful votes</t>
  </si>
  <si>
    <t>https://www.tripadvisor.co.uk/Hotel_Review-g186338-d243667-Reviews-or895-Travelodge_London_Kings_Cross_Royal_Scot-London_England.html#REVIEWS</t>
  </si>
  <si>
    <t>O2894BPpeterm wrote a review Jul 20193 contributions</t>
  </si>
  <si>
    <t>Best Travelodge I've stayed in.Stayed here last week, and couldn't fault it. All the staff were friendly 
and helpful. Arrived early as forgot to book early check-in but wasn't a 
problem as was given room early anyway. Bar staff friendly, and breakfast 
in the morning was fine. The fire alarm kept going off in the morning 9am 
ish, so got ready to leave the building but was told it was ok to stay 
inside. This was a very minor issue, and didn't alter our view of this 
travelodge.Read moreReview collected in partnership with TravelodgeDate of 
stay: February 2019HelpfulShare</t>
  </si>
  <si>
    <t>Appalling rooms and customer service.This hotel is nowhere near Kings Cross station. When I finally found it, 
the room was not what I would normally expect - it was spartan to say the 
least, and the beds were so narrow as to be dangerous. When I complained, I 
was treated as no more than a nuisance. The manager, when finally 
contacted, was pointedly rude. We checked with my PA who had booked the 
room and I was not offered the room we had booked. The manager didn't want 
to know. I persisted and was eventually offered a recently refurbished 
'special needs' room, which was more in keeping with the quality and 
facilities that I was accustomed to, and which I believed had been arranged 
for me. This hotel is not a good reflection of this chain, who are normally 
pleasant and helpful.Read moreReview collected in partnership with 
TravelodgeDate of stay: July 2019HelpfulShareResponse from TravelodgeUK, 
Ben from the Social Media Team at Travelodge London Kings Cross Royal 
ScotResponded 5 Aug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</si>
  <si>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faefrank wrote a review Feb 2019London, United Kingdom59 contributions15 
helpful votes</t>
  </si>
  <si>
    <t>Steve W wrote a review Jul 2019Leeds, United Kingdom43 contributions18 
helpful votes</t>
  </si>
  <si>
    <t>Excellent stay.We stayed here for a short weekend break and were very impressed with this 
hotel. Our room was spotlessly clean and equipped with iron, ironing board 
and hairdryer. We were also impressed with the hotel security as once out 
of the lift you needed a key to access the door to the floor your room was 
on. Staff were very polite and friendly at all times and it was about a 5 
minute walk to Waterloo station and approx 20 min walk to Leicester Square, 
the other advantage was being able to leave our luggage in a secure 
environment until we were ready to go home. Breakfast was excellent piping 
hot and plenty of it with a good selection of continental if you preferred 
it was as good as other more expensive hotels we've stayed at and we will 
certainly stay here again.Read moreDate of stay: February 2019HelpfulShare</t>
  </si>
  <si>
    <t>Excellent hotel for a short stayThis Travelodge is very conveniently placed for the Kings Cross area and 
beyond. If you don't like using the Underground, for example then within 20 
minutes you can be at the British Museum. The rooms are clean and adequate 
(you are not going to be living in them, right?) The staff were very 
friendly and helpful. Particularly like to mention Mateusz and his female 
colleague on the front desk.Read moreReview collected in partnership with 
this hotelDate of stay: July 2019HelpfulShare</t>
  </si>
  <si>
    <t>sue873 wrote a review Feb 2019Kingston-upon-Hull, United Kingdom4 
contributions2 helpful votes</t>
  </si>
  <si>
    <t>bob1323 wrote a review Jul 2019Swansea395 contributions156 helpful votes</t>
  </si>
  <si>
    <t>London breakGood location on Waterloo road, few minutes walk from tube station, 10 mins 
walk from Blackfriars and Westminster bridges, clean, tidy and friendly and 
helpful staff, will stay here again when visiting London again.Read 
moreReview collected in partnership with TravelodgeDate of stay: February 
2019HelpfulShare</t>
  </si>
  <si>
    <t>https://www.tripadvisor.co.uk/Hotel_Review-g186338-d1812157-Reviews-or580-Travelodge_London_Waterloo_Hotel-London_England.html#REVIEWS</t>
  </si>
  <si>
    <t>STUDENT TYPE ACCOMMODATIONAppreciate that this is a budget hotel but the rooms are stuffy and not 
well kept and very dated. Bathroom was very tight and could easily be 
reconfigured and a walk in shower instead of over the bath which still has 
a shower curtain that clings to you whilst you wash. Staff were fine... the 
downstairs reception/bar area is far more in keeping with what you would 
expect rather than whats in store for you in the rooms.Read moreReview 
collected in partnership with TravelodgeDate of stay: July 
2019HelpfulShareResponse from TravelodgeUK, Zack from The Social Media Team 
at Travelodge London Kings Cross Royal ScotResponded 28 Jul 2019Thank you 
for leaving your review of our London Kings Cross Royal Scot Travelodge. We 
are sorry to read of your disappointment with the rooms within our hotel. 
We have invested into a refurbishment programme over the past few years, 
which will be starting again soon, however we are sorry that you did not 
receive the best experience possible. We are glad that you felt you 
received good service in our hotel and that you found the location to be 
good for your needs. Thank you again for leaving your review, and we hope 
we are able to welcome you back to stay with us again soon.Read more</t>
  </si>
  <si>
    <t>Dave T wrote a review Feb 2019Sunderland, United Kingdom2 contributions</t>
  </si>
  <si>
    <t>Welcoming, friendly and comfortableA great three night business stay in a comfortable hotel. Breakfast was 
excellent, a comfortable bar area and good room with everything I needed. A 
special mention for the staff who were courteous, helpful and professional 
at all times. I would thoroughly recommend it and will be back.Read 
moreDate of stay: February 2019HelpfulShare</t>
  </si>
  <si>
    <t>https://www.tripadvisor.co.uk/Hotel_Review-g186338-d243667-Reviews-or900-Travelodge_London_Kings_Cross_Royal_Scot-London_England.html#REVIEWS</t>
  </si>
  <si>
    <t>Damian L wrote a review Feb 2019Newport, United Kingdom3 contributions</t>
  </si>
  <si>
    <t>alexbun2 wrote a review Jul 2019Manchester, United Kingdom1 contribution</t>
  </si>
  <si>
    <t>Modern, clean, friendly staff...all you need from a hotelThe particular Travelodge we stayed in was a Travelodge Plus and it was 
perfect for our one night stay in London. Perfectly placed for a Central 
London visit! The place was modern, clean and tidy....all you want from a 
hotel! Staff were friendly and helpful. Breakfast is great value for all 
you can eat. Look out for a quick video overview of the room soon on 
CharlieShooters KnowHow on Youtube. I am looking to upload it shortly.Read 
moreReview collected in partnership with TravelodgeDate of stay: February 
2019HelpfulShare</t>
  </si>
  <si>
    <t>Travelodge stayit was good and as a first time traveler with my partner it was great first 
time experience with all the services available for example food and drinks 
were available and was easy access and the bar was open 24 hours. Staff 
were really friendly and made sure we had a great experience.Read 
moreReview collected in partnership with TravelodgeDate of stay: July 
2019HelpfulShare</t>
  </si>
  <si>
    <t>JACKKLAD wrote a review Feb 2019Swansea, United Kingdom347 contributions143 
helpful votes</t>
  </si>
  <si>
    <t>Beverley S wrote a review Jul 201911 contributions5 helpful votes</t>
  </si>
  <si>
    <t>Great find in LondonFantastic value for the money and brilliant full English breakfast. 10 
minutes walk from Waterloo station &amp; 5 minutes from The old Vic theatre. 
Great, polite, smart ,professional helpful staff all of them sorry can't 
remember names but thank you all very much excellent serviceRead moreReview 
collected in partnership with TravelodgeDate of stay: February 
2019HelpfulShare</t>
  </si>
  <si>
    <t>In need of loveThe whole hotel is is need of love and as usual its basic and clean. 
Breakfast is fine and plentiful. Its a great location for getting around 
London as you are so close to \kings Cross. Staff are fantastic and make 
you feel welcome - well done guys :)Read moreDate of stay: July 
2019HelpfulShare</t>
  </si>
  <si>
    <t>Patricia18B wrote a review Feb 2019Arbroath, United Kingdom51 
contributions25 helpful votes</t>
  </si>
  <si>
    <t>Ideal location for our family trip sight seeing around. Rom was very 
comfortable and clean. Liked offee machine in room.Ideal location for our family trip sight seeing around London. Room was 
very comfortable and clean. Liked the coffee machine in the room. Staff 
were very friendly and helpful. Close to bus stops and tube station.Read 
moreReview collected in partnership with this hotelDate of stay: February 
2019HelpfulShare</t>
  </si>
  <si>
    <t>Laura S wrote a review Jul 2019Hobart, Australia4 contributions</t>
  </si>
  <si>
    <t>jchamb0131 wrote a review Feb 2019United Kingdom253 contributions13 helpful 
votes</t>
  </si>
  <si>
    <t>Great stayStayed here for 1 night during our trip to London. Got a great deal for a 
Sunday night and the room was fab and very modern. Staff were very friendly 
especially Marcio on the bar, he was rushed off his feet but was still 
friendly, polite and charming. What a lovely guy.Read moreDate of stay: 
February 2019HelpfulShare</t>
  </si>
  <si>
    <t>Budget amenities, good locationThe Travelodge is budget accommodation, you pay for the location which is 
only a 15 minute walk from Kings Cross station. The bathroom is old and 
very "hostel" style, I expected a more modern bathroom given the room 
photos on the website. Dinner in the restaurant is average but the 
breakfast is good value. The staff are very kind and helpful. No air 
conditioning in the room, just a small fan and leaving windows open so the 
room could heat up quite a bit throughout the day. It is budget 
accommodation so if you're looking for a nice hotel experience go elsewhere 
but if you want a budget hotel in a good location, the Travelodge will do 
the job.Read moreDate of stay: July 2019HelpfulShareResponse from 
TravelodgeUK, Ben from the Social Media Team at Travelodge London Kings 
Cross Royal ScotResponded 24 Jul 2019Thank you for taking the time to write 
a review about our London Kings Cross Royal Scot hotel. We're pleased to 
hear that you liked the hotels location, you found the team to be kind and 
helpful and the breakfast good value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</si>
  <si>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https://www.tripadvisor.co.uk/Hotel_Review-g186338-d1812157-Reviews-or585-Travelodge_London_Waterloo_Hotel-London_England.html#REVIEWS</t>
  </si>
  <si>
    <t>Rebecca P wrote a review Feb 2019Dorking, United Kingdom15 contributions8 
helpful votes</t>
  </si>
  <si>
    <t>https://www.tripadvisor.co.uk/Hotel_Review-g186338-d243667-Reviews-or905-Travelodge_London_Kings_Cross_Royal_Scot-London_England.html#REVIEWS</t>
  </si>
  <si>
    <t>ExcellentLove this Travelodge. The staff are all fantastic, welcoming and friendly. 
The rooms are lovely, clean and comfortable. The food is amazing and such 
good value for money. Perfect location for exploringRead moreReview 
collected in partnership with TravelodgeDate of stay: February 
2019HelpfulShare</t>
  </si>
  <si>
    <t>mrpaul45 wrote a review Jul 2019Sutton in Ashfield, United Kingdom45 
contributions16 helpful votes</t>
  </si>
  <si>
    <t>Poor experience all round.Firstly given a room that hadn't been cleaned after a little search given a 
second room that was OK. Breakfast was the major issue no plates no cutlery 
no glasses no beans no mushrooms no croissants no point wasting money on 
breakfast. Staff not interested.....Read moreReview collected in 
partnership with TravelodgeDate of stay: July 2019HelpfulShareResponse from 
TravelodgeUK, James from the Social Media Team at Travelodge London Kings 
Cross Royal ScotResponded 24 Jul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</si>
  <si>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monicamasRome wrote a review Feb 2019Rome, Italy48 contributions26 helpful 
votes</t>
  </si>
  <si>
    <t>David L wrote a review Jul 2019Kortrijk, Belgium2 contributions</t>
  </si>
  <si>
    <t>Delightful experience at the TravelodgeExcellent location and with very kind and helpful staff, I had an amazing 
staying at the Travelodge Waterloo. The room was not big but it was clean 
and with an amazing view on the Shard. I will choose it again for my next 
trips in London and I will recommend it to friends. Excellent value for 
money.Read moreReview collected in partnership with TravelodgeDate of stay: 
February 20191 Helpful voteHelpfulShare</t>
  </si>
  <si>
    <t>Janne Linn wrote a review Feb 2019Gjerstad Municipality, Norway1 
contribution</t>
  </si>
  <si>
    <t>Great staffNothing much to be said about the hotel itself, or the rooms: you get what 
you might expect in this price range. But a big thumbs up for the staff! 
Very friendly and helpful: could not find my printed booking at arrival, 
but the friendly people at the reception desk found it for me; we were a 
bit early for check in, but could leave our luggage in a locked storage 
room and use the toilet; our wall outlets/sockets did not work, fixed by 
the time I got back in the room; I didn't bring an adapter for my 
Continental power plugs, reception desk provided me one;Read moreDate of 
stay: July 2019HelpfulShareResponse from TravelodgeUK, Ben from the Social 
Media Team at Travelodge London Kings Cross Royal ScotResponded 24 Jul 
2019We appreciate the time you have taken to review our London Kings Cross 
Royal Scot hotel. It’s really important to us that our hotel teams provide 
a fantastic service to our guests and remain professional at all times so 
we are so pleased to learn that this was delivered. We appreciate all the 
feedback we receive and our Hotel Managers regularly review their 
TripAdvisor reviews in order to fix any issues raised and pass on feedback 
to their team. Thank you once again and we do hope you will stay with us in 
the future.Read more</t>
  </si>
  <si>
    <t>Great stay!Smiling, friendly and service minded staff. Breakfast OK with a buffet. 
Clean, nice smelling rooms (first thing we noticed) and good value for 
money. Close to Waterloo station. Not too far from London eye, Thames, Big 
Ben or Westminster if you’re happy to walk a bit.Read moreReview collected 
in partnership with TravelodgeDate of stay: February 2019HelpfulShare</t>
  </si>
  <si>
    <t>Stacey H wrote a review Jul 2019Shrewsbury, United Kingdom15 contributions3 
helpful votes</t>
  </si>
  <si>
    <t>Camper50066257618 wrote a review Feb 20191 contribution</t>
  </si>
  <si>
    <t>Business tripGreat value and handy travel links to most parts of London. This travel 
lodge doesn’t look great from the outside but is much better than the 
pretty looking one down the road. I stay here often and can’t beat itRead 
moreReview collected in partnership with this hotelDate of stay: July 
2019HelpfulShare</t>
  </si>
  <si>
    <t>Weekend stayExcellent location, so easy to get to central London. The hotel was clean 
and comfortable, albeit our room was chilly when we arrived. Raised this 
with the staff who supplied extra duvets, there may have been a problem 
with the heating?Read moreReview collected in partnership with 
TravelodgeDate of stay: February 2019HelpfulShare</t>
  </si>
  <si>
    <t>Kenneth Gebbie wrote a review Jul 20192 contributions</t>
  </si>
  <si>
    <t>First classI just had a very pleasurable 2 night stay in the travelodge London kings 
cross, I paid extra for a super-room and was not disappointed, everything 
was first class, the room, location, best of all was the staff who were 
especially very courteous and friendly, special mention to the bar/cafe 
night time staff member Daniel, it was my pleasure to meet him, made my 
stay more pleasant, big thanks to DanielRead moreDate of stay: July 
2019HelpfulShare</t>
  </si>
  <si>
    <t>https://www.tripadvisor.co.uk/Hotel_Review-g186338-d1812157-Reviews-or590-Travelodge_London_Waterloo_Hotel-London_England.html#REVIEWS</t>
  </si>
  <si>
    <t>kevblewitt wrote a review Jul 20195 contributions2 helpful votes</t>
  </si>
  <si>
    <t>Samairb wrote a review Feb 20197 contributions4 helpful votes</t>
  </si>
  <si>
    <t>really happyGreat location, great room, great value for money. Nice touches with the 
Kit Kats and coffee machines. The room was big enough and had an iron and 
hair dryer, really nice especially for the money. Also there was a 24 hour 
barRead moreReview collected in partnership with TravelodgeDate of stay: 
February 2019HelpfulShare</t>
  </si>
  <si>
    <t>Very hot stayWe stayed over for one night before catching a train to France, having 
stayed at the other travelodge in kings cross before the royal Scot comes a 
poor second. A modern hotel with no air conditioning in today’s world is a 
no no. It was the hottest week in years and the room was unbearable, never 
again.Read moreReview collected in partnership with TravelodgeDate of stay: 
July 2019HelpfulShareResponse from TravelodgeUK, Ben from the Social Media 
Team at Travelodge London Kings Cross Royal ScotResponded 12 Aug 2019We 
appreciate the time you have taken to review our London Kings Cross Royal 
Scot hotel. We are sorry to learn that the higher temperatures had a 
negative impact on your experience. Unfortunately, this hotel does not have 
air conditioning however our hotels will try their best to reduce the 
impact of the hotter weather by offering fans and keeping the curtains 
closed, however we fully appreciate and do apologise that you were not 
comfortable during your time with us. Your feedback is very important to us 
as it is the starting point we use to act on improvements and we thank you 
for taking the time to share your experience.Read more</t>
  </si>
  <si>
    <t>https://www.tripadvisor.co.uk/Hotel_Review-g186338-d243667-Reviews-or910-Travelodge_London_Kings_Cross_Royal_Scot-London_England.html#REVIEWS</t>
  </si>
  <si>
    <t>RainbowFish1 wrote a review Feb 2019Denmead, United Kingdom115 
contributions38 helpful votes</t>
  </si>
  <si>
    <t>Jayne S wrote a review Jul 20191 contribution</t>
  </si>
  <si>
    <t>Good locationBrilliant location. Easy to check in and check out. Staff seemed friendly. 
Room was on 7th floor which was quieter although some guests didn't get 
that message in the early hours, not to slam your doors. Chose this hotel 
as had hospital appointments the following day at Guy's and St Thomas' 
Hospital. Need a degree to work out lights especially in the middle of the 
night when you want to use the bathroom. Good selection of tea bags and hot 
chocolate on tea tray in room. I tried the coffee machine but the coffee 
was far too strong even though I added lots of milk, would be nice to have 
a latte pod or hot chocolate pod however liked that I had a chocolate 
sachet on tray. Had a little issue with the spot lights above bed, when I 
turned them off to go to sleep, they dimmed but…Read moreDate of stay: 
February 2019HelpfulShare</t>
  </si>
  <si>
    <t>Booked two months in advance but double booked!!Booked 2 months in advance but was told the room was double booked. 
Absolutely no attempt by the poorly trained staff to resolve the situation. 
Ended up with two single beds which we were unable to push together! left 
we a tough luck we dont care feeling. Avoid at all costsRead moreReview 
collected in partnership with TravelodgeDate of stay: July 
2019HelpfulShareResponse from TravelodgeUK, Ben from the Social Media Team 
at Travelodge London Kings Cross Royal ScotResponded 11 Aug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</si>
  <si>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Vickz90 wrote a review Feb 2019St Columb Major, United Kingdom5 
contributions5 helpful votes</t>
  </si>
  <si>
    <t>Great hotel, would definitely recommend.The room was as expected from a Travelodge, basic but clean and 
comfortable. The location is great, we were visiting the 02 which was a 
quick tube ride away. We decided to eat in the hotel both nights and were 
not disappointed. The food was amazing, especially considering the cost! 
There was a slight delay between our main and dessert, the waitress offered 
us complimentary drinks by way of an apology which was a nice gesture. We 
were well looked after by the waitresses on both nights; they were lovely 
and friendly. One of them was called Deborah, but we didn't get the name of 
the other woman (dark hair and worked on Thurs 7th Feb). On the Thursday 
the restaurant was really busy and she was clearly rushed off her feet but 
still found the time to check in with us. Overall the…Read moreDate of 
stay: February 20191 Helpful voteHelpfulShare</t>
  </si>
  <si>
    <t>Amy J wrote a review Jul 2019Glasgow, Scotland, United Kingdom6 
contributions1 helpful vote</t>
  </si>
  <si>
    <t>Smelly and oldThe reception and bar area etc are relatively modern looking but the rooms 
are ancient, smelly, mouldy and small, the bar had an offer on that was 
misleading and the menu isn’t very varied, my 3yo and I were given a room 
down some stairs so I had to manage him a pram and my luggage down 3 
flights of stairsRead moreReview collected in partnership with 
TravelodgeDate of stay: July 2019HelpfulShareResponse from TravelodgeUK, 
Shaf from the Social Media Team. at Travelodge London Kings Cross Royal 
ScotResponded 23 Jul 2019Thank you for reviewing our London Kings Cross 
Royal Scot Travelodge. We're really sorry to learn of your disappointment 
regarding the smell and bar/cafe menu. Feedback is invaluable and our Hotel 
Managers regularly review their TripAdvisor reviews in order to fix any 
issues raised and pass on feedback to their team. Thank you once again and 
we do hope you will stay with us in the future.Read more</t>
  </si>
  <si>
    <t>oartistica2019 wrote a review Jul 2019Basel, Switzerland3 contributions</t>
  </si>
  <si>
    <t>https://www.tripadvisor.co.uk/Hotel_Review-g186338-d1812157-Reviews-or595-Travelodge_London_Waterloo_Hotel-London_England.html#REVIEWS</t>
  </si>
  <si>
    <t>hannam8m wrote a review Feb 2019Reykjavik, Iceland3 contributions</t>
  </si>
  <si>
    <t>Convenient location, large rooms, however noise from room door slammingThe location of the Travelodge London Kings Cross Royal Scott is very 
convenient, a 7-minute walk from Kings Cross station. Rooms are fairly, 
large with nice views on the 3 top floors. Water pressure in the shower is 
excellent, bed is comfy, rooms and hotel are clean. The luggage storage is 
well-organized and a big plus. However: We did not manage to get a good 
night's sleep which is one of the main purposes of a hotel. The sound 
insulation towards the hotel hallway is horrendous, and we were kept awake 
by the sound of doors slamming. This was not the fault of the other guests 
but rather the design of the room doors themselves - these are in need of 
an URGENT revamp. The staff was friendly, but considering the poor sleep 
quality we will be staying elsewhere next time. Before, we…Read moreReview 
collected in partnership with TravelodgeDate of stay: July 2019HelpfulShare</t>
  </si>
  <si>
    <t>Great stayWe were welcomed by an excellent staff who helped us and explained the 
nearest attesctions and restaurants. The rooms were very comfortable and 
clean. The food was a good option. The cafe is opened 24 hours a day and 
their prices are very attractive. The location was excellent and close to 
Waterloo station. A good selection of restaurants nearby. Will definitely 
go back if we're in London.Read moreReview collected in partnership with 
TravelodgeDate of stay: February 2019HelpfulShare</t>
  </si>
  <si>
    <t>martinepod wrote a review Jul 20192 contributions1 helpful vote</t>
  </si>
  <si>
    <t>Sheila M wrote a review Feb 2019Hampshire, United Kingdom55 contributions13 
helpful votes</t>
  </si>
  <si>
    <t>very good quality/priceall the staff is making their best to make you feel at home and enjoy your 
stay..very friendly and professional. The breakfast is really good with 
fresh fruit salad and all you expect in a traditionnal english breakfast 
!!Read moreReview collected in partnership with TravelodgeDate of stay: 
July 2019HelpfulShare</t>
  </si>
  <si>
    <t>Nice and cheapI was going to give this hotel two starts because I was a bit annoyed that 
it doesn't have any free wifi but I changed my mind this morning. Breakfast 
was included in the price of the room and it was totally worthy, what a 
wonderful breakfast! It has lots of things: English breakfast, fruit, 
fruitjuices, cereals... I will definitely come back.Read moreDate of stay: 
February 2019HelpfulShare</t>
  </si>
  <si>
    <t>https://www.tripadvisor.co.uk/Hotel_Review-g186338-d243667-Reviews-or915-Travelodge_London_Kings_Cross_Royal_Scot-London_England.html#REVIEWS</t>
  </si>
  <si>
    <t>Lucy C wrote a review Feb 2019Washington, United Kingdom14 contributions2 
helpful votes</t>
  </si>
  <si>
    <t>Hanne R wrote a review Jul 20192 contributions</t>
  </si>
  <si>
    <t>Decent!Good hotel, very welcoming, modern, clean and very quiet at night too! Only 
Let down was no plug in bath to have a bath which would have been nice 
after a long journey and also the rooms don’t come with hairdryer as 
standard! Would definitely stay again.Read moreDate of stay: February 
2019HelpfulShare</t>
  </si>
  <si>
    <t>Good value for moneyClean, quiet hotel in a very nice area of London, close to the university, 
walking distance to King's Cross. The breakfast was okay, with fresh fruit, 
cereals, continental and English breakfast. There could have been more 
variety, for example some cakes or muffins.Read moreReview collected in 
partnership with TravelodgeDate of stay: July 2019HelpfulShare</t>
  </si>
  <si>
    <t>https://www.tripadvisor.co.uk/Hotel_Review-g186338-d1812157-Reviews-or525</t>
  </si>
  <si>
    <t>Jordan Cook wrote a review Feb 2019Portsmouth, United Kingdom35 
contributions25 helpful votes</t>
  </si>
  <si>
    <t>shaldoncat wrote a review Jul 2019Carluke, United Kingdom1 contribution</t>
  </si>
  <si>
    <t>London 2018Stayed here April 2018, quite expensive for a two star hotel, however, it 
is in a perfect location right in the heart of London. They were doing it 
up as we left, so it could be better now, but it is right next to all the 
attractions such as London Eye, and right next to London Waterloo 
Station.Read moreDate of stay: April 20181 Helpful voteHelpfulShare</t>
  </si>
  <si>
    <t>Good locationGreat location near the station. Able to leave large pieces of luggage 
before our room was ready letting us look around. Good standard of room and 
we were provided with a fan to keep us cool.Breakfast filled us up for a 
day of sightseeing.Read moreReview collected in partnership with 
TravelodgeDate of stay: July 2019HelpfulShare</t>
  </si>
  <si>
    <t>A-side-of-opinion wrote a review Feb 2019Edinburgh, United Kingdom22 
contributions19 helpful votes</t>
  </si>
  <si>
    <t>Jade hogan wrote a review Jul 20193 contributions1 helpful vote</t>
  </si>
  <si>
    <t>Perfect for a cheap budget with great facilities!Lovely and clean, rooms were cleaned everyday, spotless! Staff were 
excellent apart from one woman we met upon arrival who was very rude to us 
but I didn’t let it ruin my stay! Perfect for my budget! Was a very 
spacious room with a comfortable bed! Wouldn’t change a thing about 
travelodge!Read moreDate of stay: July 2019HelpfulShare</t>
  </si>
  <si>
    <t>All you could ask for.Affordable, clean, staff extraordinarily helpful and we could leave our 
luggage after check out ! Perfect for a city break stay. The rooms were 
basic but all you need. Had a bar and breakfast options as well! Would 
highly recommendRead moreDate of stay: February 2019HelpfulShare</t>
  </si>
  <si>
    <t>Maureen K wrote a review Jul 2019Gateshead, United Kingdom4 contributions</t>
  </si>
  <si>
    <t>Mice in the hotel corridorsI stayed in room 347 of this hotel. My friend and I were walking to the 
lift when we saw a mouse in the corridor. I was going to record it but when 
it scurried towards me I screamed and never got the chance as it hid under 
a radiator cover. I reported it to reception after the first sighting and 
they didnt seem shocked or really bothered but they did say they would get 
someone out that day. When I arrived back in the hotel later that day I 
asked what was happening and was told someone had been out and was coming 
later the same day to sort the problem out. I don't think they sorted it as 
we saw another mouse in the same place later that afternoon. The manager 
Marton offered us a free drink as an apology (all 5 of us) but we requested 
a free breakfast, which he gave us. The staff…Read moreDate of stay: July 
2019HelpfulShareResponse from TravelodgeUK, James from the Social Media 
Team at Travelodge London Kings Cross Royal ScotResponded 22 Jul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</si>
  <si>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https://www.tripadvisor.co.uk/Hotel_Review-g186338-d1812157-Reviews-or600-Travelodge_London_Waterloo_Hotel-London_England.html#REVIEWS</t>
  </si>
  <si>
    <t>https://www.tripadvisor.co.uk/Hotel_Review-g186338-d243667-Reviews-or920-Travelodge_London_Kings_Cross_Royal_Scot-London_England.html#REVIEWS</t>
  </si>
  <si>
    <t>Vincent59 wrote a review Feb 2019Berkshire42 contributions87 helpful votes</t>
  </si>
  <si>
    <t>Sophiea wrote a review Jul 2019London48 contributions3 helpful votes</t>
  </si>
  <si>
    <t>Handy locationFriday night stay, trip to the theatre and the London Eye. Travelodge was 
Clean and tidy. Pleasant staff. Sensible price. Good bed. Surprisingly 
quiet on the 6th floor. Close to many attractions. Would certainly use 
again.Read moreDate of stay: February 20191 Helpful voteHelpfulShare</t>
  </si>
  <si>
    <t>Good Location for Kings Cross travelAlways great service at travelodge, an excellent economy hotel. It's within 
walking distance of Kings Cross and with a bus stop outside can easily get 
to St Pauls or Blackfriars and the South Bank. The breakfast is also great 
value.Read moreReview collected in partnership with TravelodgeDate of stay: 
July 2019HelpfulShare</t>
  </si>
  <si>
    <t>Dave W wrote a review Feb 2019Dorchester, United Kingdom15 contributions2 
helpful votes</t>
  </si>
  <si>
    <t>Karly wrote a review Jul 201929 contributions12 helpful votes</t>
  </si>
  <si>
    <t>Not badIt's a decent enough location, easy to get from and quick from Waterloo. 
Good breakfast and well maintained. The heating was a bit odd, it was an 
air conditioner that randomly came on and off...and it was cold. Had to 
apparently get it switched from auto to manual? We were offered another 
heater. The keycard for the door stopped working about 4 times and had to 
be replaced each time. There was a fire evacuation in the middle of the 
night, but no staff appeared to be taking control of the situation, no 
obvious fire wardens.The staff were very friendly and helpful.Room on the 
8th floor was a bit small and I didn't find the bed that comfortable.Shower 
pressure was pretty weak, but nice and hot. Bathroom pretty small.Read 
moreReview collected in partnership with TravelodgeDate of stay: February 
2019HelpfulShareResponse from TravelodgeUK, Tilly from The Social Media 
Team at Travelodge London Waterloo HotelResponded 10 Feb 2019Thank you for 
your review of our London Waterloo Hotel. We're sorry to learn of the 
issues that you experienced with the heater and your key card, however we 
are pleased that the location was good, you enjoyed the breakfast and the 
hotel team were friendly and helpful. We will be sure to pass this to the 
hotel team and hope to welcome you back soonRead more</t>
  </si>
  <si>
    <t>Over night stay for hospital following dayPros: Bed was comfy Room was massive Negative: Hair on the bathroom tiles 
Pubic hair in bath and on toilet One of the towels were stained lucky I had 
my own. Chicken burger felt like it has just been reheated bun was hard and 
so was burger All in all was lucky there only over nightRead moreDate of 
stay: July 2019HelpfulShareResponse from TravelodgeUK, Niki from The Social 
Media Team at Travelodge London Kings Cross Royal ScotResponded 21 Jul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</si>
  <si>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Roam49797604559 wrote a review Feb 2019County Dublin, Ireland1 contribution</t>
  </si>
  <si>
    <t>heidiclinch wrote a review Jul 2019Doncaster, United Kingdom1 contribution</t>
  </si>
  <si>
    <t>Mother/daughter weekendVery friendly but efficient staff. There's a lovely small bar/foyer in 
which to enjoy a relaxed post-sightseeing drink/nightcap or snack. The room 
was small but perfectly suitable for the 2 of us. It was clean &amp; 
comfortable with TV and tea/coffee making facilities. There were also extra 
pillows in the room. The hotel is really central being 5 mins walk from 
Waterloo station, served by buses and within walking distance of sights, 
Borough Market &amp; South Bank. I wouldn't bother with the fried breakfast as 
it was tasteless. Will definitely stay there again.Read moreReview 
collected in partnership with TravelodgeDate of stay: January 20191 Helpful 
voteHelpfulShare</t>
  </si>
  <si>
    <t>Nice hotel for a short stayThe staff were helpful, the breakfast had a lot of variety to it, there are 
only a limited number of dinner options but they are varied and the general 
room size is good; one thing to mention is that the bathrooms are rather 
snug.Read moreReview collected in partnership with TravelodgeDate of stay: 
July 2019HelpfulShare</t>
  </si>
  <si>
    <t>Zoecal wrote a review Feb 2019Annecy, France134 contributions28 helpful 
votes</t>
  </si>
  <si>
    <t>Clean, spacious, comfortable and good locationStayed for 2 nights with my daughter. A spacious room (unusual for London), 
clean, really quiet from street noise (also unusual for London). 
Comfortable beds and a really good, warm and powerful shower (with a 
handheld shower head that you could actually use rather than a fixed head 
or the hose tied up too short). Easy to walk to from Waterloo Station. Our 
cooked breakfast was good and free for my daughter - good value for a 
London £8.95 eat-all-you-want deal. We’ll definitely be back!Read moreDate 
of stay: February 20191 Helpful voteHelpfulShare</t>
  </si>
  <si>
    <t>BuffaloNumber14 wrote a review Jul 20191 contribution</t>
  </si>
  <si>
    <t>https://www.tripadvisor.co.uk/Hotel_Review-g186338-d1812157-Reviews-or605-Travelodge_London_Waterloo_Hotel-London_England.html#REVIEWS</t>
  </si>
  <si>
    <t>datedUsually use Premier Inn but decided to give Travelodge a try, big mistake, 
this Hotel is so dated, dirty Bathroom, poor Breakfast, LGBT celebrations 
in the Rooms next door and in the corridors without so much so of a visit 
from ReceptionRead moreReview collected in partnership with TravelodgeDate 
of stay: July 2019HelpfulShareResponse from TravelodgeUK, Ben from the 
Social Media Team at Travelodge London Kings Cross Royal ScotResponded 21 
Jul 2019Thank you for taking the time to write a review about our London 
Kings Cross Royal Scot hotel.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</si>
  <si>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GuillermoOv wrote a review Feb 2019Cartagena, Spain6 contributions3 helpful 
votes</t>
  </si>
  <si>
    <t>Great location, best value for money in LondonIf you book with enough time in advance , Travelodge is always the best 
value for money. Very clean hotels and comfortable beds for less than you 
would pay in any other for a single bed. I’ll try to go to Travelodge 
fromNow onRead moreReview collected in partnership with TravelodgeDate of 
stay: January 2019HelpfulShare</t>
  </si>
  <si>
    <t>https://www.tripadvisor.co.uk/Hotel_Review-g186338-d243667-Reviews-or925-Travelodge_London_Kings_Cross_Royal_Scot-London_England.html#REVIEWS</t>
  </si>
  <si>
    <t>VKLiew wrote a review Feb 2019Kuala Lumpur, Malaysia406 contributions67 
helpful votes</t>
  </si>
  <si>
    <t>Daniel L wrote a review Jul 2019Kuala Lumpur, Kuala Lumpur, Malaysia1 
contribution</t>
  </si>
  <si>
    <t>comfy family roomsspacious rooms, locations is walkable to Waterloo station. 2 small lifts 
and one was on maintenance for the whole hotels, thats not so good. my only 
setback is they only offer 30mins wifi and you need to pay if you need to 
use it longer.Read moreDate of stay: January 2019HelpfulShare</t>
  </si>
  <si>
    <t>Free WiFi for only half an hourThe hotel room is spacious and clean. Unfortunately WiFi has to be paid 
separately and only offer free half an hour WiFi per day. A longer free 
WiFi period say two hours would be good. Breakfast was a bit pricey so did 
not try the breakfast in the hotel.Read moreReview collected in partnership 
with this hotelDate of stay: July 2019HelpfulShare</t>
  </si>
  <si>
    <t>Aigoual wrote a review Jul 2019Norwich, Uk170 contributions82 helpful votes</t>
  </si>
  <si>
    <t>Fantastic staff at this hotelFirst I must apologise for having mistakenly put this review on the London 
Central Euston site. But it was the Royal Scot we stayed at. I have stayed 
at many Travelodges over the years, including this one, and I can honestly 
say that I was hugely impressed with the number of staff available to deal 
with queues of customers, and with their immense, smiley helpfulness. 
Nothing was too much trouble for them and it made our stay so much more 
enjoyable.Read moreDate of stay: July 2019HelpfulShare</t>
  </si>
  <si>
    <t>Andrew Slezak wrote a review Jan 20191 contribution</t>
  </si>
  <si>
    <t>Marissa M wrote a review Jul 20192 contributions1 helpful vote</t>
  </si>
  <si>
    <t>Night stayThis hotel is just great value for money . Super clean , lovely friendly 
staff and the breakfast was super yummy . Excellent location . Couldn’t 
fault anything at all . I highly recommend it for both business and leisure 
activities .Read moreDate of stay: January 2019HelpfulShare</t>
  </si>
  <si>
    <t>Amazing StaffStaff in particular Gio were amazing- very courteous and helpful. She was 
very mindful I was travelling alone and therefore never called out my room 
number- something that was very considerate and observant of her. Breakfast 
was great- rooms were spotless- excellent all roundRead moreDate of stay: 
July 2019HelpfulShare</t>
  </si>
  <si>
    <t>Jordan N wrote a review Jul 2019Carmarthen, United Kingdom7 contributions</t>
  </si>
  <si>
    <t>https://www.tripadvisor.co.uk/Hotel_Review-g186338-d1812157-Reviews-or610-Travelodge_London_Waterloo_Hotel-London_England.html#REVIEWS</t>
  </si>
  <si>
    <t>Wouldn’t reccomendI am not a person that likes to be negative because the staff are friendly 
enough when you walk in but the hotel itself I found to be disgusting. The 
towels in the bathroom were stained, the room smelt like damp, it didn’t 
feel very clean and it wasn’t a comfortable stay in the slightest. I have 
stayed at a few travel lodges in London because I understand this is a 
budget place but this is by far the worst. It’s quite a dull and depressing 
place to spend a night. It is not like the pictures shown, it’s a catfish 
of the hotel world.Read moreDate of stay: July 2019HelpfulShareResponse 
from TravelodgeUK, Tilly from The Social Media Team at Travelodge London 
Kings Cross Royal ScotResponded 19 Jul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</si>
  <si>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Hoptonjohn wrote a review Jan 2019Great Yarmouth, United Kingdom298 
contributions78 helpful votes</t>
  </si>
  <si>
    <t>angelahowittlove2019 wrote a review Jul 2019Nottinghamshire, United 
Kingdom1 contribution</t>
  </si>
  <si>
    <t>Love the super roomThis hotel is convenient for work and has recently been refurbished. Lately 
I have used the super rooms which are just a couple of notches better than 
the standard offering. Checkin was as ever straightforward and on arrival 
in my room on the seventh floor I was pleased to note that the heating was 
working as it was cold outside. The room was clean and quiet and the 
showers exceptional. The only slight downside was the heating control kept 
defaulting to 30°. This meant I switched it off overnight. The added bonus 
of the pod coffee machine has to be mentioned also.I’m sure I will be 
staying here again in the future.Read moreDate of stay: January 20191 
Helpful voteHelpfulShare</t>
  </si>
  <si>
    <t>Great place to stayThe hotel is a straightforward 10 minute walk from Kings Cross station. The 
staff were very friendly. It’s a perfect base for a short stay in London. 
We’d definitely stay there again and would recommend it.Read moreReview 
collected in partnership with this hotelDate of stay: July 2019HelpfulShare</t>
  </si>
  <si>
    <t>deborahclare1954 wrote a review Jan 2019Alresford, United Kingdom8 
contributions1 helpful vote</t>
  </si>
  <si>
    <t>https://www.tripadvisor.co.uk/Hotel_Review-g186338-d243667-Reviews-or930-Travelodge_London_Kings_Cross_Royal_Scot-London_England.html#REVIEWS</t>
  </si>
  <si>
    <t>Excellent stayExcellent stay - perfect location for everywhere we wanted to go, friendly 
welcoming and helpful staff, clean comfortable room and good breakfast. We 
would have no hesitation in recommending this hotel to family and 
friendsRead moreReview collected in partnership with TravelodgeDate of 
stay: January 2019HelpfulShare</t>
  </si>
  <si>
    <t>Pete K wrote a review Jul 2019Driffield, United Kingdom15 contributions1 
helpful vote</t>
  </si>
  <si>
    <t>Budget friendly.It's fine for a one night stop over and ideal for Kings Cross and St 
Pancras. I have used this hotel many times for this purpose. Can get a lot 
of guest noise, which I realise is not the hotels fault, maybe dampers on 
the room doors. Bath rooms are a little tired but the shower itself has 
generally been good.Read moreReview collected in partnership with 
TravelodgeDate of stay: July 2019HelpfulShareResponse from TravelodgeUK, 
Molly from the Social Media Team at Travelodge London Kings Cross Royal 
ScotResponded 18 Jul 2019Thank you for your review. We are pleased to hear 
that you were impressed with the location and value of the Hotel. We are 
sorry to hear that your stay was negatively affected by noise levels. 
Wherever possible, we mention on the hotel’s booking page that due to the 
location of the hotel, external noise may be heard. We have also taken 
measures such as providing double glazing in attempt to reduce the impact 
that outside disruptions may have on a guests stay. As we hope you can 
kindly understand, it is not always possible to completely reduce the noise 
levels outside the hotel, and we apologise that these measures did not 
suffice in ensuring you a good night’s sleep. Please note that you can 
contact the Hotel directly prior to your arrival to request a quiet room. 
Thank you also for your feedback regarding the bathroom. We hope to welcome 
you back to stay with us again in the near future.Read more</t>
  </si>
  <si>
    <t>https://www.tripadvisor.co.uk/Hotel_Review-g186338-d1812157-Reviews-or615-Travelodge_London_Waterloo_Hotel-London_England.html#REVIEWS</t>
  </si>
  <si>
    <t>Fearless29762669638 wrote a review Jan 2019Wells, United Kingdom1 
contribution</t>
  </si>
  <si>
    <t>woollatt2010 wrote a review Jul 2019Littlehampton, United Kingdom1 
contribution</t>
  </si>
  <si>
    <t>Excellent stay in Waterloo TravelodgeMy room was comfortable, as was the bed, and without being showy, contained 
everything I needed. We rated breakfast highly, with a wide range of 
choices, and staff were friendly and helpful. Small lounge area with bar 
useful for meeting friends.Read moreReview collected in partnership with 
TravelodgeDate of stay: January 2019HelpfulShare</t>
  </si>
  <si>
    <t>Good Night SleepGreat night sleep on a comfy bed, the room was bright and cool. the bedding 
and towels were clean. The staff were welcoming and friendly with smiles on 
their faces. Was easy to find, also in a good location. couldn't hear any 
outside noises or from neighbours too.Read moreReview collected in 
partnership with TravelodgeDate of stay: July 2019HelpfulShare</t>
  </si>
  <si>
    <t>juliejbrown wrote a review Jan 2019Poole, United Kingdom1 contribution</t>
  </si>
  <si>
    <t>Great location.Friendly staff.Clean rooms and beds comfy.Location is ideal if arriving at 
waterloo.Close to lots of places to visit.Good eating places 
nearby.Bathroom is a good size with a great shower.Would thoroughly 
recommend.Read moreReview collected in partnership with TravelodgeDate of 
stay: January 2019HelpfulShare</t>
  </si>
  <si>
    <t>https://www.tripadvisor.co.uk/Hotel_Review-g186338-d243667-Reviews-or935-Travelodge_London_Kings_Cross_Royal_Scot-London_England.html#REVIEWS</t>
  </si>
  <si>
    <t>Trond M wrote a review Jan 2019Forde, Norway23 contributions2 helpful votes</t>
  </si>
  <si>
    <t>judithbentley1 wrote a review Jul 2019Blackpool, United Kingdom3 
contributions</t>
  </si>
  <si>
    <t>Afordable, central &amp; niceNice hotel in central London. Great if you visit the Southbank Centre, and 
just to walk over the bridge to get to Westminister. Staff was nice. Had my 
suitcase standing in reception all Sunday as I had a late flight. Behind 
locked doors and that was very comfortable to know it was safe.Read 
moreReview collected in partnership with TravelodgeDate of stay: January 
2019HelpfulShare</t>
  </si>
  <si>
    <t>London weekendThe hotel is in a good position. Excellent check in with friendly, 
competent staff. The room was clean and comfortable but in need of a bit of 
an update I suppose. We had an enjoyable stay with no complaints at 
all!Read moreReview collected in partnership with this hotelDate of stay: 
July 2019HelpfulShare</t>
  </si>
  <si>
    <t>odettej627 wrote a review Jul 2019Liverpool, United Kingdom1 contribution</t>
  </si>
  <si>
    <t>FarAway52298168150 wrote a review Jan 2019Milan, Italy1 contribution1 
helpful vote</t>
  </si>
  <si>
    <t>Overall good value for money!Rooms were fine and at least on the same level. Beds were very narrow but 
we did manage! Toilet/bathroom door would not shut or lock and fan in room 
was broken and tied up badly which could have been dangerousRead moreReview 
collected in partnership with TravelodgeDate of stay: July 2019HelpfulShare</t>
  </si>
  <si>
    <t>really goodThis is my 2nd time in this hotel. Room was very clean. The hotel is 100 mt 
from Waterloo station with a lot of restaurants around. The only shame was 
to have only 1 lift working because of fail of the second one.I will 
suggest to all my friends and will be back for sure.Read moreReview 
collected in partnership with TravelodgeDate of stay: January 
2019HelpfulShare</t>
  </si>
  <si>
    <t>AUKTourist wrote a review Jan 2019Fort Lauderdale, Florida791 
contributions494 helpful votes</t>
  </si>
  <si>
    <t>Super Room Super StayThe Travelodge Waterloo is in an excellent location for accessing The City. 
The room was clean, had lots of plugs at least 7 with usb connection, 
shower hot and powerful with a comfortable bed. Breakfast is ok but the 
heat lamps tend to dry the food and it is only warm, but there are plenty 
of things to choose from on the light breakfast menu Highly 
recommended!Read moreDate of stay: January 2019HelpfulShare</t>
  </si>
  <si>
    <t>Kate B wrote a review Jul 20197 contributions5 helpful votes</t>
  </si>
  <si>
    <t>https://www.tripadvisor.co.uk/Hotel_Review-g186338-d1812157-Reviews-or620-Travelodge_London_Waterloo_Hotel-London_England.html#REVIEWS</t>
  </si>
  <si>
    <t>Great experienceGreat location , basic but clean and comfortable rooms ...well connected to 
Central London . Value for money Staff for helpful and friendly. Hairdryers 
irons etc were provided at receptions Shower was warm and good pressureRead 
moreReview collected in partnership with TravelodgeDate of stay: July 
2019HelpfulShare</t>
  </si>
  <si>
    <t>Robert B wrote a review Jan 2019Uxbridge14 contributions4 helpful votes</t>
  </si>
  <si>
    <t>Good value, very cleanVery basic but inexpensive, keycards unreliable. Bar stays open all night 
and not too dear by London standards. Went for the cheaper breakfast 
option, plenty to eat, very good standard. Staff were very friendly.Read 
moreDate of stay: January 2019HelpfulShare</t>
  </si>
  <si>
    <t>https://www.tripadvisor.co.uk/Hotel_Review-g186338-d243667-Reviews-or940-Travelodge_London_Kings_Cross_Royal_Scot-London_England.html#REVIEWS</t>
  </si>
  <si>
    <t>d_mcvey wrote a review Jan 2019Kilwinning,Scotland5 contributions6 helpful 
votes</t>
  </si>
  <si>
    <t>Squidgies wrote a review Jul 2019Midhurst, United Kingdom8 contributions7 
helpful votes</t>
  </si>
  <si>
    <t>London Waterloo Travelodgegreat wee hotel , close to Waterloo station in fact just a 6 minute stroll 
, very clean , nice staff and great breakfast also its free for kids to eat 
which is a great bonus. Staff friendly especially Raisa and Duwayne and the 
girl in the restaurant at breakfast time with the long hair , sorry forgot 
your name.Read moreDate of stay: January 2019HelpfulShare</t>
  </si>
  <si>
    <t>tired little roomThe twin room was tiny. Beds were extremely small, not even proper size 
single beds. I found an old rolled up sock under the desk which must have 
been there a while as it was covered in dust. Shower didn’t work properly 
and the toilet didn’t flush properly. All in all, a very disappointing 
stay.Read moreReview collected in partnership with this hotelDate of stay: 
July 2019HelpfulShare</t>
  </si>
  <si>
    <t>TeresaR wrote a review Jul 2019Peterborough, United Kingdom46 
contributions1 helpful vote</t>
  </si>
  <si>
    <t>martin talbot wrote a review Jan 20195 contributions2 helpful votes</t>
  </si>
  <si>
    <t>Travelodge Excellence!!This recently refurbished Travelodge is an excellent flagship for the 
brand. It has fresh, welcoming decor, the rooms are maintained to a high 
standard and the staff are friendly and customer service concious. It is in 
a prime location for the Waterloo travel hub and also the various venues 
along the South Bank.Read moreReview collected in partnership with 
TravelodgeDate of stay: January 2019HelpfulShare</t>
  </si>
  <si>
    <t>Not Usual Travelodge StandardsStayed here overnight after going to the Robbie Williams gig at Hyde Park. 
Location was handy from King's Cross Station. We're able to leave bags in 
storage and then go to gig. Arrived back at 11pm, collected bags and tgen 
went on the long corridor trip to our room. Bed was clean and comfortable 
but bathroom was tiny and grubby. Shower head leaked and squirted water out 
at a right angle. Toilet flush was physically broken but still worked. As 
it was so late we just got on with it. You get what you pay for.Read 
moreDate of stay: July 2019HelpfulShareResponse from TravelodgeUK, James 
from the Social Media Team at Travelodge London Kings Cross Royal 
ScotResponded 18 Jul 2019Thank you for reviewing our Travelodge London 
Kings Cross Royal Scot Hotel. We're happy to hear you were pleased with the 
location of the hotel during your stay with us as well as the luggage 
storage service and comfort of your room but we are very sorry to hear of 
the cleanliness of the bathroom during your stay as well as it's 
facilities. Please rest assured the hotel managers check Tripadvisor 
reviews of their hotels so your comments will be reviewed by the hotel's 
team. Thank you again for leaving this review and we do hope that you 
choose to stay with us again in the future.Read more</t>
  </si>
  <si>
    <t>Curiosity51707707514 wrote a review Jan 2019Southampton, United Kingdom1 
contribution1 helpful vote</t>
  </si>
  <si>
    <t>suecX1730WY wrote a review Jul 2019London, United Kingdom2 contributions</t>
  </si>
  <si>
    <t>Grave lodge, Waterloo, London, EnglandMy wife and I stayed veenifnt at this travelodge. During our short stay we 
experienced very friendly and helpful staff, with high professional” 
standards. The room was excellent in terms of its presentation and 
facilities and in terms of cost. I would strongly recommend the hotel to 
visitors to London for these reasons and because it is very close to many 
facilities including theatres, the London Eye, the Globe Theatre, Borough 
Market and Westminster.Read moreReview collected in partnership with 
TravelodgeDate of stay: January 2019HelpfulShare</t>
  </si>
  <si>
    <t>Handy for transport links, but room overheatedThe hotel is perfect for an overnighter when using kings cross/st Pancras. 
Friendly staff, reception and bar open 24 hours. Just one issue. The room 
was dated and very warm - it was summer but not a super hot night even with 
the window open. They told me the hotel was being refurbished so would 
probably have a/c in future. Fans are available but I didn’t know this 
until I checked out.Read moreReview collected in partnership with this 
hotelDate of stay: July 2019HelpfulShare</t>
  </si>
  <si>
    <t>https://www.tripadvisor.co.uk/Hotel_Review-g186338-d1812157-Reviews-or625-Travelodge_London_Waterloo_Hotel-London_England.html#REVIEWS</t>
  </si>
  <si>
    <t>Elk_Ludo wrote a review Jul 2019Nottinghamshire, United Kingdom15 
contributions5 helpful votes</t>
  </si>
  <si>
    <t>devonfamily_12 wrote a review Jan 2019Devon England31 contributions13 
helpful votes</t>
  </si>
  <si>
    <t>Value for moneyStayed one night on route to a festival. Vert good customer service, room 
comfortable and breakfast worth the money, albeit the sausages were below 
par! However eat as much as you want mad up for this. :)Read moreReview 
collected in partnership with TravelodgeDate of stay: July 2019HelpfulShare</t>
  </si>
  <si>
    <t>MagsAyr47 wrote a review Jul 2019Ayr Scotland65 contributions40 helpful 
votes</t>
  </si>
  <si>
    <t>Great locationLove staying at this hotel as its so central for everything. Southbank and 
the London Eye 5 minutes walk, easy access to the Jubilee line which is 
perfect if you are going to the O2. Rooms are clean and spacious and some 
have great views of the London Eye or the Shard. Staff are always friendly 
and helpful.Read moreReview collected in partnership with this hotelDate of 
stay: December 2018HelpfulShare</t>
  </si>
  <si>
    <t>brugge4him wrote a review Jan 2019Bruges, Belgium2 contributions1 helpful 
vote</t>
  </si>
  <si>
    <t>Little better than a hostelDirty, noisy, not enough towels. It is very cheap but you definitely get 
what you pay for (ie not much). But even in cheapest accommodation I expect 
it to be clean. Yuk! My advice would be go somewhere else.Read moreDate of 
stay: July 2019HelpfulShareResponse from TravelodgeUK, Shaf from the Social 
Media Team. at Travelodge London Kings Cross Royal ScotResponded 16 Jul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</si>
  <si>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Enjoyed our stayRoom was clean, location is great - about a 5 minute walk from Waterloo. 
Tea and water kettle were provided as well as hairdryer. The only negative 
is that you only receive 30 mins of free wifi. Not many hotels do that 
anymore, it should be free entirely. But can't fault the property or the 
staff. We enjoyed our stay and will do it again.Read moreReview collected 
in partnership with this hotelDate of stay: December 2018HelpfulShare</t>
  </si>
  <si>
    <t>https://www.tripadvisor.co.uk/Hotel_Review-g186338-d243667-Reviews-or945-Travelodge_London_Kings_Cross_Royal_Scot-London_England.html#REVIEWS</t>
  </si>
  <si>
    <t>EmilyMarquez wrote a review Jan 2019Miami, Florida256 contributions58 
helpful votes</t>
  </si>
  <si>
    <t>enid58 wrote a review Jul 2019Corby, United Kingdom38 contributions26 
helpful votes</t>
  </si>
  <si>
    <t>Not My First ChoiceWith an office in Blackfriars, we were assigned to stay here. Personally, 
not my favorite place as it has no good area to gather with friends for a 
drink, or no real restaurant or bar. The rooms are large and comfortable 
but I hate the nasty old carpets even smelly and humid at times. The hotel 
runs with a skeleton staff that is never available when needed, and if you 
need an iron or other special request, you’ll most likely have to wait. It 
is clean but lacks service so this hotel is never my first choice. It is 
inexpensive so that’s a plus!Read moreDate of stay: October 
2018HelpfulShareResponse from TravelodgeUK, Shaf from the Social Media 
Team. at Travelodge London Waterloo HotelResponded 17 Jan 2019Thank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</si>
  <si>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night in LondonVery cheap for a overnight stay in London, comfortable room, near train 
station, plenty of eating places around. Near Kingscross station so easy to 
get to any were in London. would use again, Thank you.Read moreReview 
collected in partnership with TravelodgeDate of stay: July 2019HelpfulShare</t>
  </si>
  <si>
    <t>https://www.tripadvisor.co.uk/Hotel_Review-g186338-d1812157-Reviews-or530</t>
  </si>
  <si>
    <t>Gemma D wrote a review Jul 2019Derby, United Kingdom5 contributions1 
helpful vote</t>
  </si>
  <si>
    <t>What's on in (and around) Hailsham wrote a review Jan 2019Hailsham, United 
Kingdom2 contributions</t>
  </si>
  <si>
    <t>Lovely staffStayed here 2 nights and just wanted to write a review due to how lovely 
the staff were! I’ve stayed in a fair few travelodges and this one has by 
far the best reception staff I have encountered. Lovely warm greeting and 
very helpful. The hotel itself is in a great location, 10mins walk from 
kings cross and a great base for a good price. Rooms are a little tired and 
it was a little noisy at night but it’s London so I expected no less and 
for the price can’t complain. Also they store your bags for free which was 
a added bonus when our train was later on in the day.Read moreDate of stay: 
July 2019HelpfulShare</t>
  </si>
  <si>
    <t>Great central locationWe had travelled up from the South Coast for audition in Denmark Hill. It 
was a great spot for getting to the venue with taxis and buses right 
outside. The views out of the windows weren't great but this wasn't a 
surprise. The overall stay was great with a smart, clean, friendly 
atmosphere. I can't fault it, except for the sausages at breakfast were 
extremely unpleasant, but the rest was excellent with a wide choice of 
buffet items. Rooms were clean, tidy and the TV worked on all stations. I'd 
definitely use this Travelodge again.Read moreReview collected in 
partnership with TravelodgeDate of stay: January 2019HelpfulShare</t>
  </si>
  <si>
    <t>Jim J wrote a review Jul 20195 contributions1 helpful vote</t>
  </si>
  <si>
    <t>SuzieJ wrote a review Jan 2019Birmingham, United Kingdom5 contributions4 
helpful votes</t>
  </si>
  <si>
    <t>Great Stay as everGood stay in convenient place in waliking distance to Waterloo station. 
Staff were friendly and helpful. Room was warm clean and beds very 
comfortable. The breakfast was self service with a reasonable range of food 
and drinkRead moreReview collected in partnership with this hotelDate of 
stay: December 2018HelpfulShare</t>
  </si>
  <si>
    <t>Overnight stay Kings CrossThe hotel was very reasonably priced, clean and comfortable. The lack of 
air conditioning was not great on a warn evening and with the windows open 
it is a very noisy area. The hotel had done what it could to compensate 
with fans and a sheet. Bathroom also needs an upgrade.Read moreReview 
collected in partnership with TravelodgeDate of stay: July 
2019HelpfulShareResponse from TravelodgeUK, Ben from the Social Media Team 
at Travelodge London Kings Cross Royal ScotResponded 15 Jul 2019We 
appreciate the time you have taken to review our London Kings Cross Royal 
Scot hotel. We're pleased to hear that you found your room to be clean and 
comfortable however we are sorry to learn that your experience was hindered 
by the lack of air conditioning. We have taken measures to limit the 
nuisance caused by the heat and we do apologise if these were not 
sufficient to give you a good night’s sleep.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</si>
  <si>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https://www.tripadvisor.co.uk/Hotel_Review-g186338-d1812157-Reviews-or630-Travelodge_London_Waterloo_Hotel-London_England.html#REVIEWS</t>
  </si>
  <si>
    <t>2121rsuh wrote a review Jul 20191 contribution</t>
  </si>
  <si>
    <t>RaChEl_SaY wrote a review Jan 2019Southend-on-Sea, United Kingdom6 
contributions1 helpful vote</t>
  </si>
  <si>
    <t>9/10Good hotel. Very friendly staff. Very clean hotel, nice location. Easy 
access to tube stations. Easy accessible from anywhere in London I will 
definitely use this hotel again and recommend it to anyoneRead moreReview 
collected in partnership with this hotelDate of stay: July 2019HelpfulShare</t>
  </si>
  <si>
    <t>Waterloo HotelVery happy with our stay staff were very friendly and welcoming on the desk 
room was very tidy room was Fresh had a little kettles you can make tea and 
coffee perfect location breakfast was delicious will definitely stay 
againRead moreReview collected in partnership with TravelodgeDate of stay: 
January 2019HelpfulShare</t>
  </si>
  <si>
    <t>MargaretSheffieldUK wrote a review Jul 2019Dronfield, United Kingdom21 
contributions6 helpful votes</t>
  </si>
  <si>
    <t>sck68 wrote a review Jan 2019London, United Kingdom149 contributions28 
helpful votes</t>
  </si>
  <si>
    <t>worth a stay when in Londonstayed here for a couple of nights, handy because near St. Pancres and 
Kings Cross, quiet if you have a back room, very friendly staff and 
helpful. It has its own bar and resturant which is handy. But plenty of 
resturants nearby and pubs. You can leave your luggage which is very useful 
if your return home is later in the day.Read moreReview collected in 
partnership with TravelodgeDate of stay: July 2019HelpfulShare</t>
  </si>
  <si>
    <t>Not bad for the areaThis is a good Travelodge because it is close to Waterloo train station and 
still close enough to walk to all the main central London locations such as 
Embankment, Covent Garden and Soho. I have been to this location several 
time and can often be a better price than some of the other central London 
Travelodges.Read moreDate of stay: December 2018HelpfulShare</t>
  </si>
  <si>
    <t>Richard J wrote a review Jan 2019Sunderland, United Kingdom7 
contributions10 helpful votes</t>
  </si>
  <si>
    <t>https://www.tripadvisor.co.uk/Hotel_Review-g186338-d243667-Reviews-or950-Travelodge_London_Kings_Cross_Royal_Scot-London_England.html#REVIEWS</t>
  </si>
  <si>
    <t>Christina S wrote a review Jul 201915 contributions6 helpful votes</t>
  </si>
  <si>
    <t>Waterloo - no kinksThe hotel is close to Waterloo station and the pricing was very competitive 
compared with neighbouring hotels. There are bus stops very close served by 
many different bus routes.Stayed here in one of the new Travelodge super 
rooms. It's a well equipped room with a good bathroom. Bed was very 
comfortable and the blackout curtains did their job. Despite looking out 
onto a busy road the room was always quiet. The room was clean and had a 
kettle with tea and coffee provided. When I arrived the staff on the 
check-in desk were very efficient, friendly and helpful. The checkout was 
also excellent.Read moreReview collected in partnership with this hotelDate 
of stay: January 2019HelpfulShare</t>
  </si>
  <si>
    <t>A good base!We wanted a hotel in london to explore &amp; go to the theatre. This was 
perfect! Near the station, not far from all that we needed. The hotel is 
very big. Secure, clean &amp; friendly staff. The breakfast was excellent. The 
room needed a bit of love &amp; attention (hence the 4 star) but it was 
comfortable &amp; we enjoyed our stay.Read moreReview collected in partnership 
with this hotelDate of stay: July 2019HelpfulShare</t>
  </si>
  <si>
    <t>AdrianRutter wrote a review Jan 2019Redruth, United Kingdom7 contributions1 
helpful vote</t>
  </si>
  <si>
    <t>Fantastic hotel in great location.This hotel is a great place to stay when visiting London. The location is 
ideal, 3 minutes walk from Waterloo station, several bus routes going 
straight past the front door and within easy walking distance of 
attractions like the London eye, Westminster and the Imperial war museum, 
There are several shops and great restaurants within 5 - 10 mins walk of 
the hotel too. However, the best thing about this hotel are the staff. We 
had an extremely warm welcome on arrival. It became clear very quickly that 
nothing was too much trouble. The staff gave us great advice for visiting 
London, lots of handy tips regarding travel routes etc. I stayed just the 
one night, but our daughter and her partner were there for 4 nights. I rang 
the hotel before our arrival to ask if we could have a…Read moreDate of 
stay: January 2019HelpfulShare</t>
  </si>
  <si>
    <t>Mary Carrella wrote a review Jul 2019Naples, Italy87 contributions4 helpful 
votes</t>
  </si>
  <si>
    <t>Cute hotel, good priceI stayed at the Travelodge in 2014, during a trip with my family to London. 
We all appreciated the availability of the personnel, the huge variety of 
foods at breakfast, good service, beautiful rooms and last but not least, 
the central position which allows tourists to get to the main attractions 
of the city easily.Read moreDate of stay: July 2019HelpfulShare</t>
  </si>
  <si>
    <t>https://www.tripadvisor.co.uk/Hotel_Review-g186338-d1812157-Reviews-or635-Travelodge_London_Waterloo_Hotel-London_England.html#REVIEWS</t>
  </si>
  <si>
    <t>2Katy_C wrote a review Jul 2019Newcastle upon Tyne, United Kingdom9 
contributions</t>
  </si>
  <si>
    <t>Nomad55636940005 wrote a review Jan 2019Biarritz, France1 contribution1 
helpful vote</t>
  </si>
  <si>
    <t>Great stay in LondonThe hotel met our expectations. It is well located and most places are 
easily accessible per bus and tube,or walking. Rooms are comfortable and 
clean, with the nice English breakfast included. All this at a reasonable 
price.We definitely recommend!Read moreReview collected in partnership with 
TravelodgeDate of stay: January 2019HelpfulShare</t>
  </si>
  <si>
    <t>This was not goodHandy location, but room obviously not thoroughly cleaned (found socks 
under the bed and a colleague found a phone charger). Colleague also bitten 
several times and a pharmacist confirmed as flea bites. Disorganised at 
breakfast. Sign saying wait to be seated but no staff seating guests. 
Difficult to find a place to sit at breakfast as majority of empty tables 
had dirty plates left for quite some time. Would not recommendRead moreDate 
of stay: July 2019HelpfulShareResponse from TravelodgeUK, James from the 
Social Media Team at Travelodge London Kings Cross Royal ScotResponded 14 
Jul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</si>
  <si>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https://www.tripadvisor.co.uk/Hotel_Review-g186338-d243667-Reviews-or955-Travelodge_London_Kings_Cross_Royal_Scot-London_England.html#REVIEWS</t>
  </si>
  <si>
    <t>Kat W wrote a review Jan 2019Tampa, Florida10 contributions4 helpful votes</t>
  </si>
  <si>
    <t>Leafs wrote a review Jul 2019Karlsruhe, Germany19 contributions2 helpful 
votes</t>
  </si>
  <si>
    <t>Great place to stay if you are trying to see Central London!We traveled to London from Florida, USA, over the New Year Holiday and 
stayed at this hotel for 9 nights. We successfully got to see everything we 
came to see while staying at this hotel. It is about a 5 minutes walk to 
Waterloo Station. The hotel has a bar that is open 24/7 and breakfast 
available each morning (for an extra charge). The bar will serve pizza at 
the late hours of the night, which was surprisingly very good and there is 
a daily Happy Hour, which was also a great deal (bogo beer and single mixed 
drinks, discounted wine bottles)! Service at the front desk and bar was 
always excellent. Adam was one of the bartenders, who deserves a special 
shout out for his excellent service to us during our stay! The hotel room 
was small (single queen bed, bathroom, desk and 2…Read moreDate of stay: 
January 2019HelpfulShare</t>
  </si>
  <si>
    <t>Does exactly what it says on the tin.Big hotel, only a few minutes walk from King's Cross Station (and then you 
can get everywhere). Many local amenities nearby, small restaurants Corner 
shops and cafes. Food in the restaurant is overpriced and rubbish, don't 
bother there's plenty of options nearby. Key cards for the room kept 
breaking. Staff are friendlyRead moreDate of stay: July 2019HelpfulShare</t>
  </si>
  <si>
    <t>Twinkles05 wrote a review Jan 2019London1 contribution1 helpful vote</t>
  </si>
  <si>
    <t>Joanna G wrote a review Jul 2019Gomersal, United Kingdom6 contributions</t>
  </si>
  <si>
    <t>Cheap, Clean and CentralClean and modern hotel, friendly staff, 5 minutes walk from Waterloo 
Station so easy to travel to anywhere in London. Cab ordered from reception 
was £11 to Leicester Square. Affordable room for a Friday night stay. 
Couldn’t really ask for anything more - other than chocolate croissants in 
buffet breakfast ��Read moreReview collected in partnership with 
TravelodgeDate of stay: January 2019HelpfulShare</t>
  </si>
  <si>
    <t>Lucyc1973 wrote a review Jan 2019Brighton, United Kingdom4 contributions</t>
  </si>
  <si>
    <t>DisappointingMy daughter and I stayed 3 nights. The hotel is only 10 minute walk from 
King's Cross station and this is the only plus for this hotel. The room was 
in dire need of a refurb - peeling paint, sticky carpets, scuffed and 
damaged furniture. We had no toilet rolls or towels which we had to fetch 
from reception. Our room was located on the 4th floor near the lifts with 
fire doors wedged open across our door. We didn't have any trouble with 
outside noise but with other guests, we were woken at 4.20am by a large 
group waiting for the lifts who were really loud and when I complained - 
abusive. We picked a busy weekend what with Pride and Wimbledon but I feel 
it wasn't worth the price we paid. I wouldn't stay here again.Read moreDate 
of stay: July 2019HelpfulShareResponse from TravelodgeUK, Shaf from the 
Social Media Team. at Travelodge London Kings Cross Royal ScotResponded 11 
Jul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</si>
  <si>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Very convenient locationThis hotel is just five minutes walk from Waterloo, ten mins from south 
bank, walk into Covent Garden in twenty minutes great location for a mini 
break. Room clean, breakfast fine, staff friendly and helpfulRead 
moreReview collected in partnership with this hotelDate of stay: December 
2018HelpfulShare</t>
  </si>
  <si>
    <t>firefighter5089 wrote a review Jul 2019Nantwich, United Kingdom1 
contribution</t>
  </si>
  <si>
    <t>https://www.tripadvisor.co.uk/Hotel_Review-g186338-d1812157-Reviews-or640-Travelodge_London_Waterloo_Hotel-London_England.html#REVIEWS</t>
  </si>
  <si>
    <t>Staff stole from my roomThe hotel is old and run down, but it is clean. It is half the price of 
other travel lodges in the area so it is to be expected. It’s in a fairly 
good location, 10 minutes from Euston and has a Santander bike station 
immediately outside. However, I had an expensive set of headphones stolen 
from my room. I only realised after checkout, so I rang the hotel to report 
this. I was assured this would be taken seriously. 2 weeks later and the 
Manager has still not called me back.Read moreReview collected in 
partnership with TravelodgeDate of stay: July 2019HelpfulShareResponse from 
TravelodgeUK, Shaf from the Social Media Team. at Travelodge London Kings 
Cross Royal ScotResponded 11 Jul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</si>
  <si>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wardythedragon wrote a review Jul 2019Sydney, Australia4 contributions1 
helpful vote</t>
  </si>
  <si>
    <t>Marie B wrote a review Jan 2019Norwich, United Kingdom69 contributions7 
helpful votes</t>
  </si>
  <si>
    <t>London for 8 nightsGood value hotel in close proximity to st Pancras station.Reception staff 
brilliant , attentive and helpful to any needs or concerns you may have. No 
noise outside but be prepared for loud noise as nearby rooms close their 
doors.Read moreReview collected in partnership with TravelodgeDate of stay: 
July 2019HelpfulShare</t>
  </si>
  <si>
    <t>Excellent customer servoceAfter a long trip with an 11 month only, I stumbled up to the front desk at 
10am to leave our bags before we checked in later. They were so friendly 
and welcoming. I asked if they had a toilet I could change the baby in? 
They were so kind and organised a room, gave me the key so I could 
change/feed her in. I appreciated this so much! The rooms are lovely and 
the family room spacious. I was impressed especially as it was such great 
value and so close to Waterloo, south bank etc... we are already planning 
our next trip. Thank you Travelodge.Read moreDate of stay: January 
2019HelpfulShare</t>
  </si>
  <si>
    <t>Steve A wrote a review Jul 2019Sheffield, United Kingdom5 contributions</t>
  </si>
  <si>
    <t>MamaFishTeacher wrote a review Jan 2019Bude, United Kingdom38 
contributions18 helpful votes</t>
  </si>
  <si>
    <t>Decent central London budget optionStayed here because it was a good value decent offer walking distance from 
station on arrival. Nothing flash but it works. Small ish supplement for 
upgraded room with Lavazza machine, kitkats etc was worth it. Staff all 
friendly and competent. Special shout out to Hilina on reception who is 
charming and helpful. If you want a convenient central base with mod cons 
that doesn't break the bank then this is well worth a look. Will most 
probably be back next time I'm coming in or out of Waterloo.Read moreDate 
of stay: January 2019HelpfulShare</t>
  </si>
  <si>
    <t>BSC-Reviewer wrote a review Jan 2019London, United Kingdom40 
contributions11 helpful votes</t>
  </si>
  <si>
    <t>Normally a great hotel - stung by lack of infoIt is several years since I last stayed at the Royal Scot and I was unaware 
that since then the hotel was now just within the Congestion Zone and by 
default the ultra low emissions zone. There is NOTHING on the Travelodge 
website to inform you of this and as I do not reside in London I do not 
keep up to date with these things. As a result I have been hit with fines 
totalling £240 since returning home for not paying any of the permits. 
Surely this information SHOULD be on the hotel info on the website, or are 
Travelodge getting a kickback from TFL to provide extra revenue? Sad really 
as it has always been a lovely hotel and never had any issues in previous 
years thus the high markings for the hotel itself but low for everything 
elseRead moreReview collected in partnership with TravelodgeDate of stay: 
July 2019HelpfulShareResponse from TravelodgeUK, James from the Social 
Media Team at Travelodge London Kings Cross Royal ScotResponded 11 Jul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</si>
  <si>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GoodI booked a stay for after a Christmas dinner in late December. The hotel is 
very conveniently located about five minutes away from Waterloo station. 
Downstairs it has a lovely bar that was open late into the night. The staff 
here are great, and checkin and checkout were made very simple and quick. 
The room was good, with clean linen, TV, shower etc. All in working order 
and very clean. Overall, if your looking for a good, clean and convenient 
place near Waterloo that is value for money, then I would recommend this. I 
would use this again.Read moreDate of stay: December 2018HelpfulShare</t>
  </si>
  <si>
    <t>Sightseer02123652696 wrote a review Jan 2019Kaiserslautern, Germany2 
contributions</t>
  </si>
  <si>
    <t>https://www.tripadvisor.co.uk/Hotel_Review-g186338-d243667-Reviews-or960-Travelodge_London_Kings_Cross_Royal_Scot-London_England.html#REVIEWS</t>
  </si>
  <si>
    <t>N.T. wrote a review Jul 2019Yerevan, Armenia306 contributions79 helpful 
votes</t>
  </si>
  <si>
    <t>Great HotelGreat location and amazing staff. Room was clean and the floor was quiet as 
advertised. The cafe and bar was great for something quick to eat or drink. 
The lounge was nce to be to people watch and chill for a bit as well.Read 
moreReview collected in partnership with this hotelDate of stay: December 
2018HelpfulShare</t>
  </si>
  <si>
    <t>Improvedmuch better now. tiny but clear and cosy rooms, full English breakfast, 
paid wifi, convenient location. Very helpful and friendly staff. Bedding is 
great. Rooms to yard are perfect for great sleep. No toiletories.Read 
moreDate of stay: July 2019HelpfulShare</t>
  </si>
  <si>
    <t>https://www.tripadvisor.co.uk/Hotel_Review-g186338-d1812157-Reviews-or645-Travelodge_London_Waterloo_Hotel-London_England.html#REVIEWS</t>
  </si>
  <si>
    <t>Lady_wulf wrote a review Jul 20195 contributions4 helpful votes</t>
  </si>
  <si>
    <t>Dreadful. Mouldy, smelly, noisyAs I travel for work, I requested a quiet room. Well...if this is quiet I 
pity the poor souls in a non-quiet room. It’s like trying to sleep next to 
a constant car engine. The noise outside is like a jet aircraft taking off, 
so I have to keep the window closed. The room smells mouldy, and the duvet 
cover smells of body odour. Disgusting. I feel Ill. Apparently the hotel is 
full so they can’t move me. 3 nights with no sleep is not good for my 
health. Laughably I’ve been offered a free breakfast, which I’ve already 
paid for. On a positive note the staff were helpful, but couldn’t do 
anything. I write this as I lie in the hotel bedroom with my bed vibrating, 
only due to the vibration from the bathroom vents. The bed is wobbling, and 
the noise is louder with my head on the…Read moreDate of stay: July 
2019HelpfulShareResponse from TravelodgeUK, Shaf from the Social Media 
Team. at Travelodge London Kings Cross Royal ScotResponded 11 Jul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</si>
  <si>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Escape42634324242 wrote a review Jan 2019Norwich, United Kingdom1 
contribution1 helpful vote</t>
  </si>
  <si>
    <t>Inspiration279727 wrote a review Jul 20191 contribution</t>
  </si>
  <si>
    <t>Super StayHad a really lovely stay at the Waterloo Travelodge. Lovely clean room. We 
had a family room and it was plenty big enough for all four of us. Really 
good location for exploring London. Easily accessible.Read moreReview 
collected in partnership with this hotelDate of stay: December 
2018HelpfulShare</t>
  </si>
  <si>
    <t>Happy weekendReception very welcoming and all staff friendly and helpful. Breakfast good 
value and very enjoyable. Although the bedroom was small it was very clean 
and comfortable. I would have liked another side table or cabinet next to 
the bed. Sharing such a small shelf with books and glasses didn't really 
work and glasses ended up on the floor. Only one chair but probably not 
enough room for another one.Read moreReview collected in partnership with 
this hotelDate of stay: July 2019HelpfulShare</t>
  </si>
  <si>
    <t>Ashleigh H wrote a review Jul 20191 contribution1 helpful vote</t>
  </si>
  <si>
    <t>Tara O wrote a review Jan 20193 contributions5 helpful votes</t>
  </si>
  <si>
    <t>Christmas stay in LondonI really enjoyed my stay in Travelodge Waterloo. The super rooms were 
nicely designed and comfortable. Even though it was Christmas day they 
provide us with lots of extra towels. The only down side to the room was 
that it didn't have a fridge.Read moreReview collected in partnership with 
TravelodgeDate of stay: December 2018HelpfulShare</t>
  </si>
  <si>
    <t>Stay in a hostel insteadHow they can charge this much for a hotel that’s is bad is beyond me. 
Better off staying in a hostel. Hotel stank of mould inside and outside the 
room, there is no air con and you can’t open the windows properly so all 
you get is a tiny fan to move the heat and smell around. The carpet looks 
like you would catch an illness so take flip flops, no bath Matt and 
stained towels aswell as stained bedding. Only saving grace was that the 
reception staff are friendly but do nothing to fix the issue.Read 
moreReview collected in partnership with TravelodgeDate of stay: July 20191 
Helpful voteHelpfulShareResponse from TravelodgeUK, Niki from The Social 
Media Team at Travelodge London Kings Cross Royal ScotResponded 9 Jul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</si>
  <si>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https://www.tripadvisor.co.uk/Hotel_Review-g186338-d1812157-Reviews-or650-Travelodge_London_Waterloo_Hotel-London_England.html#REVIEWS</t>
  </si>
  <si>
    <t>Paul wrote a review Jan 2019Wells, United Kingdom13 contributions2 helpful 
votes</t>
  </si>
  <si>
    <t>Great location for short stay close to old vicWonderful stay for new year and London highlights. Staff were ever so 
helpful and friendly room was clean with excellent shower. Great location 
near Waterloo and old Vic. Bar was excellent and should definitely stayed 
for breakfast.Read moreReview collected in partnership with TravelodgeDate 
of stay: January 2019HelpfulShare</t>
  </si>
  <si>
    <t>https://www.tripadvisor.co.uk/Hotel_Review-g186338-d243667-Reviews-or965-Travelodge_London_Kings_Cross_Royal_Scot-London_England.html#REVIEWS</t>
  </si>
  <si>
    <t>Curiosity243117 wrote a review Jan 2019Burnley, United Kingdom1 
contribution1 helpful vote</t>
  </si>
  <si>
    <t>Sarah M wrote a review Jul 20191 contribution</t>
  </si>
  <si>
    <t>Convenient HotelThe hotel was convenient, clean and comfortable and at a reasonable 
price.We were able to walk to the theatre area and also to Westminster but 
transport is also close by so you can easily reach anywhere in London from 
this hotel.Read moreReview collected in partnership with TravelodgeDate of 
stay: January 20191 Helpful voteHelpfulShare</t>
  </si>
  <si>
    <t>Basic, clean and welcomingI have stayed here on numerous occasions and it is definitely improving, 
particularly with staff's helpfulness .( thanks Martin!) Its not a luxury 
stop but a clean comfy place to grab some zzz's in a really convenient part 
of town. See you in October��Read moreReview collected in partnership with 
this hotelDate of stay: July 2019HelpfulShare</t>
  </si>
  <si>
    <t>Alex W wrote a review Jan 2019Abingdon, England, United Kingdom4 
contributions2 helpful votes</t>
  </si>
  <si>
    <t>Cheekichelsee1990 wrote a review Jul 2019Liverpool, United Kingdom3 
contributions</t>
  </si>
  <si>
    <t>Tidy, good location and good value for moneyA short walk from Waterloo station, the Travelodge was good value. Room was 
clean and pleasant and we enjoyed a nice walk to the south bank and over 
the Thames to Trafalgar Sq. Only issue was that we paid for 2 WIFI codes 
and one didn't work. We had the same issue the previous night when staying 
at the Travelodge in Oxford.Read moreReview collected in partnership with 
TravelodgeDate of stay: December 20181 Helpful voteHelpfulShare</t>
  </si>
  <si>
    <t>Matt A wrote a review Jan 201967 contributions22 helpful votes</t>
  </si>
  <si>
    <t>OkReception was clean and bar area rooms were dirty and dated. Carpet rotton 
and damp. Would not stay here again. Very noisy. All furniture in room was 
broken dirty or in need of major repair. Better travelodge availible 
locallyRead moreReview collected in partnership with TravelodgeDate of 
stay: July 2019HelpfulShareResponse from TravelodgeUK, Niki from The Social 
Media Team at Travelodge London Kings Cross Royal ScotResponded 9 Jul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</si>
  <si>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Commandokev wrote a review Jul 2019Lincoln, United Kingdom2 contributions</t>
  </si>
  <si>
    <t>Helpful staff, clean hotelWell, it's a Travelodge, so you should know the score - small rooms, 
sometimes funny shaped spaces, squeezing round the door to get to the 
toilet etc. My room in this hotel had all these features as well as a noisy 
air-con unit and a TV remote that didn't work. However, after reporting 
this, a member of staff turned up at the door a few minutes later with some 
remotes, one of which worked, so a plus for helpfulness of the staff. It's 
about 5 mins walk from Waterloo station past the Old Vic, so good tube 
links to the West End, it was clean and had 2 lifts. The bed was firm 
enough and the pillows had the right amount of springiness. Can't complain 
really.Read moreDate of stay: December 20181 Helpful voteHelpfulShare</t>
  </si>
  <si>
    <t>https://www.tripadvisor.co.uk/Hotel_Review-g186338-d1812157-Reviews-or655-Travelodge_London_Waterloo_Hotel-London_England.html#REVIEWS</t>
  </si>
  <si>
    <t>Rooms very dated and no air conRooms very dated and no air con, the staff were very attentive. The 
bathroom was small and cramped. The bed was very comfortable. Although this 
was on Kings Cross Road, it was at least a 10 minute walk from the station 
which was inconvenient with luggage.Read moreReview collected in 
partnership with TravelodgeDate of stay: July 2019HelpfulShareResponse from 
TravelodgeUK, Niki from The Social Media Team at Travelodge London Kings 
Cross Royal ScotResponded 9 Jul 2019Many thanks for your review. We're 
pleased that you found the staff to be friendly and your bed to be 
comfortable during your stay with us. Not all of our hotels have air 
conditioning, however we have taken steps within the hotels to ensure that 
our rooms are kept as cool as possible such as providing fans, adding 
sheets to our beds and keeping the duvet separate and other measures that 
may assist in reducing the temperature. We understand that these measures 
are sometimes not as effective as we would hope which we would like to 
apologise for. The comfort of our rooms are the foundations of the perfect 
stay we aim to offer to our guests, and this is why it is particularly 
important for us to feed your comments back to our colleagues at the hotel. 
Thank you again for your review and we hope to have the chance to welcome 
you back again soon.Read more</t>
  </si>
  <si>
    <t>Anthony B wrote a review Jan 20191 contribution1 helpful vote</t>
  </si>
  <si>
    <t>Graysta wrote a review Jul 2019Shrewsbury, United Kingdom4 contributions4 
helpful votes</t>
  </si>
  <si>
    <t>Travelodge London WaterlooThe hotel is good value and wonderfully situated within walking distance of 
a lot of the main attractions. The rooms are clean and comfortable with 
lousy pillows and a blocked drain in one of our two rooms being the only 
niggles. Breakfast is plentiful but eggs are limited to tasteless 
scrambled.All staff we came actross were friendly and professionalValue and 
convenience means we would definitely stay here again.Read moreReview 
collected in partnership with TravelodgeDate of stay: January 20191 Helpful 
voteHelpfulShare</t>
  </si>
  <si>
    <t>Worse travelodge I have stayedWas told 5 min walk from Euston, more like 35 minutes. Ordered a cab, was 
not told about the £10 minimum charge. Very old and dated. Location is ok 
if you know where your going. I have stayed in many travelodges and this is 
by fare the worse I have stayed.Read moreReview collected in partnership 
with TravelodgeDate of stay: July 20191 Helpful voteHelpfulShareResponse 
from TravelodgeUK, Niki from The Social Media Team at Travelodge London 
Kings Cross Royal ScotResponded 9 Jul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</si>
  <si>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SBlatchford65 wrote a review Jan 2019Dorset, United Kingdom5 contributions4 
helpful votes</t>
  </si>
  <si>
    <t>https://www.tripadvisor.co.uk/Hotel_Review-g186338-d243667-Reviews-or970-Travelodge_London_Kings_Cross_Royal_Scot-London_England.html#REVIEWS</t>
  </si>
  <si>
    <t>Really good experienceFriendly helpful staff. Good position for visiting London. Many buses to 
the West End nearby Nice rooms warm, good tv, WiFi and plenty of hot water. 
Beds comfortable pillows a bit hard and lumpy. Good shower nice clean 
fluffy towels. Highly recommend.Read moreReview collected in partnership 
with TravelodgeDate of stay: January 20191 Helpful voteHelpfulShare</t>
  </si>
  <si>
    <t>Chloe M wrote a review Jul 20192 contributions1 helpful vote</t>
  </si>
  <si>
    <t>AdrianZaharescu wrote a review Jan 2019Bucharest, Romania3 contributions4 
helpful votes</t>
  </si>
  <si>
    <t>Great staff poor quality roomZayn was really welcoming and helpful. He was informative through every 
step of the checking in process and was happy to let us know when our room 
was ready as we requested early check in. The hotel itself was really 
outdated and not the usual quality I would expect from a travelodge. The 
room was also extremely hot during the night, and there were no plugs next 
to the beds. These comments on the room itself are no reflection on the 
brilliant staff, just feel it needs a revamp to align with the standardised 
quality you’d expect from this chain.Read moreReview collected in 
partnership with this hotelDate of stay: June 2019HelpfulShare</t>
  </si>
  <si>
    <t>Very goodNice young staff. The hotel was near River Thames. Good price for the room. 
Water discharge at shower can be improved. The A/C was heating only till 
circa 2:00 am after this hour was quite cold (we visited London in 
winter).Read moreReview collected in partnership with TravelodgeDate of 
stay: December 20181 Helpful voteHelpfulShare</t>
  </si>
  <si>
    <t>helenl21 wrote a review Jan 2019Shifnal, United Kingdom86 contributions42 
helpful votes</t>
  </si>
  <si>
    <t>NoisyStayed for 2 nights. Asked for a quiet room and was told it should be. Room 
was small even though I booked a Super room. Was adequate and clean but the 
noise from the rooms above on the second night was shocking. There are no 
phones in the room to ring reception to enable a complaint. On check out 
the receptionist asked about the stay and so I reported the noise. I was 
asked the room number and another receptionist pointed to the screen as if 
there had been other complaints. The receptionist apologised and said I 
would be recompensed. Still waiting. Not good really.Read moreDate of stay: 
December 20181 Helpful voteHelpfulShare</t>
  </si>
  <si>
    <t>https://www.tripadvisor.co.uk/Hotel_Review-g186338-d1812157-Reviews-or660-Travelodge_London_Waterloo_Hotel-London_England.html#REVIEWS</t>
  </si>
  <si>
    <t>Curious09818652264 wrote a review Jul 2019Rotherham, United Kingdom1 
contribution</t>
  </si>
  <si>
    <t>nAAA u wrote a review Jan 20191 contribution1 helpful vote</t>
  </si>
  <si>
    <t>Clean, but old and tired.The staff were great and the room really clean, but there is no air con and 
the building is old and quite tired. The hotel is a 5 min walk from St 
Pancras and Kings Cross so it is well placed and accessible.Read moreReview 
collected in partnership with this hotelDate of stay: July 2019HelpfulShare</t>
  </si>
  <si>
    <t>Good place to stayClean place and comfy beds, reception and all other staff we encountered 
very friendly and helpful, breakfast buffet enough options and reasonable 
price for the area....would definitely stay here again.Read moreDate of 
stay: January 20191 Helpful voteHelpfulShare</t>
  </si>
  <si>
    <t>https://www.tripadvisor.co.uk/Hotel_Review-g186338-d243667-Reviews-or975-Travelodge_London_Kings_Cross_Royal_Scot-London_England.html#REVIEWS</t>
  </si>
  <si>
    <t>wismageorge wrote a review Jan 2019Yeovil43 contributions38 helpful votes</t>
  </si>
  <si>
    <t>Bellsfoodie963 wrote a review Jul 2019UK20 contributions13 helpful votes</t>
  </si>
  <si>
    <t>Excellent value in a good locationThis Travelodge is located about 200 yards from Waterloo Station. It’s not 
Chelsea, but the location is super convenient for visiting London. The 
hotel is immaculate, front desk staff were excellent and the room, although 
compact and basic, was again immaculately clean, well equipped and quiet. 
Oh, and the bed was super comfortable. On top of all this, the room was 
quiet. It’s a Travelodge. It’s not the Savoy. But this was really great 
value, delivering a clean, comfortable room in a super location.Read 
moreReview collected in partnership with TravelodgeDate of stay: January 
20191 Helpful voteHelpfulShare</t>
  </si>
  <si>
    <t>Noisy and very dated hotel. Very basicI had a stop over planned here ahead of a trip on the Eurostar. As you 
would expect , in central London the hotel is noisy. The windows do not 
close properly (at least in the two rooms I went in) so noise from outside 
also. It is very basic and tired, don’t expect any luxury but that is 
reflected in the price. Decor wise the worst travelodge I’ve stayed in. 
Things just felt a bit dirty. There are security guards in this hotel, 
wandering round all night, interpret that as you wish! There is no phone in 
the room to contact reception if there is any issue. I had an issue with 
some very noisy and intimidating neighbours and as I was travelling solo I 
was not comfortable staying in that room. I went downstairs to reception 
around midnight to ask for a new room. The staff were very…Read moreDate of 
stay: April 2019HelpfulShareResponse from TravelodgeUK, Molly from the 
Social Media Team at Travelodge London Kings Cross Royal ScotResponded 4 
Jul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</si>
  <si>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RinieWales wrote a review Jan 2019Wales1 contribution2 helpful votes</t>
  </si>
  <si>
    <t>Ilaria P wrote a review Jul 2019Ancona, Italy21 contributions6 helpful votes</t>
  </si>
  <si>
    <t>Short break London5 minutes walk to underground and very convenient to visit the sights of 
London. Our room was spotless. We had a double room with an extra bed put 
in for our 8 year old daughter but there was still sufficient space. I took 
extra hangers with me as I guessed there wouldn't be enough and I was right 
as it it always the case wherever I stay. No drawers or cupboards. The 
shower was good, but my boyfriend did slip in it twice so I took care and 
didn't have a problem. The water was very slow draining from the shower. It 
didn't overflow but I just mentioned it to the reception staff on my 
departure which they duly noted. It was very quiet no disturbance from 
traffic or other guests. Reception staff excellent. Good wifi. Good choice 
for breakfast. If I want to be picky the fruit salad…Read moreReview 
collected in partnership with TravelodgeDate of stay: January 20191 Helpful 
voteHelpfulShare</t>
  </si>
  <si>
    <t>bexythepirate wrote a review Jan 2019Yeovil, United Kingdom311 
contributions114 helpful votes</t>
  </si>
  <si>
    <t>Old, dirty, expensiveTerrible hotel, with old forniture, dirty carpet, clogged sink, chaotic 
hall. It doesn’t even have a hair dryer or a phone to call the reception. 
163£ is completely no sense. 10 min from London King Cross, you can 
definitely find something nicer in the area.Read moreDate of stay: July 
2019HelpfulShareResponse from TravelodgeUK, James from the Social Media 
Team at Travelodge London Kings Cross Royal ScotResponded 4 Jul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</si>
  <si>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Travelodge+ Great hotel in the heart of LondonThis is one of the several recently refurbished Travelodge’s upgraded to 
Travelodge+ and very nice it is too! The rooms as standard are somewhere 
between the previous standard rooms and the recently added super rooms 
although superfoods here are also available at a premium. I found the 
standard room very comfortable with clean modern fittings and furnishings. 
The bed was comfy with a decent size TV with plenty of free view channels 
available. Staff are friendly and informative. The cafe/bar has a 24 hour 
facility, luggage may be left if necessary and all this just a couple of 
hundred metres from Waterloo at a rate that offers very good VFM. Can’t 
fault it and will definitely look to stay here again. Recommended.Read 
moreDate of stay: December 20181 Helpful voteHelpfulShare</t>
  </si>
  <si>
    <t>https://www.tripadvisor.co.uk/Hotel_Review-g186338-d1812157-Reviews-or535</t>
  </si>
  <si>
    <t>MuchtravelledOAP wrote a review Jul 2019Luton UK290 contributions93 helpful 
votes</t>
  </si>
  <si>
    <t>https://www.tripadvisor.co.uk/Hotel_Review-g186338-d1812157-Reviews-or665-Travelodge_London_Waterloo_Hotel-London_England.html#REVIEWS</t>
  </si>
  <si>
    <t>Up &amp; Down DichotomyMany reviewers have noted the effectiveness of the staff &amp; we found them 
very helpful. We asked for &amp; got a room at the back which avoided traffic 
noise. The Reception, Bar &amp; Restaurant were modern with pleasant décor. 
However above ground level things went downhill. Our room was pokey with 
faded &amp; stained carpets and damaged furniture. We had drawer units which 
interestingly had no drawers (see pic) and a bathroom shower which had a 
mind of its own and a rusty curtain rail. Tea/coffee were provided but we 
did not eat in the hotel &amp; cannot therefore comment. There was an early 
evening “Happy Hour” with a reasonable bottle of wine at £14.50 (pretty 
good for central London). Other than the ancient decorative standard our 
main gripe was that there was no morning wakeup call…Read moreDate of stay: 
June 2019HelpfulShare</t>
  </si>
  <si>
    <t>carrickferguso wrote a review Jan 2019carrick northern ireland35 
contributions23 helpful votes</t>
  </si>
  <si>
    <t>https://www.tripadvisor.co.uk/Hotel_Review-g186338-d243667-Reviews-or980-Travelodge_London_Kings_Cross_Royal_Scot-London_England.html#REVIEWS</t>
  </si>
  <si>
    <t>Great location at a great priceStayed for 3 nights over the new year, only used public transport to and 
from the airport everything else was within walkin distance, london eye, 
fireworks, hyde park, buckingham, big ben, etc etc. Friendly staff on 
reception and at the bar. Rooms were clean and comfortable. We were in the 
3rd floor and looked onto private houses as said in other reviews but you 
arent in ur room that long so didnr bother us at all. Breakfast was nice 
and loads of it, help yourself to cereal, cooked breakfast, yougurts, fruit 
etc. Had dinner the first night we arrived, it was a bit manic but i 
gathered some of the staff were relatively new, it was cheap and cheerful. 
Didnt catch the girl behind the bars name however she was exceptional at 
her job, so polite and friendly and had a lot of time for…Read moreDate of 
stay: January 20191 Helpful voteHelpfulShare</t>
  </si>
  <si>
    <t>Coastal28381686783 wrote a review Jul 20191 contribution</t>
  </si>
  <si>
    <t>Jake B wrote a review Jan 20191 contribution2 helpful votes</t>
  </si>
  <si>
    <t>TravelodgeWhen we first arrived we were greeted by friendly staff that were happy to 
help with any questions, when we went to the bar for a drink Lindsay was a 
very friendly and helpful staff member who told us about the happy hour 
deals and made us feel welcome.Read moreDate of stay: January 20191 Helpful 
voteHelpfulShare</t>
  </si>
  <si>
    <t>SafetyAnother customer walked into my room at 2am. I was staying alone and did 
not feel safe. I told reception and they said they would email me with an 
explanation as to why it happened. I have not yet heard anything. The a/c 
unit was making loud noises throughout the night. The only way to stop it 
was to turn it off at the plug resulting in the room getting warm. I told 
reception this after my first night's stay and it had not been fixed or 
looked at for my second night. Again I had to sleep without any a/c on a 
warm night and in a room in which I could not open the windows. The 
reception staff were friendly and sympathetic at the time but I do not feel 
that the problems have been adequately addressed.Read moreReview collected 
in partnership with TravelodgeDate of stay: June 2019HelpfulShareResponse 
from TravelodgeUK, Molly from the Social Media Team at Travelodge London 
Kings Cross Royal ScotResponded 3 Jul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</si>
  <si>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zan873 wrote a review Jan 2019Llandysul, United Kingdom25 contributions16 
helpful votes</t>
  </si>
  <si>
    <t>Gypsy008 wrote a review Jul 2019Bridport, United Kingdom337 
contributions176 helpful votes</t>
  </si>
  <si>
    <t>Ideal location, modern, refurbished hotelPerfect location, central to many things that we wanted to see/places to 
visit. Good value for money breakfast. Reception was very trendy and 
welcoming, nice place to chill. Will be visiting again one day!Read 
moreReview collected in partnership with TravelodgeDate of stay: December 
20181 Helpful voteHelpfulShare</t>
  </si>
  <si>
    <t>mlittle83 wrote a review Dec 20182 contributions5 helpful votes</t>
  </si>
  <si>
    <t>One or two good staff, shabby hotelA very unfriendly welcome from the receptionist who gave me an incorrectly 
programmed cardkey (which I then had to go back down 4 floors to sort). The 
room reminded me of shabby student accommodation with all the varnish 
stripped off the inside of the bathroom door by, presumably, careless use 
of the shower over years. My room overlooked the main road so noisy but 
worst of all was that I was looking directly into flats above shops and 
cafes opposite with no net curtain for privacy so, curtains closed in 
daylight, The double glazing was secondary and the only well to get 
ventilation was to open it all up. So death by traffic noise or death by 
suffocation. The member of staff who greeted me when I went down for supper 
was very pleasant. My 'deal' meal was o.k but the service…Read moreDate of 
stay: June 2019HelpfulShareResponse from TravelodgeUK, Molly from the 
Social Media Team at Travelodge London Kings Cross Royal ScotResponded 3 
Jul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</si>
  <si>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LondonTripGreat location and in walking distance to all the main attractions, 
comfortable rooms which were very clean, reasonably priced as I would have 
expected a higher price based on its location and quality. We loved it.Read 
moreReview collected in partnership with TravelodgeDate of stay: December 
20181 Helpful voteHelpfulShare</t>
  </si>
  <si>
    <t>LINDA G wrote a review Jul 2019Gosport, United Kingdom2 contributions</t>
  </si>
  <si>
    <t>Voyager10172148381 wrote a review Dec 2018Cambridgeshire, United Kingdom1 
contribution2 helpful votes</t>
  </si>
  <si>
    <t>London tripHad a wonderful stay , rooms clean and tidy, bed very comfy , staff in 
restaurant and bar and reception were very friendly polite and helpful , 
would highly recommend this hotel , easy reach to tube and bus station , 
good value for money.Read moreReview collected in partnership with this 
hotelDate of stay: June 2019HelpfulShare</t>
  </si>
  <si>
    <t>Pleasant stayOvernight stay for a night at the theatre. Our first impression was that 
the room was clean and comfortable. The bathroom was very clean, just as we 
would have liked it to be. The coffee at the bar was really nice as was the 
food at breakfast. I would definitely stay at this Travelodge again.Read 
moreReview collected in partnership with TravelodgeDate of stay: December 
20181 Helpful voteHelpfulShare</t>
  </si>
  <si>
    <t>https://www.tripadvisor.co.uk/Hotel_Review-g186338-d1812157-Reviews-or670-Travelodge_London_Waterloo_Hotel-London_England.html#REVIEWS</t>
  </si>
  <si>
    <t>Jodie M wrote a review Jul 20193 contributions1 helpful vote</t>
  </si>
  <si>
    <t>Cerys M wrote a review Dec 20186 contributions4 helpful votes</t>
  </si>
  <si>
    <t>Great location, friendly staffGreeted by a lovely lady I think she was called Hameena, was really 
friendly and helpful. The hotel was in a great location. Great price and 
there was no noise or disturbance. Would definitely recommend staying 
here.Read moreReview collected in partnership with this hotelDate of stay: 
June 2019HelpfulShare</t>
  </si>
  <si>
    <t>Great location and vfmGreat for a trip to London. Close to the station and everything else. 
Breakfast was fantastic. Hot and lots of it. Love we can open the windows 
in the travelodge. I hate rooms with no air. Clean. Comfortable. Easy check 
in.Read moreReview collected in partnership with TravelodgeDate of stay: 
December 20181 Helpful voteHelpfulShare</t>
  </si>
  <si>
    <t>https://www.tripadvisor.co.uk/Hotel_Review-g186338-d243667-Reviews-or985-Travelodge_London_Kings_Cross_Royal_Scot-London_England.html#REVIEWS</t>
  </si>
  <si>
    <t>Venture02347901022 wrote a review Jul 20192 contributions</t>
  </si>
  <si>
    <t>Sue1775 wrote a review Dec 2018Bolton293 contributions77 helpful votes</t>
  </si>
  <si>
    <t>Good accommodationGood location, close to Kings Cross and centre London. The rooms are clean 
but need some improvement. The cleaning service is ok. Breakfast was good 
and fresh, very good coffee. The staff was very nice and polite.Read 
moreReview collected in partnership with TravelodgeDate of stay: June 
2019HelpfulShare</t>
  </si>
  <si>
    <t>Global66428264977 wrote a review Jun 2019Perth, Australia1 contribution</t>
  </si>
  <si>
    <t>Xmas break xxArrived at 11.30 and told by staff cannot early check in until 12 however, 
Would let us know if any available. Went to the desk at 12 and told no 
rooms and cannot leave case as luggage room full. I explained travelling 
with a 7 month pregnant partner and 8 year old . Staff said if they took my 
bag they would have to take other guests. It takes a lot for me to kick off 
but had no choice. In the end a room was free but no reasoning in staff 
customer service. Great location. Rooms comfy however, bathroom noisy. 
Would not come again xxRead moreDate of stay: December 20181 Helpful 
voteHelpfulShareResponse from TravelodgeUK, Molly from the Social Media 
Team at Travelodge London Waterloo HotelResponded 1 Jan 2019Thank you for 
your review. We're pleased to hear that your stay was enhanced by the 
location of the Hotel and you found the rooms to be comfortable. However, 
we are sorry that you were unable to check in before 12. Our check in time 
is 3pm, however early check in can be purchased if available, which 
entitles guests to check in from 12 midday. We also apologise that we were 
unable to store your luggage prior to check in. We cannot store luggage 
without space in a secure facility, and this is for security reasons. thank 
you again for your feedback.Read more</t>
  </si>
  <si>
    <t>Clean and comfortableWe chose this hotel based on proximity to St Pancras and value for money. 
My main criteria for any hotel are cleanliness and comfort, this hotel 
didn’t disappoint. Basic rooms, but clean, comfortable and value for 
money.Read moreReview collected in partnership with TravelodgeDate of stay: 
June 2019HelpfulShare</t>
  </si>
  <si>
    <t>Pagie66 wrote a review Dec 2018Plymouth, United Kingdom8 contributions3 
helpful votes</t>
  </si>
  <si>
    <t>Victoria T wrote a review Jun 20197 contributions</t>
  </si>
  <si>
    <t>London WaterlooIdeal location for Theathre land. Room noisy a we were situated by door 
leading to lifts. Air Con unit was noisy even when turned off. Bed was 
firm. Glad we were only there for one nightBook in staff seem to ignore us 
until we asked for help. No greeting at allRead moreReview collected in 
partnership with TravelodgeDate of stay: December 20181 Helpful 
voteHelpfulShareResponse from TravelodgeUK, Molly from the Social Media 
Team at Travelodge London Waterloo HotelResponded 30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</si>
  <si>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Alison Q wrote a review Dec 2018Rayleigh, United Kingdom85 contributions43 
helpful votes</t>
  </si>
  <si>
    <t>Brilliant value!!!I'm so impressed with this little jem. 10 minute walk from the National 
Theatre and Southbank. The room was very spacious and clean, beds were 
comfy and staff were polite and helpful. We got all this for £49! Very 
impressed. We didn't have breakfast or use the bar but quite a few guests 
did and it was neat, tidy and we'll stocked.Read moreDate of stay: December 
20181 Helpful voteHelpfulShare</t>
  </si>
  <si>
    <t>BasicThe location is good but travelling around London isn't too bad so I 
personally don't feel it was worth the money, mainly as it's the only 
reason I can think why it cost as much. The room had no bedside cabinet so 
had to make my own using my suitcase. Our twin room consisted of 2 single 
beds each 2ft wide not the standard 3ft, which made sleeping comfortably 
extremely difficult. Bed sheets were over starched so I ended up taking the 
skin off my elbows as I skillfully tossed and turned in such a small bed. 
The only saving glory for this hotel was the staff, who were all lovely. 
Overall I'd say this hotel is great for 1 night,just so you have somewhere 
to get sorted. Couldn't imagine making a full blown holiday out of staying 
here.Read moreDate of stay: June 2019HelpfulShareResponse from 
TravelodgeUK, James from the Social Media Team at Travelodge London Kings 
Cross Royal ScotResponded 1 Jul 2019Thank you for reviewing our Travelodge 
London Kings Cross Royal Scot Hotel. We're happy to hear you were pleased 
with the location of this hotel but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</si>
  <si>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Joeysplodge wrote a review Jun 20191 contribution</t>
  </si>
  <si>
    <t>Great Place to StayMy cousin and I needed a good, clean &amp; safe place to stay after arriving 
late from a concert. The staff were welcoming &amp; friendly, nothing was too 
much trouble. We stayed in a twin room, it was basic but super clean &amp; the 
beds were very comfortable. We would definitely stay here again.Read 
moreReview collected in partnership with this hotelDate of stay: June 
2019HelpfulShare</t>
  </si>
  <si>
    <t>https://www.tripadvisor.co.uk/Hotel_Review-g186338-d1812157-Reviews-or675-Travelodge_London_Waterloo_Hotel-London_England.html#REVIEWS</t>
  </si>
  <si>
    <t>https://www.tripadvisor.co.uk/Hotel_Review-g186338-d243667-Reviews-or990-Travelodge_London_Kings_Cross_Royal_Scot-London_England.html#REVIEWS</t>
  </si>
  <si>
    <t>chelseaangel2016 wrote a review Jun 2019Lincolnshire, United Kingdom256 
contributions67 helpful votes</t>
  </si>
  <si>
    <t>georgelovell9 wrote a review Dec 2018Cardiff, United Kingdom112 
contributions17 helpful votes</t>
  </si>
  <si>
    <t>Hotel of choice whilst working in LondonThis is my personal favourite hotel whilst working in London. The service 
is good, rooms are clean and spacious and there are a few nice places 
within walking distance. Waterloo station and Southwark station are both 
2-5 mins away depending on walking speed.Read moreDate of stay: December 
20181 Helpful voteHelpfulShare</t>
  </si>
  <si>
    <t>Fantastic StaffThis was my second stay here and I could not fault it again. When I arrived 
I was greeted by Bella who went out of her way to book a taxi for me for 
later in the evening. There was Happy Hour in the bar and I asked if I 
could order a panini. I was informed by Milly that the Chef wasn't in until 
5pm; this was around 4pm. However Milly asked Said/Zaid if he would prepare 
a panini for me as I was going out. He agreed and I had my panini early. I 
thought this was fantastic customer service and I was grateful. My taxi 
driver turned up on time and the evening went well. A fan was also in my 
room as the weather was quite hot and the room was extremely clean and 
comfortable. Thank you for a fantastic stay. I'm sure I'll be back 
again.Read moreDate of stay: June 2019HelpfulShare</t>
  </si>
  <si>
    <t>Helen J wrote a review Dec 20184 contributions3 helpful votes</t>
  </si>
  <si>
    <t>D Ellis wrote a review Jun 20191 contribution</t>
  </si>
  <si>
    <t>Great ServiceGreat service from the Team at Waterloo. We were informed on the way down, 
of an issue with the family room that was booked.On arrival, I was asked if 
I had been informed and confirmed that I was happy with the resolution. 
Which we were.As a gesture of goodwill, we were given free breakfast for 
all four of us on both mornings of our stay.Tibor on Reception was 
brilliant, friendly and happy to help each time we saw him, give him a 
raise or if you have a reward scheme, he needs to have some recognition of 
how great he is.The rooms were great and we are looking forward to staying 
there again.Read moreReview collected in partnership with TravelodgeDate of 
stay: December 20181 Helpful voteHelpfulShare</t>
  </si>
  <si>
    <t>Staff are GREAT....Stayed 2 nights staff very helpful whom we came in contact with , a special 
mention to Mateusz (breakfast waiter) so cheerful, polite &amp; friendly. The 
reason for not 5 is the showergel pumps did not work in bathroom needs a 
bit upgrading. .Had trouble with our keys both days wouldn't open our door, 
apart from that a fabulous stayRead moreDate of stay: June 2019HelpfulShare</t>
  </si>
  <si>
    <t>jimb402016 wrote a review Jun 2019Troon, United Kingdom130 contributions61 
helpful votes</t>
  </si>
  <si>
    <t>cijay wrote a review Dec 2018Edmonton, Canada85 contributions40 helpful 
votes</t>
  </si>
  <si>
    <t>Great place to staySo convenient to Waterloo station...which is convenient to Paddington and 
Heathrow Express it makes it pretty much worry-free to get to from 
Heathrow. The tube is there but there are also buses if you want to see 
London from above-ground, definitely advisable at Christmas time. The 139 
takes you right to Picadilly Circus. The room was clean and quiet, enjoyed 
a nice drink after a very busy day and, for a city view, it wasn't bad 
either.Read moreDate of stay: December 20181 Helpful voteHelpfulShare</t>
  </si>
  <si>
    <t>Superb from start to finishStayed at this hotel on a business trip. Great location and near Parliament 
and Buckingham Palace. Room spacious but basic. Selection of food suits all 
pallets. Well looked after by Andreea and Haleena who were so helpful. Will 
be back for sure.Read moreDate of stay: June 2019HelpfulShare</t>
  </si>
  <si>
    <t>Jemma C wrote a review Jun 20191 contribution</t>
  </si>
  <si>
    <t>https://www.tripadvisor.co.uk/Hotel_Review-g186338-d1812157-Reviews-or680-Travelodge_London_Waterloo_Hotel-London_England.html#REVIEWS</t>
  </si>
  <si>
    <t>Miss Jemma CarpenterA fantastic stay. Amazing hotel clean and tidy and amazing staff especially 
a receptionist named Zain. He was helpful and always happy which made me 
happy. Keep up the good work from one Travelodge to another.Read moreDate 
of stay: June 2019HelpfulShare</t>
  </si>
  <si>
    <t>Patrick Crowther wrote a review Jun 20191 contribution</t>
  </si>
  <si>
    <t>Excellent service!I come here quite regularly, Haleema you are always helpful and I couldn't 
ask for better service. Thank you for all your hard work and I look forward 
to seeing you again next time. I love staying at this hotelRead moreDate of 
stay: June 2019HelpfulShare</t>
  </si>
  <si>
    <t>Sightseer32727613378 wrote a review Dec 20181 contribution2 helpful votes</t>
  </si>
  <si>
    <t>5 night stayWe stayed 5 nights in a super room, for the price we paid we were very 
happy with the hotel and the facilities on offer. The hotel is well placed 
close to lots of London attractions and only a short 5 minutes walk to 
Waterloo station. We would happily stay again on our next trip to 
London.Read moreReview collected in partnership with TravelodgeDate of 
stay: December 20181 Helpful voteHelpfulShare</t>
  </si>
  <si>
    <t>https://www.tripadvisor.co.uk/Hotel_Review-g186338-d243667-Reviews-or995-Travelodge_London_Kings_Cross_Royal_Scot-London_England.html#REVIEWS</t>
  </si>
  <si>
    <t>Anna F. wrote a review Dec 2018Martin, Slovakia1 contribution1 helpful vote</t>
  </si>
  <si>
    <t>Kim Lund Johansen wrote a review Jun 20194 contributions12 helpful votes</t>
  </si>
  <si>
    <t>Will stay againNice, clean and cosy hotel just 5 minutes walk from London waterloo and 10 
minutes walk to Southbank Christmas market and London Eye. The only 
disadvantage is you have to pay for wi-fi and there is no hairdryer in the 
room-but if you ask the housekeeping or reception they will give you 
one.Read moreReview collected in partnership with TravelodgeDate of stay: 
December 20181 Helpful voteHelpfulShare</t>
  </si>
  <si>
    <t>Fantastic serviceStayed for 5 nights and the even though the hotel isn't exactly new it's 
still fine. It's central located and we had fantastic service from a very 
professional and attentive crew. I managed to forget my Blazer Jacket which 
they sent to me without any charge. Very fair prices for London. 
Recommended!Read moreDate of stay: June 2019HelpfulShare</t>
  </si>
  <si>
    <t>SUSAN P wrote a review Dec 2018Liverpool, United Kingdom54 contributions30 
helpful votes</t>
  </si>
  <si>
    <t>Great find near WaterlooSo pleasantly surprised by how lovely this hotel is, Very clean &amp; 
comfortable, reasonably priced, Lovely welcoming staff, so helpful and 
informative. Great hair, good choice and good happy hour. Buffet breakfast 
had a fantastic choice of hot and cold options, plus real coffee - Lavassa 
at touch of button. Comfortable beds, great wet room and in room amenities. 
10/10Read moreReview collected in partnership with TravelodgeDate of stay: 
December 20181 Helpful voteHelpfulShare</t>
  </si>
  <si>
    <t>Andi M wrote a review Jun 2019York, United Kingdom567 contributions131 
helpful votes</t>
  </si>
  <si>
    <t>https://www.tripadvisor.co.uk/Hotel_Review-g186338-d1812157-Reviews-or685-Travelodge_London_Waterloo_Hotel-London_England.html#REVIEWS</t>
  </si>
  <si>
    <t>Dated but still welcomingYes I know the hotel need a refurb but the rooms are clean enough the bed 
nice and where otherwise can you get a room near kings cross for under £80 
(excl breakfast ) The staff are all hard working and thanks to Zain for 
making my welcome and departure a simple eventRead moreDate of stay: June 
2019HelpfulShare</t>
  </si>
  <si>
    <t>EJG-DT wrote a review Dec 2018London, United Kingdom65 contributions25 
helpful votes</t>
  </si>
  <si>
    <t>Giveitayear wrote a review Jun 2019Norwich, United Kingdom12 contributions2 
helpful votes</t>
  </si>
  <si>
    <t>Excellent hotel in a nice quiet but very convenient location of Central 
LondonFamily stayed here and found the hotel very clean, easy access, nice family 
room and clean bathroom, Breakfast was great lots of fresh food and great 
service, Wifi had some issues logging 2nd device but would be back to this 
hotel again. Great staff and happy to help with any questions, well done 
Travelodge.Read moreReview collected in partnership with TravelodgeDate of 
stay: December 20181 Helpful voteHelpfulShare</t>
  </si>
  <si>
    <t>In need of a refurbStayed here for two nights as it was close to a hospital we needed to visit 
for treatment so only reason for booking. Reception and bar nice and 
modern, once you leave the lift to your room it’s like you’re in a 
different hotel. Out dated, old and in serious need of a refurbishment. Our 
room was as clean as it could be, carpets old and furniture broken and old. 
No air con but provided with a fan. The bedside drawers had no drawers �� 
We daren't eat at the hotel for fear of how clean the kitchens are as the 
public areas aren’t clean at all! If I was staying for pleasure I would 
have moved hotels and wouldn’t stay here again!Read moreDate of stay: June 
2019HelpfulShareResponse from TravelodgeUK, James from the Social Media 
Team at Travelodge London Kings Cross Royal ScotResponded 27 Jun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</si>
  <si>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Travel02341884433 wrote a review Jun 20191 contribution</t>
  </si>
  <si>
    <t>Charlotte J wrote a review Dec 2018Royal Tunbridge Wells, United Kingdom7 
contributions3 helpful votes</t>
  </si>
  <si>
    <t>Brilliant Basic and well located.Busy hotel, can be noisy... Did not get a good nights sleep due to rowdy 
guests, staff seemed completely unbothered, fatigued and sort of malaised. 
But were kind and professional whenit came to moving rooms.Read moreReview 
collected in partnership with TravelodgeDate of stay: December 20181 
Helpful voteHelpfulShare</t>
  </si>
  <si>
    <t>Dirty HotelI have stayed at Treval Lodge many times, although they are not the best 
they are noramaly clean. My room was dirty, the bathroom was very dirty and 
the hotel staff were not interested in my concerns.Read moreReview 
collected in partnership with TravelodgeDate of stay: March 
2019HelpfulShareResponse from TravelodgeUK, James from the Social Media 
Team at Travelodge London Kings Cross Royal ScotResponded 27 Jun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</si>
  <si>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TPAT75 wrote a review Dec 2018Oulu, Finland163 contributions61 helpful votes</t>
  </si>
  <si>
    <t>https://www.tripadvisor.co.uk/Hotel_Review-g186338-d243667-Reviews-or1000-Travelodge_London_Kings_Cross_Royal_Scot-London_England.html#REVIEWS</t>
  </si>
  <si>
    <t>Some room for improvementThe location of this hotel is pretty.good. Near Waterloo station and if 
you're fit, you can also walk to many of the major sights. Our room in 5th 
floor was facing the inner yard and was very quiet. No street noise at all 
which was a huge plus for me. The breakfast was very good and definitely 
worth paying for. It was never too crowded and they never run out of any 
items. The dinner was pretty good too for the money you pay. Room was 
modern and clean and the bed was very good. Shower was working great 
although you must be careful not to leak the floor. We could leave our 
luggage to the luggage room before check in and after the check out which 
was nice.There were some small gripes though that keep this hotel from 
getting the full score. I personally don't like the Travelodge…Read 
moreReview collected in partnership with TravelodgeDate of stay: December 
20181 Helpful voteHelpfulShare</t>
  </si>
  <si>
    <t>cazza1 wrote a review Jun 2019uk26 contributions12 helpful votes</t>
  </si>
  <si>
    <t>Martin L wrote a review Dec 201815 contributions2 helpful votes</t>
  </si>
  <si>
    <t>The hotel has dated bones but A lovely clean hotelA lovely friendly hotel. The bones of the hotel are old I. E. the hallways 
are old but clean. Please go and See for yourself. The room was the same as 
any other travelodge we have stayed in. The friendliest staff we have ever 
come across at a travelodge. We would stay again. Not the closest hotel to 
kingscross but a 10 min walk Make your own mind up we were glad we did.Read 
moreReview collected in partnership with TravelodgeDate of stay: June 
2019HelpfulShare</t>
  </si>
  <si>
    <t>Judit Val wrote a review Jun 2019London, United Kingdom1 contribution</t>
  </si>
  <si>
    <t>Noise all nightThe heater in my room was noisy so I turned it completely off. However, it 
continued to make a variety of loud sounds all night, but at random 
moments, so I would sleep for a while and then be woken again. The other 
issue was noisy guests. Starting at 9pm a group were banging on each 
other's doors and having excited, shouted conversations in the corridor, as 
well as singing and shouting in rooms. The corridor shouting went on 
through until midnight and stopped just as I was preparing to get up, get 
dressed and go and complain. The noise was particularly disruptive because 
it flared up at 5 to 10 minute intervals, so again, I would partially drop 
off to sleep and then be woken. As this was the ground floor where the 
rooms are (weirdly) adjacent to the restaurant and bar, and…Read moreDate 
of stay: December 2018HelpfulShareResponse from TravelodgeUK, Molly from 
the Social Media Team at Travelodge London Waterloo HotelResponded 18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</si>
  <si>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Thank you Bella!Bella at the reception was really nice. She could also speak Portuguese and 
in Spanish. The room and facilities were perfect and I got a good deal on 
the same day in a good location. Thank you Bella! Thank you Travelodge.Read 
moreReview collected in partnership with TravelodgeDate of stay: June 
2019HelpfulShare</t>
  </si>
  <si>
    <t>Craig W wrote a review Jun 20192 contributions</t>
  </si>
  <si>
    <t>https://www.tripadvisor.co.uk/Hotel_Review-g186338-d1812157-Reviews-or690-Travelodge_London_Waterloo_Hotel-London_England.html#REVIEWS</t>
  </si>
  <si>
    <t>Very comfortable and cool / friendly hotel.Staff are great, room was also great / comfortable. Has a nice relaxing 
area and bar downstairs and breakfast is above average although a few extra 
items e.g. omelette station would make it even better.Read moreReview 
collected in partnership with TravelodgeDate of stay: June 2019HelpfulShare</t>
  </si>
  <si>
    <t>Teresa R wrote a review Dec 2018Andover, United Kingdom253 contributions66 
helpful votes</t>
  </si>
  <si>
    <t>happytraveller0636 wrote a review Jun 2019Newcastle upon Tyne, United 
Kingdom51 contributions51 helpful votes</t>
  </si>
  <si>
    <t>Excellent location, comfortable Hotel with friendly efficient staffWe have stayed here several times and have always enjoyed our stay. It is 
in an excellent location 5 minutes walk to Waterloo station and 10-15 
minutes walk to the Southbank. The staff are always friendly and efficient 
and help and advise when asked. The room was comfortable and quiet, nice 
bed and shower, decent sized TV. Great breakfast, all night bar. Good value 
for money in the heart of London. Definitely recommend.Read moreDate of 
stay: December 20181 Helpful voteHelpfulShare</t>
  </si>
  <si>
    <t>Peter Wade wrote a review Dec 2018St Helier, United Kingdom7 contributions2 
helpful votes</t>
  </si>
  <si>
    <t>Fine for a stopoverThis hotel was about £100 cheaper on the night I stayed compared to some of 
the other central London travelodges. So you get what you pay for. This is 
a refurbed hotel that isn’t a purpose built travelodge. The bedroom and 
bathroom are on the small side. The beds, duvets, towels and curtains are 
new and so are some of the room fittings. It’s all had a lick of paint so 
it’s clean. I asked for a room at the back as they’re quieter, the first 
one I was given showed up on the system as a quiet room but actually faced 
the busy road. When I went back to reception the receptionist ran back 
upstairs to check that the next room allocation did face the back of the 
hotel. How lovely is that - thank you Brooke. For the price I paid I would 
stay again if I needed a stopover for work.Read moreDate of stay: June 
2019HelpfulShareResponse from TravelodgeUK, James from the Social Media 
Team at Travelodge London Kings Cross Royal ScotResponded 27 Jun 2019Thank 
you for reviewing our Travelodge London Kings Cross Royal Scot Hotel. We're 
sorry to hear you weren't pleased with the set up of your room during this 
stay with us as well as the external noise experienced but we're happy to 
hear you were pleased with the service from the hotels team during this 
stay. Please rest assured the hotel managers check Tripadvisor reviews of 
their hotels so your comments will be reviewed by the hotel's team. Thank 
you again for leaving this review and we do hope that you choose to stay 
with us again in the future.Read more</t>
  </si>
  <si>
    <t>Enjoyable stayThe staff were very helpful and the hotel clean and tidy handy for Waterloo 
station only a ten minute walk.I managed to walk to the war museum only 
twenty minutes away.also on a regular bus route with plenty of taxis 
passingRead moreReview collected in partnership with TravelodgeDate of 
stay: December 2018HelpfulShare</t>
  </si>
  <si>
    <t>Jamie Thomas wrote a review Jun 2019Durham, United Kingdom3 contributions</t>
  </si>
  <si>
    <t>Excellent value, great locationThis hotel is very good value for money and occupies a great location very 
handy for Kings Cross / St Pancras and central London. Some reviews on this 
site appear to forget that this is a Travelodge, not the Ritz. The staff 
are always very friendly, the rooms are clean and adequate, the price is 
usually low, and the location is ideal. You can't ask for much more at this 
price point.Read moreDate of stay: June 2019HelpfulShare</t>
  </si>
  <si>
    <t>WorldTravellerDevon wrote a review Dec 2018Devon, United Kingdom123 
contributions46 helpful votes</t>
  </si>
  <si>
    <t>Excellent StayWe travel to London every Christmas to spend three days enjoying the city 
and always stay at the Waterloo Travelodge. The Hotel has recently been 
re-furbished. We found the Hotel excellent, the staff, bedroom, bar and 
breakfast were all first class. Look forward to seeing you again next year. 
A great location with easy access to the centre of London.Read moreDate of 
stay: December 2018HelpfulShare</t>
  </si>
  <si>
    <t>https://www.tripadvisor.co.uk/Hotel_Review-g186338-d243667-Reviews-or1005-Travelodge_London_Kings_Cross_Royal_Scot-London_England.html#REVIEWS</t>
  </si>
  <si>
    <t>Trek33140853157 wrote a review Jun 20191 contribution</t>
  </si>
  <si>
    <t>Great location just not cleanestGreat location less then 5 min walk to underground 2nd time we stopped 
there and I think the hotel was better first time was much cleaner first 
time we stopped hair around room and stains on the walls!Read moreReview 
collected in partnership with TravelodgeDate of stay: June 
2019HelpfulShareResponse from TravelodgeUK, James from the Social Media 
Team at Travelodge London Kings Cross Royal ScotResponded 27 Jun 2019Thank 
you for reviewing our Travelodge London Kings Cross Royal Scot Hotel. We're 
happy to hear you were pleased with the location of this hotel during your 
stay with us but we're sorry to hear you weren't happy with the cleanliness 
of your room. Please rest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</si>
  <si>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https://www.tripadvisor.co.uk/Hotel_Review-g186338-d1812157-Reviews-or695-Travelodge_London_Waterloo_Hotel-London_England.html#REVIEWS</t>
  </si>
  <si>
    <t>Kim B wrote a review Jun 2019Barnsley, United Kingdom7 contributions3 
helpful votes</t>
  </si>
  <si>
    <t>Jannerbloke wrote a review Dec 2018Devon, United Kingdom9,521 
contributions6,286 helpful votes</t>
  </si>
  <si>
    <t>SightseeingStayed here for 2 nights. It was a good base, a short walk from Kings 
Cross. The room was clean and tidy. It was quite warm so a fan was 
provided. Haleema on reception was particularly helpful and printed me some 
tickets out. The only downside was the bathroom. It could do with a refurb. 
Overall I would visit again. Thank YouRead moreDate of stay: June 
2019HelpfulShare</t>
  </si>
  <si>
    <t>https://www.tripadvisor.co.uk/Hotel_Review-g186338-d1812157-Reviews-or540</t>
  </si>
  <si>
    <t>Newer inside than outside suggests.Happy with the look but they still don’t get everyday basics right. No 
hairdryer. You have to go to reception and then back at the room there is 
no no plug socket close enough for you to use the dryer near a mirror! 
Pleasant and easy morning walk over the river to Petty France.Read moreDate 
of stay: December 2018HelpfulShareResponse from TravelodgeUK, Molly from 
the Social Media Team at Travelodge London Waterloo HotelResponded 16 Dec 
2018Thank you for your review. We're pleased to hear that your stay was 
enhanced by the location of the Hotel. We are sorry to learn that you were 
unimpressed with the facilities in your room. Being a budget Hotel brand, 
we believe that we provide all the necessary facilities to ensure a 
comfortable stay, for value. However, we will certainly pass your feedback 
on to the relevant team. Thank you again for your comments.Read more</t>
  </si>
  <si>
    <t>Ecam wrote a review Jun 2019Nuneaton, United Kingdom53 contributions45 
helpful votes</t>
  </si>
  <si>
    <t>Value for money in LondonWe were pleasantly surprised for our one night stay. Reception and other 
staff were very helpful and friendly. The room was a good size with a comfy 
bed and pillows. Good bathroom. Plentiful breakfast (would be nice to have 
fried eggs option too). Would stay again.Read moreReview collected in 
partnership with TravelodgeDate of stay: June 2019HelpfulShare</t>
  </si>
  <si>
    <t>DayTrip26530453385 wrote a review Dec 20181 contribution</t>
  </si>
  <si>
    <t>Ben wrote a review Jun 2019Eastleigh, United Kingdom4 contributions</t>
  </si>
  <si>
    <t>good place for exploring the city!very good location for exploring the city. The room was clean and new. no 
problems at all. The breakfast was very good and plenty of choices. we had 
the possibility to leave the luggage before the check in and after the 
check out, very convenient!Read moreReview collected in partnership with 
TravelodgeDate of stay: December 20181 Helpful voteHelpfulShare</t>
  </si>
  <si>
    <t>NannyMaryT wrote a review Dec 2018Hayling Island, United Kingdom4 
contributions5 helpful votes</t>
  </si>
  <si>
    <t>Great staff but hotel needs urgent renovation...Hotel is incredibly dated, rooms look untouched since the 80’s and lack 
basics like air conditioning, hair dryer, bottled water, fridge, iron &amp; 
ironing board etc. Good selection for breakfast but very mediocre in 
quality. Only saving grace was the super friendly staff, easy 
check-in/check-out and good standard of cleanliness. Only stay here if you 
have to, otherwise there’s far nicer hotels for the money around.Read 
moreDate of stay: June 2019HelpfulShareResponse from TravelodgeUK, Ben from 
the Social Media Team at Travelodge London Kings Cross Royal ScotResponded 
3 Jul 2019Thank you for taking the time to write a review about our London 
Kings Cross Royal Scot hotel. We are pleased to hear that you found the 
hotel team to be friendly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</si>
  <si>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Alfons J wrote a review Jun 20191 contribution1 helpful vote</t>
  </si>
  <si>
    <t>Very uncomfortable bedThe reception &amp; bar staff were great. I had booked a twin room, which 
looked nice &amp; was clean but the beds were so small &amp; uncomfortable, I 
didn't sleep at all. Maybe they would be all right for a very small, light 
child but certainly not for adults &amp; I'm not a big woman! The lack of 
hygiene in the café was incredible. One member of staff was wiping tables 
with a dirty cloth then handling food items, including bread &amp; fruit - 
without washing her hands! We had to eat elsewhere.Read moreReview 
collected in partnership with TravelodgeDate of stay: December 
2018HelpfulShareResponse from TravelodgeUK, Molly from the Social Media 
Team at Travelodge London Waterloo HotelResponded 11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</si>
  <si>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Compass40698431883 wrote a review Dec 2018Manchester, United Kingdom1 
contribution</t>
  </si>
  <si>
    <t>Great stay!I liked the hotel for the price it asks. It's not expensive and you get a 
good stay. The staff, especially the one who was helping me (Haleema), are 
very friendly and fun even to have a chat with. The rooms are clean and 
tidy, good bed to sleep in an another important thing is that it is close 
to the station!Read moreReview collected in partnership with TravelodgeDate 
of stay: June 20191 Helpful voteHelpfulShare</t>
  </si>
  <si>
    <t>Good location but VERY basicThe location is great. 10 min walk from Waterloo. The hotel is clean &amp; the 
staff were friendly. However, given the price, I was very disappointed in 
the beyond basic toiletries &amp; facilities. (A pump in the shower - 
shampoo/body wash/hand gel)! That was it! There also weren’t any tea/coffee 
making facilities (but 2 random mugs), or a hair dryer. It’s a VERY small 
room for 2 people. But again, great location.Read moreReview collected in 
partnership with TravelodgeDate of stay: December 2018HelpfulShareResponse 
from TravelodgeUK, Molly from the Social Media Team at Travelodge London 
Waterloo HotelResponded 10 Dec 2018Thank you for your review. We're pleased 
to learn that your stay was enhanced by the location of the Hotel, and you 
found the Team to be friendly. However, we are sorry to learn that you were 
unimpressed with the facilities in your room. Being a budget Hotel brand, 
we believe that we provide all the necessary facilities to ensure a 
comfortable stay, for value. We are always looking to improve the services 
we offer and we will pass your comments on to the relevant team. Thank you 
again for your review.Read more</t>
  </si>
  <si>
    <t>https://www.tripadvisor.co.uk/Hotel_Review-g186338-d243667-Reviews-or1010-Travelodge_London_Kings_Cross_Royal_Scot-London_England.html#REVIEWS</t>
  </si>
  <si>
    <t>shanth03 wrote a review Jun 2019Farringdon, United Kingdom57 
contributions24 helpful votes</t>
  </si>
  <si>
    <t>https://www.tripadvisor.co.uk/Hotel_Review-g186338-d1812157-Reviews-or700-Travelodge_London_Waterloo_Hotel-London_England.html#REVIEWS</t>
  </si>
  <si>
    <t>Nice break awayHotel staff very friendly and helpful, room was spaceous double bed and 
single bed , bathroom wasn't the best but served its purpose, shower was 
broken but bath was functional , only downside was the room was ground 
level as it was the back of the hotel and the windows didn't close and the 
secondary glazing didn't fit properly, do we were awake very early 5.30 am 
with a lady shouting at her children to get in the car , then car revving 
then buses , but we had no noise from the hotel it's self . Breakfast was 
really tasty and plenty of choice , all food was hot and time we went in 
plenty of seating , 2 nd visit for us we will definitely be backRead 
moreDate of stay: June 2019HelpfulShare</t>
  </si>
  <si>
    <t>Relax48422098501 wrote a review Jun 2019Middlesbrough, United Kingdom2 
contributions3 helpful votes</t>
  </si>
  <si>
    <t>Donna H wrote a review Dec 2018Paignton, United Kingdom2 contributions</t>
  </si>
  <si>
    <t>Royal Scot travel lodge kings cross LondonGreat location, friendly helpful staff, good value for money . Lots to do 
nearby !! Will definitely stay again , breakfast was very good lots to 
choose from and worth paying the 9.95 for all you can eat !!Read moreReview 
collected in partnership with TravelodgeDate of stay: June 20191 Helpful 
voteHelpfulShare</t>
  </si>
  <si>
    <t>London waterlooVery good place to stay. Very large hotel but nevertheless the staff were 
excellent. Food good and cost of stay minimal for London. Imperial war 
museum 5 mins away and waterloo station about 3 minutes away.Read 
moreReview collected in partnership with TravelodgeDate of stay: November 
2018HelpfulShare</t>
  </si>
  <si>
    <t>Lesleyw679 wrote a review Dec 2018Melrose, United Kingdom9 contributions1 
helpful vote</t>
  </si>
  <si>
    <t>Kerry C wrote a review Jun 2019Anlaby, United Kingdom1 contribution1 
helpful vote</t>
  </si>
  <si>
    <t>Great hotel, good location, value for moneyNewly refurbished hotel, clean and comfortable rooms. Great value for money 
and in a good location to reach many attractions. Staff were very welcoming 
and helpful. I would recommend if looking for a clean, safe and 
confirmtable hotel at an affordable price.Read moreReview collected in 
partnership with TravelodgeDate of stay: December 2018HelpfulShare</t>
  </si>
  <si>
    <t>Zoeblovett wrote a review Dec 2018Guildford, United Kingdom5 contributions</t>
  </si>
  <si>
    <t>My "go to" place when visiting LondonGreat location close to Kings Cross, a little dated but clean and value for 
money. Breakfast is on par with local eateries and staff always friendly 
and helpful...my go to hotel when visiting London...highly recommend.Read 
moreReview collected in partnership with TravelodgeDate of stay: June 20191 
Helpful voteHelpfulShare</t>
  </si>
  <si>
    <t>Annie J wrote a review Jun 20191 contribution</t>
  </si>
  <si>
    <t>Super clean, modern, comfortableThe room had a key card which to be honest i always appreciate. Really 
comfortable bedding, huge bathroom. AC was there if needed but it was 
actually the perfect tshirt temperature- not able to open windows though- 
shame, health &amp; safety I guess. Staff were really lovely- funny security. 
Really pleasant stay- thank you guys!Read moreDate of stay: November 
2018HelpfulShare</t>
  </si>
  <si>
    <t>Jason H wrote a review Dec 2018Abingdon, United Kingdom30 contributions18 
helpful votes</t>
  </si>
  <si>
    <t>Lovely staff, room was averageStaff were lovely and really helpful however room was not particularly 
clean - carpet was sticky and there was a strong damp smell. Still not too 
bad for a cheap stay. Location was also good for kings cross station, 
Camden etc.Read moreReview collected in partnership with this hotelDate of 
stay: June 2019HelpfulShare</t>
  </si>
  <si>
    <t>ImpressedStayed here with my partner, for one night in December whilst we visited 
local attractions! Very welcoming staff on arrival . The room was very 
clean and modern ! We used the bar and restaurant and we were both 
impressed with the quality of the food. And again the staff were extremely 
helpful. We would recommend this hotel and will be staying there again 
��Read moreDate of stay: December 2018HelpfulShare</t>
  </si>
  <si>
    <t>https://www.tripadvisor.co.uk/Hotel_Review-g186338-d243667-Reviews-or1015-Travelodge_London_Kings_Cross_Royal_Scot-London_England.html#REVIEWS</t>
  </si>
  <si>
    <t>NorthStar68603995688 wrote a review Jun 2019Bingley, United Kingdom1 
contribution</t>
  </si>
  <si>
    <t>https://www.tripadvisor.co.uk/Hotel_Review-g186338-d1812157-Reviews-or705-Travelodge_London_Waterloo_Hotel-London_England.html#REVIEWS</t>
  </si>
  <si>
    <t>Royal Scott Travelodge stayThe room was comfortable and this hotel is located within walking distance 
of the train station and underground tubes. This made our tourist 
travelling around very easy. The hotel staff were friendly and helpfulRead 
moreReview collected in partnership with TravelodgeDate of stay: June 
2019HelpfulShare</t>
  </si>
  <si>
    <t>wirraljojo wrote a review Dec 2018Wirral75 contributions30 helpful votes</t>
  </si>
  <si>
    <t>Passport25864029408 wrote a review Jun 20191 contribution</t>
  </si>
  <si>
    <t>Good locationWas a bit apprehensive but really nice hotel in good location. Five mins 
walk from Waterloo train station. Direct link to Euston on the northern 
line. Could see London eye from hotel. Nice bar and cafe Room clean and 
tidy. Small but to be expected from a central London hotel. Would stay 
there again. Nice friendly staffRead moreDate of stay: December 
2018HelpfulShare</t>
  </si>
  <si>
    <t>Great experienceFab location, friendly staff, would def recommend. We will stay there 
again. Within easy walking distance of Kings cross station, British 
Library, Charles Dickens House, Foundling Museum. Took us 45 mins to walk 
to National Theatre.Read moreReview collected in partnership with 
TravelodgeDate of stay: June 2019HelpfulShare</t>
  </si>
  <si>
    <t>Mike H wrote a review Dec 2018Dundee, United Kingdom447 contributions105 
helpful votes</t>
  </si>
  <si>
    <t>590darrenc wrote a review Jun 2019Leeds, United Kingdom1 contribution</t>
  </si>
  <si>
    <t>Above Average.We stayed here on a recent stay in London. The hotel was above average on 
everything from staff to cleanliness for Travelodge. The rooms were the 
usual standard with the usual appointments. I have no reservations 
recommending here.Read moreDate of stay: December 2018HelpfulShare</t>
  </si>
  <si>
    <t>MFiVienna wrote a review Dec 2018Vienna153 contributions45 helpful votes</t>
  </si>
  <si>
    <t>3 day visitLocation was good,room good size however getting out on floor 2 then stairs 
back down to 1 to reach room through a filthy corridor that stayed dirty 
for the whole 3 days, room not cleaned first day then cleaned after 
requesting so then day 2 not cleaned, WiFi took 3 days to log onRead 
moreReview collected in partnership with TravelodgeDate of stay: June 
2019HelpfulShareResponse from TravelodgeUK, Shaf from the Social Media 
Team. at Travelodge London Kings Cross Royal ScotResponded 26 Jun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</si>
  <si>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Excursion67672106579 wrote a review Jun 20191 contribution</t>
  </si>
  <si>
    <t>Recently renovated, good sized rooms, clean and todyThis is an updated Travelodge the rooms are a good size and are equipped 
with a shower rather than a bath, which I prefer. The room was clean and 
the bed comfortable. The bar area was very nicely decorated and the 
breakfast was plentiful and varied, offering all that one would wish for. 
Situation of the hotel is perfect for travel from Gatwick and for walking 
into the center of London. Alternatively underground and main railway 
station are close at hand.Read moreDate of stay: November 2018HelpfulShare</t>
  </si>
  <si>
    <t>kings cross royal scottthe hotel was very noisey staff unhelpful bed broken bathroom tiny room to 
hot no air con breakfast wasn't ready for 7am as was stated lifts were 
dirty and smelly the whole weekend good location but very poor serviceRead 
moreReview collected in partnership with TravelodgeDate of stay: June 
2019HelpfulShareResponse from TravelodgeUK, Shaf from the Social Media 
Team. at Travelodge London Kings Cross Royal ScotResponded 26 Jun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</si>
  <si>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july1959 wrote a review Nov 2018Appia SS 7, Italy119 contributions83 
helpful votes</t>
  </si>
  <si>
    <t>karen m wrote a review Jun 2019Liverpool, United Kingdom11 contributions9 
helpful votes</t>
  </si>
  <si>
    <t>Low expectationsI’m in London for a conference for work so my expectations are low and my 
attitude is one of resignation to whatever hotel I’ve been allocated in 
order to fulfil my duties for work at the least cost to my employers purse. 
I confess- I wasn’t expecting much from the Waterloo travel lodge, so I’m 
pleased to be able to say I’m very pleasantly surprised. My room is basic 
but comfortable and spotless. There is tea/coffee facilities, comfy 
bed,TV,desk and charging plugs for phone/iPad etc. The bathroom positively 
sparkles. The restaurant served me the tastiest superfood salad I have had 
for a long time, and believe me I’ve eaten quite a few. I can only find one 
negative comment and that is that free WiFi is only 30 minutes after that 
it’s a £3 charge, however, it is a pleasure to say…Read moreDate of stay: 
November 2018HelpfulShare</t>
  </si>
  <si>
    <t>Great spot for short stopoverStaff were really helpful during check in and check out. Has to wait ‘til 
3, to check in but they took our bags, were friendly and everything was 
ready when came back at 3. On checkout a member of staff was standing in 
reception, no queuing at desk the easiest checkout ever. Bed was comfy, no 
problem with bathroom or bedroom. Did what it says on the tin. Handy for 
Kings Cross area and station, which was ideal as only needed one short 
journey on Metropolitan Line to get to Wembley. Would use again as location 
handy to station and price ( for London) was competitive .Read moreDate of 
stay: June 2019HelpfulShare</t>
  </si>
  <si>
    <t>https://www.tripadvisor.co.uk/Hotel_Review-g186338-d1812157-Reviews-or710-Travelodge_London_Waterloo_Hotel-London_England.html#REVIEWS</t>
  </si>
  <si>
    <t>https://www.tripadvisor.co.uk/Hotel_Review-g186338-d243667-Reviews-or1020-Travelodge_London_Kings_Cross_Royal_Scot-London_England.html#REVIEWS</t>
  </si>
  <si>
    <t>Joanne C wrote a review Jun 20194 contributions</t>
  </si>
  <si>
    <t>Susan P wrote a review Nov 2018Barnstaple, United Kingdom4 contributions1 
helpful vote</t>
  </si>
  <si>
    <t>Mother daughter tripThe hotel is in a great location roughly a 10 minute walk from kings cross 
and the underground. They have a luggage storage area which is great if you 
want to go and explore before check in or after check out times. The 
reception staff are very friendly and welcoming. The hotel is clean and 
tidy but could do with a refurbishmentRead moreDate of stay: June 
2019HelpfulShare</t>
  </si>
  <si>
    <t>m1garner wrote a review Jun 2019harrogate8 contributions1 helpful vote</t>
  </si>
  <si>
    <t>Weekend awayI booked this hotel as a birthday surprise for my husband as it was within 
walking distance for everything that I’d planned.. The hotel was lovely and 
clean and staff friendly. The only downside was breakfast it was cold I 
notified a member of staff unfortunately to no avail.Read moreReview 
collected in partnership with TravelodgeDate of stay: November 20181 
Helpful voteHelpfulShareResponse from TravelodgeUK, Molly from the Social 
Media Team at Travelodge London Waterloo HotelResponded 28 Nov 2018Thank 
you for your review. We're pleased to hear that your stay was enhanced by 
the location of the hotel, which you found to be convenient for your trip. 
We are also delighted to hear that you found the Team to be friendly and 
your room was clean and comfortable. However, we are sorry to learn that 
the breakfast was cold and nothing was done to resolve this after you 
reported it to the Team. We will address this with the Team on site to 
ensure we are providing the most efficient service to our guests. Thank you 
again for your comments.Read more</t>
  </si>
  <si>
    <t>London trip JuneLovely staff, food what you would expect and reasonable location and price 
for London. However come on Travel Lodge spend a few quid and upgrade this 
place. The rooms are at best a bit tired, fine if you like the 1970s 
however not what you come to expect nowadays in modern capital city.Read 
moreReview collected in partnership with this hotelDate of stay: June 
2019HelpfulShare</t>
  </si>
  <si>
    <t>coopraccaz wrote a review Nov 2018Caerphilly, United Kingdom6 
contributions4 helpful votes</t>
  </si>
  <si>
    <t>Explorer06230178952 wrote a review Jun 2019Wigan, United Kingdom1 
contribution</t>
  </si>
  <si>
    <t>One of the best Travelodges we’ve stayed inHad an excellent 2nd stay at Travelogue Waterloo (3nights) Had a room on 
the 8th floor with great views ( much better than our previous stay on 
lower floors where views not so great), basic room which is normal for 
travelodges but recent refurbished makes such a difference, very clean and 
comfortable bed. staff really lovely and helpful on reception and in the 
dining rooms - thanks to Debora for her excellent service for the one 
evening we ate at hotel - which was real nice 2 course for £12 (good price 
for London). Breakfast really good and plentiful and never seemed too busy. 
Location perfect with Waterloo station only 5 ,mins walk with tubes to get 
all around London and London Eye about 10 min walk. Highly recommend if 
your looking for a reasonable priced hotel.Read moreDate of stay: November 
20181 Helpful voteHelpfulShare</t>
  </si>
  <si>
    <t>Bed head!Crazy standard single bed measurements! I was with a dear friend. Our 
single crappy beds were pushed together. We ended up effectively sharing a 
double bed. One night, with the bed being so small - not a standard single 
size, I fell out of bed. On another night I moved in my sleep into my 
friends bed which was quite embarrassing. Never to use travel lodge 
again.Read moreReview collected in partnership with this hotelDate of stay: 
June 2019HelpfulShareResponse from TravelodgeUK, Niki from The Social Media 
Team at Travelodge London Kings Cross Royal ScotResponded 23 Jun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</si>
  <si>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Global05253637643 wrote a review Nov 20181 contribution</t>
  </si>
  <si>
    <t>ilovetoholiday76 wrote a review Jun 2019Portsmouth, United Kingdom3 
contributions</t>
  </si>
  <si>
    <t>Enjoyable StayWe stayed here for one night and found all the staff to be polite and 
friendly. In particular Miguel who checked us in. The room was clean and 
ample sized for our stay, it even had a bath. The breakfast was nice, 
regularly topped up and tables cleaned. I have stayed here before and would 
definitely stay here again. Good price and good location.Read moreDate of 
stay: June 2019HelpfulShare</t>
  </si>
  <si>
    <t>Okish stayThe hotel was very welcoming when we arrived. I asked for a iron and no 
problem gave me this. I saw someone on the landing who gave me the iron 
board. When i went to use it the board had food over so I had to put a 
towel over. The iron did not get really hot and was leaking over a white 
shirt that I was wearing that night. The bath room and air con did keep 
making noise through the night. Someone opposite was arguing with partner 
early hours on the landing shouting and swearing. Other than all that the 
stay was OK.Read moreReview collected in partnership with TravelodgeDate of 
stay: November 2018HelpfulShareResponse from TravelodgeUK, Molly from the 
Social Media Team at Travelodge London Waterloo HotelResponded 27 Nov 
2018Thank you for your review. We apologise if you found issues with the 
iron and would kindly advise raising this with the Team on site so that 
they could provide an alternative one for you. We are also sorry to hear 
that you were disturbed during the night by the noise from the bathroom and 
air conditioning unit, as well as other guests during your stay. We do have 
staff patrolling the corridors every 2 – 3 hours, and if other customers 
are making noise that may cause disruption to our guest’s, we have 
procedures in place to intervene with this. However we apologise if we were 
unsuccessful in ensuring you a peaceful stay on this occasion. Thank you 
again for your feedback, and we hope to welcome you back to stay with us 
again soon.Read more</t>
  </si>
  <si>
    <t>becky22475 wrote a review Jun 2019Bargoed, United Kingdom57 contributions5 
helpful votes</t>
  </si>
  <si>
    <t>PatsyK2468 wrote a review Nov 2018Southampton, United Kingdom13 
contributions9 helpful votes</t>
  </si>
  <si>
    <t>Will stay again!Comfortable rooms with spacious bed and relaxing bath after long days of 
walking around London. Also dined for both an evening meal and breakfast 
and both occasions the food was fantastic for the price they ask (tikka 
masala was delicious). Miguel checked us in and after such a tiring day 
walking around London Zoo his feel-good attitude was a huge delight to come 
back to. Will stay here again I'm sure.Read moreDate of stay: June 
2019HelpfulShare</t>
  </si>
  <si>
    <t>Excellent locationJust 5 minutes walk from Waterloo station this hotel is excellent for a 
short stay. We stayed in a basic room which although small was very clean 
and had everything we needed for our stay. Tea and coffee making facilities 
included although I had to remember to ask for a hairdryer before we 
retired for the night. Free wifi for 30 minutes then a reasonable £3 for 
the next 24 hours. Staff very friendly and helpful and I would definitely 
stay here again.Read moreDate of stay: November 2018HelpfulShare</t>
  </si>
  <si>
    <t>https://www.tripadvisor.co.uk/Hotel_Review-g186338-d243667-Reviews-or1025-Travelodge_London_Kings_Cross_Royal_Scot-London_England.html#REVIEWS</t>
  </si>
  <si>
    <t>https://www.tripadvisor.co.uk/Hotel_Review-g186338-d1812157-Reviews-or715-Travelodge_London_Waterloo_Hotel-London_England.html#REVIEWS</t>
  </si>
  <si>
    <t>Haydn B wrote a review Nov 2018Belfast, United Kingdom31 contributions14 
helpful votes</t>
  </si>
  <si>
    <t>Javier M wrote a review Jun 2019Tenerife29 contributions9 helpful votes</t>
  </si>
  <si>
    <t>Travelodge WaterlooA very pleasant surprise. The upgrade room and early check-in were a 
bonus.Room very clean and well-aired. Bed and pillows very comfortable.Both 
space and general room facilities better than most London 4 star hotels in 
which I have stayed.Recommended.Read moreReview collected in partnership 
with TravelodgeDate of stay: November 2018HelpfulShare</t>
  </si>
  <si>
    <t>Good place to stayWe stayed in this hotel for a week and I quite liked it. It's not the best 
experience ever, but it totally works if you only want a nice, clean, 
comfortable place to sleep, shower and rest. The room was clean, the bed 
and pillows were super comfortable, the staff was friendly and at night 
it's a very peaceful quiet area. I had a problem with the water pressure 
the first day and they changed me to a different room right away, so I can 
only speak good words for the hotel team. It's quite well located, near 
King's Cross but not SO near it's busy. A 5 minute walk from the station 
that, believe me, gets shorter and shorter each day. There are 
supermarkets, restaurantes, cafes and 24/7 stores in the area. The bathroom 
was a little old (I think there are newer bathrooms in the…Read moreDate of 
stay: June 2019HelpfulShare</t>
  </si>
  <si>
    <t>Steven J wrote a review Nov 2018Edinburgh4 contributions2 helpful votes</t>
  </si>
  <si>
    <t>great base for visting London landmarkscannot fault this Travelodge as very clean,rooms were very comfortable and 
staff great.Very quiet considering so busy as rugby on plus Remembrance 
weekend..Great transport links and easy walking to other locationsRead 
moreReview collected in partnership with TravelodgeDate of stay: November 
2018HelpfulShare</t>
  </si>
  <si>
    <t>Linda H wrote a review Nov 2018southampton, England, United Kingdom6 
contributions1 helpful vote</t>
  </si>
  <si>
    <t>robinson_helene wrote a review Jun 2019Manchester, United Kingdom1 
contribution</t>
  </si>
  <si>
    <t>will be returningexcellent location. Safe enviroment. Happy feel to the hotel. Staff 
excellent and could not do enough to help. Food looked and tasted good, 
plenty to choose from for breakfast. Excellent place to stayRead moreReview 
collected in partnership with TravelodgeDate of stay: November 
2018HelpfulShare</t>
  </si>
  <si>
    <t>3 night stayVery good..Nice rooms, nice staff..The room I stayed in on the 6th floor 
was nice and quiet..Very clean..Comfortable bed and pillows..The 
housekeeping staff give you the option to put a card out if you require 
your refreshing..Its a good idea..Read moreReview collected in partnership 
with TravelodgeDate of stay: June 2019HelpfulShare</t>
  </si>
  <si>
    <t>MrsCW-R wrote a review Nov 2018Somerset, United Kingdom1,811 
contributions239 helpful votes</t>
  </si>
  <si>
    <t>https://www.tripadvisor.co.uk/Hotel_Review-g186338-d243667-Reviews-or1030-Travelodge_London_Kings_Cross_Royal_Scot-London_England.html#REVIEWS</t>
  </si>
  <si>
    <t>Mrs T wrote a review Jun 20191 contribution</t>
  </si>
  <si>
    <t>Great stayThis Travelodge is in an excellent location approximatately a 5-10 minute 
walk from Waterloo Station so great for getting around London. Lovely 
welcome on arrival, receptionists are very friendly and highly efficient. 
Check in time is not until 2pm however there is a waiting area in the 
reception and a cafe that serves tea/coffee and has a bar and does meals. 
Meals are very reasonable prices and nicely prepared. We had a great room 
with a view of The Shard on the 8th floor. An added bonus for hubby's 
birthday present. Huge windows to look out of. Rooms are a generous size 
for a city centre hotel and immaculately clean. Bed was huge and there was 
a working desk and a lamp - so well thought out. Bathroom was new and 
compact - no bath but with shower. We stayed for two…Read moreDate of stay: 
November 2018HelpfulShare</t>
  </si>
  <si>
    <t>Very pleasant stayThe room was very nice - I asked for a change of room when I arrived 
because I needed a shower and that was accommodated. Helpful staff, happy 
to keep my case past check out. Would recommend, Haleema especially was 
lovely.Read moreDate of stay: June 2019HelpfulShare</t>
  </si>
  <si>
    <t>Navigator10975654330 wrote a review Jun 2019Yorkshire, United Kingdom4 
contributions</t>
  </si>
  <si>
    <t>https://www.tripadvisor.co.uk/Hotel_Review-g186338-d1812157-Reviews-or720-Travelodge_London_Waterloo_Hotel-London_England.html#REVIEWS</t>
  </si>
  <si>
    <t>service disappointingI need a disabled accessible room, and it is such a disaster trying to book 
one of their three rooms. . They are very very bad at answering the phones. 
I cannot seem to catch anyone on the Hotel Team to answer. Once a 
connection is made they are helpful. No service to speak about at dinner. 
You are more or less left to your own devices apart from ordering at the 
bar as you walked in, then the meal was served once heated in a microwave. 
It is not freshly cooked food.Read moreReview collected in partnership with 
TravelodgeDate of stay: June 2019HelpfulShare</t>
  </si>
  <si>
    <t>GrandTour12603028700 wrote a review Nov 20181 contribution</t>
  </si>
  <si>
    <t>Jade Fern wrote a review Jun 20195 contributions</t>
  </si>
  <si>
    <t>Very handy for our business tripTeam of nine staying on business trip to attend the Armistice commemoration 
at Westminster Abbey on 11 November. The usual Travelodge experience - 
basic but comfortable and decent breakfast. Short distance walk from 
Waterloo tube station.Read moreDate of stay: November 2018HelpfulShare</t>
  </si>
  <si>
    <t>sandymercer wrote a review Nov 2018Yeovil, United Kingdom3 contributions</t>
  </si>
  <si>
    <t>Avoid this hotelThe room was clean, shower was powerful and staff were friendly, but... 
None of the doors are soft close, and have a tenancy to slam (which is very 
loud). The corridor walls are thin and you can hear all conversations in 
the hallway (when you are in bed). The shower is over a narrow bath and has 
a shower curtain that sticks to you /makes the shower space very small. 
Finally there is no AC and even though it wasn't a hot day /night the room 
was warm so you had to sleep with the window open, which was also noisey. 
There is a travellodge near King's Cross that is much better.Read moreDate 
of stay: June 2019HelpfulShareResponse from TravelodgeUK, James from the 
Social Media Team at Travelodge London Kings Cross Royal ScotResponded 19 
Jun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</si>
  <si>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Good locationHotel was clean, warm and the friendly staff made us feel welcome close to 
the station and the attractions in central London. With the tube nearby the 
hotel is within reach of everything you could wish to see.Read moreReview 
collected in partnership with TravelodgeDate of stay: November 
2018HelpfulShare</t>
  </si>
  <si>
    <t>digthegardener wrote a review Nov 2018cleveland9 contributions1 helpful vote</t>
  </si>
  <si>
    <t>https://www.tripadvisor.co.uk/Hotel_Review-g186338-d243667-Reviews-or1035-Travelodge_London_Kings_Cross_Royal_Scot-London_England.html#REVIEWS</t>
  </si>
  <si>
    <t>another great stay in waterloothis is fifth year we have stayed at least twice a year always enjoyable 
great staff clean rooms good food little bit away from central waterloo but 
can't have everything breakfast lots of choice to keep you goingRead 
moreReview collected in partnership with this hotelDate of stay: November 
2018HelpfulShare</t>
  </si>
  <si>
    <t>Robert wrote a review Jun 2019Durham, United Kingdom2 contributions</t>
  </si>
  <si>
    <t>https://www.tripadvisor.co.uk/Hotel_Review-g186338-d1812157-Reviews-or725-Travelodge_London_Waterloo_Hotel-London_England.html#REVIEWS</t>
  </si>
  <si>
    <t>LeisureHotel was clean and tidy with friendly staff. Other than the bed being a 
little uncomfortable everything was good. Externally in the surroundings 
streets there were a lot of drunken homeless people that can be a bit 
intimidatingRead moreReview collected in partnership with TravelodgeDate of 
stay: June 2019HelpfulShare</t>
  </si>
  <si>
    <t>Ian L wrote a review Nov 2018Dover, United Kingdom49 contributions17 
helpful votes</t>
  </si>
  <si>
    <t>Remembrance WeekendSecond time I have stayed at this Travelodge, the rooms are of good 
quality, nice and clean and comfortable, slightly expensive but you expect 
that for London on Remembrance Weekend. Breakfast good standard and 
variety, bed was really comfortable and room heating was not an issue.Read 
moreReview collected in partnership with this hotelDate of stay: November 
2018HelpfulShare</t>
  </si>
  <si>
    <t>SamuelBooth1997 wrote a review Jun 2019Devon, United Kingdom11 
contributions2 helpful votes</t>
  </si>
  <si>
    <t>Prime Location, Affordale, FriendlyI travelled to London for a long weekend getaway with my sister to see the 
Spice Girls, we were looking for affordability and an easy location and 
this Travelodge was certainly both of these things, with friendly and 
welcoming staff. Next to one of the best stations in London with easy 
access via the Underground to virtually anywhere you wish to go. Would 
highly recommend, this is my 3rd stay at the hotel and I'm booked in again 
this August and looking forward to it.Read moreReview collected in 
partnership with TravelodgeDate of stay: June 2019HelpfulShare</t>
  </si>
  <si>
    <t>Emily P wrote a review Nov 2018Wellington, New Zealand12 contributions2 
helpful votes</t>
  </si>
  <si>
    <t>jamesbY4220HY wrote a review Jun 2019Holmfirth, United Kingdom23 
contributions13 helpful votes</t>
  </si>
  <si>
    <t>Great hotel, good price (for london)Very clean hotel near Waterloo station. Room was comfortable and even had a 
view. Liked the addition of usb charging ports in the room which were 
extremely useful. Good price compared to other hotels in London.Read 
moreDate of stay: October 2018HelpfulShare</t>
  </si>
  <si>
    <t>Geoff F wrote a review Nov 2018Cardiff, United Kingdom12 contributions6 
helpful votes</t>
  </si>
  <si>
    <t>nice hotel, terrible breakfastAlthough the hotel is good value, do not opt for the breakfast, at 8.30 in 
the morning of two days of our stay there was no cutlery, no crockery, no 
coffee, no cereal and no eggs - ridiculous!!! There is no excuse for this 
level of service, the staff simply did not have time to solve these issues, 
more staff!!!!Read moreReview collected in partnership with TravelodgeDate 
of stay: June 2019HelpfulShare</t>
  </si>
  <si>
    <t>Curiosity37641864234 wrote a review Jun 2019Daejeon, South Korea1 
contribution</t>
  </si>
  <si>
    <t>London WaterlooLondon Waterloo Station / Old Vic theatre 5min walk, Southbank Centre 10-15 
min walk. hotel rooms are comfortable, Hotel lifts can be quite busy at 
times (Breakfast and checkout times) Staff are friendly and helpful and the 
breakfast buffet is reasonableRead moreReview collected in partnership with 
TravelodgeDate of stay: November 2018HelpfulShare</t>
  </si>
  <si>
    <t>Mahnoor wrote a review Nov 2018Bradford, United Kingdom84 contributions8 
helpful votes</t>
  </si>
  <si>
    <t>goodIt was a good room for Google. The size of the room was moderate. The warm 
water was well served. Location takes about 15 minutes on foot from Kings 
Cross Station.It was not quiet, but it was not loudRead moreReview 
collected in partnership with TravelodgeDate of stay: June 
2019HelpfulShareResponse from TravelodgeUK, James from the Social Media 
Team at Travelodge London Kings Cross Royal ScotResponded 17 Jun 2019Thank 
you for reviewing our Travelodge London Kings Cross Royal Scot Hotel. We're 
happy to hear you were happy with the comfort of this room as well as the 
hotel's location but we are sorry to hear of the noise experienced during 
your stay. Please rest assured the hotel managers check Tripadvisor reviews 
of their hotels so your comments will be reviewed by the hotel's team. 
Thank you again for leaving this review and we do hope that you choose to 
stay with us again in the future.Read more</t>
  </si>
  <si>
    <t>Clean, comfortable and great locationRoom was clean, bed was comfortable and staff were helpful and friendly. 
It’s also in a great location, close to city centre and a few different 
tube stations. There’s also some takeaways, a Tesco express etc. on the 
same road.Read moreDate of stay: November 2018HelpfulShare</t>
  </si>
  <si>
    <t>https://www.tripadvisor.co.uk/Hotel_Review-g186338-d243667-Reviews-or1040-Travelodge_London_Kings_Cross_Royal_Scot-London_England.html#REVIEWS</t>
  </si>
  <si>
    <t>https://www.tripadvisor.co.uk/Hotel_Review-g186338-d1812157-Reviews-or730-Travelodge_London_Waterloo_Hotel-London_England.html#REVIEWS</t>
  </si>
  <si>
    <t>Frederico Póvoa wrote a review Jun 2019Lisbon, Portugal21 contributions1 
helpful vote</t>
  </si>
  <si>
    <t>Central and comfortableThe place is pretty central and comfortable! Affordable for London! We had 
a good experience the room has a beautiful view over saint pancras, a good 
size room, the breakfast was also super good! We had a very warm and 
welcoming reception, thank you very much Bella!Read moreReview collected in 
partnership with TravelodgeDate of stay: June 2019HelpfulShare</t>
  </si>
  <si>
    <t>Steveparsons 2016 wrote a review Nov 2018Rowley Regis, United Kingdom41 
contributions16 helpful votes</t>
  </si>
  <si>
    <t>Chris_Nick_On_Tour wrote a review Jun 2019London, United Kingdom102 
contributions18 helpful votes</t>
  </si>
  <si>
    <t>Our first visit to London.This was our first visit to London and a friend recommended this hotel to 
us. It was very easy to find when we got off the tube and was in a great 
location not far from all the main attractions. The staff were very helpful 
and pleasant especially Humayra whom was the receptionist. The rooms were 
comfortable and really clean. To say we were on a main road it was quite 
surprisingly quiet. The breakfast had plenty of choices for all needs and 
you could eat as much as you wanted. The only downfall that we found was 
the breakfast was not hot enough, but apart from that we had a wonderful 
weekend. Thank you Travelodge, we will certainly be paying you another 
visit.Read moreDate of stay: November 2018HelpfulShare</t>
  </si>
  <si>
    <t>Not upto usual standardStayed at the Travelodge following night out with friends. It’s a tired 
building which doesn’t represent the brand. Rooms are smaller than average 
and basic. The bathrooms were old and shower wasn’t powerful. No air 
conditioning and couldn’t open window as on main road. On positives the bed 
was comfortable and was cheap.Read moreReview collected in partnership with 
TravelodgeDate of stay: June 2019HelpfulShareResponse from TravelodgeUK, 
James from the Social media Team at Travelodge London Kings Cross Royal 
ScotResponded 17 Jun 2019Thank you for reviewing our Travelodge London 
Kings Cross Royal Scot Hotel. We're sorry to hear you feel the hotel has 
some wear and tear and that you weren't pleased with the shower and the 
lack of air conditioning but we are pleased to hear you were pleased with 
the value of your room and it's comfort. Please rest assured the hotel 
managers check Tripadvisor reviews of their hotels so your comments will be 
reviewed by the hotel's team. Thank you again for leaving this review and 
we do hope that you choose to stay with us again in the future.Read more</t>
  </si>
  <si>
    <t>David S wrote a review Jun 20191 contribution</t>
  </si>
  <si>
    <t>Peaches wrote a review Nov 2018Somerset, United Kingdom17 contributions3 
helpful votes</t>
  </si>
  <si>
    <t>The extra mileThank you to Michelle and Bella, stayed here on our way to French holiday. 
Night before, our son gave me a bottle of wine for Fathers Day. Bit 
impractical to take on holiday, we're restaying at Royal Scot on our way 
home, so the girls are storing it for our return. Kind and helpful.Read 
moreDate of stay: June 2019HelpfulShare</t>
  </si>
  <si>
    <t>SuperbDuring my stay 10-12 November the stay, rooms and service were faultless. 
Thank you to all concerned who got up very early on Sunday morning to make 
/ facilitate breakfast at a much earlier time than normal allowing veterans 
to have a decent breakfast prior to the Remembrance service later that 
morning, it's MUCH appreciated.Read moreReview collected in partnership 
with TravelodgeDate of stay: November 2018HelpfulShare</t>
  </si>
  <si>
    <t>davegrindley wrote a review Nov 2018Welshpool, United Kingdom2 contributions</t>
  </si>
  <si>
    <t>A trip to rememberWe stayed for remembrance weekend, great staff, facilities and breakfast. 
Doubt we could have got better for the price. From the time we arrived ( 
earlier than book in time) nothing was too much trouble.Read moreReview 
collected in partnership with TravelodgeDate of stay: November 
2018HelpfulShare</t>
  </si>
  <si>
    <t>Leedstraveller66 wrote a review Jun 2019Leeds, United Kingdom55 
contributions12 helpful votes</t>
  </si>
  <si>
    <t>https://www.tripadvisor.co.uk/Hotel_Review-g186338-d1812157-Reviews-or545</t>
  </si>
  <si>
    <t>No duvet!Budget hotel so you shouldn't expect much, but I'd have thought bedding 
would be a basic. My room had no duvet and all reception could offer me was 
extra sheets which proved inadequate! Arrived too late to arrange a 
transfer elsewhere but I wish I had.Read moreDate of stay: June 
2019HelpfulShareResponse from TravelodgeUK, Tilly from The Social Media 
Team at Travelodge London Kings Cross Royal ScotResponded 18 Jun 2019Many 
thanks for submitting your review of our London Kings Cross Royal Scot 
hotel. We understand that your overall experience was not exceptional and 
we do apologise for this. We'll be sure to pass your valuable feedback 
directly to our colleagues in our hotel as this is the best way for us to 
improve the service we offer. Thank you again for your review.Read more</t>
  </si>
  <si>
    <t>https://www.tripadvisor.co.uk/Hotel_Review-g186338-d243667-Reviews-or1045-Travelodge_London_Kings_Cross_Royal_Scot-London_England.html#REVIEWS</t>
  </si>
  <si>
    <t>karenst0ne wrote a review Jun 2019Bristol, United Kingdom13 contributions2 
helpful votes</t>
  </si>
  <si>
    <t>Lovely staff, shame about the hotelThe reception staff were the best - helpful and polite. The breakfast was 
reasonable. However that's where the good bits end. I had read reviews 
saying about the 'strange smell'. I found out what that was in my room. 
When I got changed to go to bed the carpet wasn't just a bit damp - in 
places it was soaking wet and the only way to walk in my room was with 
shoes on. How disgusting. This hotel also needs a serious clean and refurb. 
My toilet had not had a good clean in a long while judging from the 
staining at the back of the bowl. The shame of it is that this could be a 
fantastic hotel - but it isn't. Unfortunately it was the only hotel I could 
get at short notice in the area - but I won't be going there again any time 
soon.Read moreDate of stay: June 2019HelpfulShareResponse from 
TravelodgeUK, Tilly from The Social Media Team at Travelodge London Kings 
Cross Royal ScotResponded 18 Jun 2019Thank you for submitting your review 
of our London Kings Cross Royal Scot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</si>
  <si>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https://www.tripadvisor.co.uk/Hotel_Review-g186338-d1812157-Reviews-or735-Travelodge_London_Waterloo_Hotel-London_England.html#REVIEWS</t>
  </si>
  <si>
    <t>Bob R wrote a review Jun 2019Newbury, New Hampshire1 contribution</t>
  </si>
  <si>
    <t>Stressful StayIt was a very stressful stay due to Toilet, Shower, Broken window frames, 
virtually No Wi-Fi, Management not willing to help with any problems. Nice 
lobby, Old rooms. Nicely mannered front desk turned wicked with a problem. 
Management wanted me to call his Internet provider because I had a problem 
getting on the Wi-Fi.Read moreReview collected in partnership with 
TravelodgeDate of stay: June 2019HelpfulShareResponse from TravelodgeUK, 
Tilly from The Social Media Team at Travelodge London Kings Cross Royal 
ScotResponded 18 Jun 2019Thank you for taking the time to write a review 
with regards to our London Kings Cross Royal Scot Hotel. We are sorry to 
learn of the experience you have had whilst staying with us. We would 
kindly ask you contact one of our Customer Services Advisors with your 
review via our website help form to look into this more thoroughly. Thank 
you again for reviewing our hotel.Read more</t>
  </si>
  <si>
    <t>Terry S wrote a review Nov 2018Poole2 contributions</t>
  </si>
  <si>
    <t>sue r wrote a review Jun 201940 contributions6 helpful votes</t>
  </si>
  <si>
    <t>Two-night breakFirst time at this hotel and we are very impressed. Ten minute walk from 
Waterloo, an excellent display at breakfast and courteous staff. Room very 
clean, bathroom very good, and ground floor which was a boon to weary 
legs.Read moreReview collected in partnership with this hotelDate of stay: 
October 2018HelpfulShare</t>
  </si>
  <si>
    <t>Guide758541 wrote a review Nov 20182 contributions</t>
  </si>
  <si>
    <t>excellent locationReception staff BELLA &amp; REMY exceptional service as they cant do enough for 
you :] Always greeted with a smile &amp; on first names bases :] Breakfast was 
dissapointing as there was on continental. Only a 10 min walk from King X 
stationRead moreReview collected in partnership with TravelodgeDate of 
stay: May 2019HelpfulShareResponse from TravelodgeUK, James from the Social 
Media Team at Travelodge London Kings Cross Royal ScotResponded 12 Jun 
2019Thank you for reviewing our Travelodge London Kings Cross Royal Scot 
Hotel. We're happy to hear you were pleased with the service from the 
hotel's team during this stay with us but we're very sorry to hear about 
the issues experienced with breakfast. Please rest assured the hotel 
managers check Tripadvisor reviews of their hotels so your comments will be 
reviewed by the hotel's team. Thank you again for leaving this review and 
we do hope that you choose to stay with us again in the future.Read more</t>
  </si>
  <si>
    <t>Weekend BreakSuper Rooms extremely quiet and more comfortable than standard.. Location 
accessible for trains/underground/buses for travelling around London.If 
required Staff will order black cabs for journeys.Staff friendly and 
helpful.Read moreReview collected in partnership with TravelodgeDate of 
stay: October 2018HelpfulShare</t>
  </si>
  <si>
    <t>SammyU99 wrote a review Jun 2019Birmingham, United Kingdom1 contribution</t>
  </si>
  <si>
    <t>Kate_Maxwell wrote a review Nov 2018Lymington100 contributions44 helpful 
votes</t>
  </si>
  <si>
    <t>Excellent location for main line and undergroundStaff on check in friendly and helpful. Took advantage of the early check 
in. Rooms quiet and comfortable. Didn’t use bar cafe facilities as we were 
off to a wedding but looked busy with a nice atmosphere.Read moreReview 
collected in partnership with this hotelDate of stay: October 
2018HelpfulShare</t>
  </si>
  <si>
    <t>Amazing customer service from Haleema!When arriving at Travelodge we were met with a big smile from Haleema! 
There were no worries arriving early and leaving our bags as we ventured 
around London. She paid a real interest in our evening at the Liam 
Gallagher world premiere and was even very complementary about our outfits 
for the night which was a lovely touch. I really felt like she cared about 
our stay and gave us a personal note with her name on to come directly to 
her for any queries of ours. We have never had service like this in a hotel 
before and we will 100% look at staying again when we next pay London a 
visit. Thank you very much Haleema for our 10/10 stay at your hotel, we 
really appreciate it! Apologies for the late review we were at a festival 
this weekend and feel a bit worse for wear!Read moreDate of stay: June 
2019HelpfulShare</t>
  </si>
  <si>
    <t>_sumitrad4 wrote a review Nov 2018Wolverhampton, United Kingdom3 
contributions3 helpful votes</t>
  </si>
  <si>
    <t>https://www.tripadvisor.co.uk/Hotel_Review-g186338-d243667-Reviews-or1050-Travelodge_London_Kings_Cross_Royal_Scot-London_England.html#REVIEWS</t>
  </si>
  <si>
    <t>Lovely hotel ! Great value for moneyWe stayed in the family rooms plus ! They were clean and very comfortable ! 
Would have liked the 2 rooms closer to each other, but it wasn’t possible. 
Very lovely, kind staff. All were smiley, welcoming, helpful. Breakfast was 
good ! Got what you pay for not bad ! We would definitely stay there again 
!!!Read moreDate of stay: November 2018HelpfulShare</t>
  </si>
  <si>
    <t>Excursion02869600228 wrote a review Jun 2019Lippstadt, Germany1 contribution</t>
  </si>
  <si>
    <t>https://www.tripadvisor.co.uk/Hotel_Review-g186338-d1812157-Reviews-or740-Travelodge_London_Waterloo_Hotel-London_England.html#REVIEWS</t>
  </si>
  <si>
    <t>I would not come again.Good: Comportable bed, Location, friendly staff - Bad: no air conditioning 
System therefore no open window while sleepting - extremely noisy because 
of the traffic in front of the hotel, bad breakfast ( no cheese, no cold 
cuts, cheap Juice, industrial Food, simple breakfast room Neutral: clean 
room but old and really used furnitureRead moreReview collected in 
partnership with this hotelDate of stay: June 2019HelpfulShareResponse from 
TravelodgeUK, Tilly from The Social Media Team at Travelodge London Kings 
Cross Royal ScotResponded 12 Jun 2019Thank you for your feedback about our 
London Kings Cross Royal Scot hotel. We are sorry to learn that you were 
disappointed as there was no air conditioning in your room and you did not 
enjoy the breakfast, however we are pleased to learn that your bed was 
comfortable, you were happy with the location of the hotel and our hotel 
team were friendly. We will be sure to pass your comments to the hotel team 
and hope to welcome you back soonRead more</t>
  </si>
  <si>
    <t>BIELBarcelona wrote a review Nov 2018BARCELONA7 contributions1 helpful vote</t>
  </si>
  <si>
    <t>POOR EXPERIENCENoise in the room a tone during all the night, no telephone in the room. 
Open windows when I arrive impossible to close then. Bad attitude and mood 
at the reception during the check in time. They had problems to do an 
invoice ( not enought space, she was rude). They do not have power adaptors 
for european citizens. They forgot my dessert I have to ask, more than 30 
minutes from the first dish to the dessertRead moreDate of stay: November 
2018HelpfulShareResponse from TravelodgeUK, Charley from the Social Media 
Team at Travelodge London Waterloo HotelResponded 25 Nov 2018Thank you for 
taking the time to review our London Waterloo Hotel. We would like to 
apologise for the issues encountered during your stay and can assure you 
that these comments have been raised with the hotel team. We thank you 
again for submitting your review and hope to welcome you back soon to enjoy 
a fully comfortable stay.Read more</t>
  </si>
  <si>
    <t>Safari40008236822 wrote a review Jun 2019Bradford, United Kingdom1 
contribution</t>
  </si>
  <si>
    <t>Great stayI stayed over one night in London prior to a trip to france. The hotel was 
in a good location and i got the room for £39. The staff were friendly and 
the room and amenities were both very good. I like the travel lodge 
chainRead moreReview collected in partnership with this hotelDate of stay: 
June 2019HelpfulShare</t>
  </si>
  <si>
    <t>Jamm46 wrote a review Nov 20187 contributions12 helpful votes</t>
  </si>
  <si>
    <t>Fab location and friendly staffStayed for two nights with friends. Staff very helpful and friendly, 
couldn’t do enough for you. Super location and lots to do in the area. 
Rooms just what you need when you only spending a little time there. Beds 
comfy and very clean. 24 hr bar great for a nightcap and great meeting 
place. Thanks so much great stay and will be back.Read moreDate of stay: 
October 20181 Helpful voteHelpfulShare</t>
  </si>
  <si>
    <t>https://www.tripadvisor.co.uk/Hotel_Review-g186338-d243667-Reviews-or1055-Travelodge_London_Kings_Cross_Royal_Scot-London_England.html#REVIEWS</t>
  </si>
  <si>
    <t>Des B wrote a review Nov 2018Leeds, United Kingdom57 contributions</t>
  </si>
  <si>
    <t>elisavanmaldegem wrote a review Jun 2019Lelystad, The Netherlands2 
contributions1 helpful vote</t>
  </si>
  <si>
    <t>weekend visitStayed Saturday for 2 nights ( super room) all staff were welcoming and 
helpful especially check in staff ,room itself very clean and tidy and also 
very quiet (7th floor)room cleaned 2nd day cleaning staff very good and 
always smiling .Breakfasts very good apart from wait for hot buffet being 
re-filled but then a lot of people staying so just pot luck when you go 
down and staff doing their best to get things back as quickly as possible 
.Hotel 2 mins from old Vic and a few more for Waterloo station Lambeth 
North tube also a few mins away. Plenty of bars and restaurants round the 
corner on The Cut.10 mins from the London Eye and Westminster Bridge.Read 
moreDate of stay: October 2018HelpfulShare</t>
  </si>
  <si>
    <t>HaloumiHaleema was very helpful from the beginning. Although it was a chaos in the 
lobby on arrival, she kept peace and didn’t became stressed at all. 
Breakfast was okay although the juices all tasted like water. Rooms are 
okay but a bit smelly from time to time. Also there was a weird cup filled 
with pink water I guess this was for the smell.Read moreDate of stay: June 
20191 Helpful voteHelpfulShareResponse from TravelodgeUK, Shaf from the 
Social Media Team. at Travelodge London Kings Cross Royal ScotResponded 11 
Jun 2019Thank you for reviewing our London Kings Cross Royal Scot 
Travelodge. We're really pleased to hear Haleema was very helpful during 
your stay with us. We really do apologise the room smelt and we do advise 
bringing this to the hotels attention at the time of the booking so they 
are able to try resolve this issue for you.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</si>
  <si>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https://www.tripadvisor.co.uk/Hotel_Review-g186338-d1812157-Reviews-or745-Travelodge_London_Waterloo_Hotel-London_England.html#REVIEWS</t>
  </si>
  <si>
    <t>Vasey wrote a review Jun 20194 contributions3 helpful votes</t>
  </si>
  <si>
    <t>Gareth J wrote a review Nov 20189 contributions4 helpful votes</t>
  </si>
  <si>
    <t>Vasey2A typical, basic, simple hotel in Kings Cross area but highly adequate and 
met our needs. Didn’t eat any meals here as provision in the are for 
breakfast met our needs and we ate further afield in the day and 
evenings.Read moreReview collected in partnership with TravelodgeDate of 
stay: June 2019HelpfulShare</t>
  </si>
  <si>
    <t>Fuchs wrote a review Jun 2019MK133 contributions70 helpful votes</t>
  </si>
  <si>
    <t>Could be so much better.....We were staying for one night at this hotel when visiting London for the 
recent England vs South Africa rugby game at Twickenham. We paid £150 for 
the one-night stay and £10 extra for early check-in and were able to get 
into our room before midday which was useful. We paid extra for the 'Super 
Room' and it was comfortable but fairly plain throughout and not sure the 
£15 extra was money well spent. The rooms themselves are quite narrow and 
our 'Super Room' had quite an odd layout where the bed was pushed up very 
close to one wall (with bags of redundant space to the other side of the 
bed) The Bar area downstairs was comfortable and looked fairly new but when 
we went down there at 7pm for a few drinks (before heading out for dinner) 
there were a group of homeless people just…Read moreDate of stay: November 
2018HelpfulShare</t>
  </si>
  <si>
    <t>10/15 min walk from Kings CrossChose this hotel as it was close Kings Cross train station and had to be in 
work the next day, so wanted to be close to the station. Room needed a bit 
of TLC, but it was clean and quiet and suited what I wanted it for and I 
would go back.Read moreDate of stay: May 2019HelpfulShare</t>
  </si>
  <si>
    <t>225grahamr wrote a review Nov 2018Exeter, United Kingdom1 contribution</t>
  </si>
  <si>
    <t>Slimmingworldmom wrote a review Jun 2019Ilfracombe, United Kingdom602 
contributions83 helpful votes</t>
  </si>
  <si>
    <t>Travel lodge London waterlooA very nice stay comfortable accommodation, good choice of breakfast items, 
from full cooked breakfast to cereals,croissants,fruit or toast. Small 
choice for evening meals. A bar serving hot or cold drinks.Ideally located 
for Waterloo station and the underground. Bus routes located on Waterloo 
Road very close to hotel. We have stayed here several times and found it 
good value, very helpful staff and would recommend this hotel.Read 
moreReview collected in partnership with this hotelDate of stay: October 
2018HelpfulShare</t>
  </si>
  <si>
    <t>Would returnCan say after reading some of the reviews on here was worried that I’d 
booked 2 nights with my daughter. It was not the case! We arrived after 
driving 5 hours and was directed to the carpark to the rear. We paid £34 
for 2 days which was reasonable Greeted by a very polite receptionist who 
was happy to answer any of our questions We were on the 3rd floor. View of 
the carpark was fine by us, we were happy we had only paid £130 for the 2 
nights Our room was basic but clean. No complaints from us. If you want top 
notch accommodation you will have to pay more It had everything we needed 
and wanted Staff were very polite and we also used the bar. It’s a good 
walk to the attractions but as it was sunny we did just that. There are 
plenty of food outlets and we also used Uber eats…Read moreDate of stay: 
June 2019HelpfulShare</t>
  </si>
  <si>
    <t>Relax61805760144 wrote a review Nov 2018Lincolnshire, United Kingdom1 
contribution</t>
  </si>
  <si>
    <t>https://www.tripadvisor.co.uk/Hotel_Review-g186338-d243667-Reviews-or1060-Travelodge_London_Kings_Cross_Royal_Scot-London_England.html#REVIEWS</t>
  </si>
  <si>
    <t>Dream150391 wrote a review Jun 20191 contribution</t>
  </si>
  <si>
    <t>Paul Weller ConcertExcellent location for South Bank. Rooms clean and sufficient storage for 
clothes.Warm friendly sand friendly staff. Well stocked breakfast counter 
serving a variety of hot and cold food. Really enjoyed our stay.��Read 
moreReview collected in partnership with this hotelDate of stay: October 
2018HelpfulShare</t>
  </si>
  <si>
    <t>Filthy bath plug.Don't go. There are Premier Inns nearby which are better value. The 
bathrooms are minute, the plughole was full of hair and there was paper 
debris under the bed. There was no hairdryer in the room and only one towel 
when we arrived. HOPELESS.Read moreReview collected in partnership with 
TravelodgeDate of stay: May 2019HelpfulShareResponse from TravelodgeUK, 
James from the Social Media Team at Travelodge London Kings Cross Royal 
ScotResponded 10 Jun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</si>
  <si>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Stay18377150985 wrote a review Nov 20181 contribution2 helpful votes</t>
  </si>
  <si>
    <t>Discusted, disapointed. AvoidAbsolutely discusted how the staff dealt with a situation whilst staying 
here. On arrival everything was fine, welcomed by two lovely ladies (only 
members of staff that were polite with good customer service skills). On 
the walk to our room there was an extremely strong smell of cannabis in the 
hallway where our room was, (yes I could have complained about it, but 
thats not my job and was not in my interest to do so). I'm guessing because 
we checked in so late (we were prime suspects for the smell of cannabis). 
We had a knock on the door and we answered the door straight away. 2 men 
came inside the room (I'm guessing they were security for the hotel). 
Followed by the two women from reception. Now may I add, although my friend 
allowed them to come in, this was because she…Read moreDate of stay: 
November 20181 Helpful voteHelpfulShareResponse from TravelodgeUK, Tilly 
from the Social Media Team at Travelodge London Waterloo HotelResponded 25 
Nov 2018Many thanks for reviewing our London Waterloo Hotel. We're sorry to 
learn of your recent experience and would like to hear more about your 
stay. Please could we ask that you contact us with your review via our 
website so our customer service team can investigate your visit with the 
hotel. Thank you again for posting your comments and we hope to hear from 
you soon.Read more</t>
  </si>
  <si>
    <t>Nick M wrote a review Jun 2019Berkshire, United Kingdom2 contributions</t>
  </si>
  <si>
    <t>https://www.tripadvisor.co.uk/Hotel_Review-g186338-d1812157-Reviews-or750-Travelodge_London_Waterloo_Hotel-London_England.html#REVIEWS</t>
  </si>
  <si>
    <t>Aziz, the most helpful barman to existThank you so much aziz, you went above and beyond your job role to help us 
with our stay, you aren’t just the barman you helped us with our room 
allocations and so many other things, you sir are the reason this hotel is 
a success, thanks !!! Ps, the pic is fabulousRead moreDate of stay: June 
2019HelpfulShare</t>
  </si>
  <si>
    <t>natasha Q wrote a review Nov 2018Norwich, United Kingdom271 contributions52 
helpful votes</t>
  </si>
  <si>
    <t>PikeoBlisco wrote a review Jun 2019Milton Keynes, United Kingdom8 
contributions1 helpful vote</t>
  </si>
  <si>
    <t>ConvenientHandy for Euston (20 minutes on foot) and St.Pancras (10 minutes in foot). 
It’s larger than you might imagine from the outside but room was fine for 
an overnight, quiet and staff were courteous. Beer was cold (London Pride, 
chilled ��, but surprisingly OK) (but not cheap!).Read moreDate of stay: 
May 2019HelpfulShare</t>
  </si>
  <si>
    <t>Ideal locationOn a trip to London we picked this hotel for ease of location and the 
price. We got such a good deal for a one night stay £42 for a twin room. We 
arrived early to drop bags off but were told our room was ready so go 
straight up if we wanted. Hotel is much bigger than looks on the outside. 
We were staying on the 5th floor, room was big &amp; clean. Beds were comfy, 
view wasn’t the best but that can’t be changed! Large Tv, all the usual tea 
&amp; coffee facilities with extras downstairs on reception if you need more 
milk/coffee etc. Shower was really nice &amp; powerful aswell. Heating system 
is quite loud and kept clicking on &amp; off. 5-10 minute walk to Waterloo 
station, walking distance into central London if you wish. Would definitely 
recommend this hotel for another London stay.Read moreDate of stay: 
November 20181 Helpful voteHelpfulShare</t>
  </si>
  <si>
    <t>702juneb wrote a review Nov 20188 contributions2 helpful votes</t>
  </si>
  <si>
    <t>https://www.tripadvisor.co.uk/Hotel_Review-g186338-d243667-Reviews-or1065-Travelodge_London_Kings_Cross_Royal_Scot-London_England.html#REVIEWS</t>
  </si>
  <si>
    <t>Good location!Recently refurbished so the hotel was nice and modern. One issue was a 
smell of drains in the area but this was a local problem and nothing to do 
with the hotel. WiFi was variable but the restaurant was good and the staff 
friendly. I got a very good deal for its location.Read moreReview collected 
in partnership with TravelodgeDate of stay: October 2018HelpfulShare</t>
  </si>
  <si>
    <t>Safari16568910718 wrote a review Oct 20181 contribution</t>
  </si>
  <si>
    <t>BrilliantBrilliant location. Brilliant hotel just your basic travelodge but 
refurbed! Only a 15 minute walk to most sights. Happy hour in hotel between 
4-6 where any two drinks are £8. Breakfast looked brilliant although we 
didn’t have it! Highly recommend for short break away!Read moreReview 
collected in partnership with TravelodgeDate of stay: October 
2018HelpfulShare</t>
  </si>
  <si>
    <t>Tammi wrote a review Jun 20195 contributions2 helpful votes</t>
  </si>
  <si>
    <t>Poor ServiceChecked in fine, like any other Travel lodge. On night one, water started 
to poor out of the overflow from floor 6 and hit the car park below, it 
wasn’t a little trickle of water. It was like someone had forgot to turn 
the hose pipe. We couldn’t sleep at all due to the noise. The following 
morning we asked at Reception what had happened and when it was going to 
stop. We were told by that evening. That evening came and we were at a co 
very and he O2 - the whole point I’m out trips to London- we didn’t get 
back to the hotel til after midnight and the water was still running. It 
has been a long night the previous night as we couldn't sleep, then a long 
day due to the concert. When we got back and the water was still running, 
we approach reception and asked what was happening - the…Read moreReview 
collected in partnership with TravelodgeDate of stay: June 
2019HelpfulShareResponse from TravelodgeUK, Ben from the Social Media Team 
at Travelodge London Kings Cross Royal ScotResponded 10 Jun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</si>
  <si>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https://www.tripadvisor.co.uk/Hotel_Review-g186338-d1812157-Reviews-or755-Travelodge_London_Waterloo_Hotel-London_England.html#REVIEWS</t>
  </si>
  <si>
    <t>045Sunny wrote a review Jun 2019Cottingham, United Kingdom59 
contributions15 helpful votes</t>
  </si>
  <si>
    <t>Dean M wrote a review Oct 2018Bradford29 contributions23 helpful votes</t>
  </si>
  <si>
    <t>Excellent for the priceGenerally our hotel of choice when in London. Having done the four stars 
with a pool we now do cheap and cheerful. Best thing about the hotel, apart 
from the price and the location are the staff. The staff are great, so 
happy, friendly and welcoming especially Bella, a star.Read moreDate of 
stay: April 2019HelpfulShare</t>
  </si>
  <si>
    <t>Ticked all the right boxes. Worth the stayMy girlfriend booked this as part of my birthday weekend away. It's close 
to the centre. The bedrooms are clean and modern. The hotel staff are very 
helpful and are doing a great job. We stayed two nights. Would recommend 
and would stay again.Read moreDate of stay: October 2018HelpfulShare</t>
  </si>
  <si>
    <t>https://www.tripadvisor.co.uk/Hotel_Review-g186338-d243667-Reviews-or1070-Travelodge_London_Kings_Cross_Royal_Scot-London_England.html#REVIEWS</t>
  </si>
  <si>
    <t>Jakata31 wrote a review Oct 201889 contributions17 helpful votes</t>
  </si>
  <si>
    <t>Prakash P wrote a review Jun 2019Leicester, United Kingdom2 contributions</t>
  </si>
  <si>
    <t>A Great StayNice Hotel, Good, clean, comfortable and a good sized room as always. Very 
friendly and helpful staff as always. Sorry I don't know your name but the 
gentleman at reception who recognized me at check in time who said, ''Nice 
to see you back after a longtime'' made me feel welcome. And I would like 
to say thank you to Whitley who was very helpful during my check out. I 
would definitely come back.Read moreReview collected in partnership with 
TravelodgeDate of stay: May 2019HelpfulShare</t>
  </si>
  <si>
    <t>Clean comfyVery clean remodeled hotel near Waterloo. Staff was great. Bed was very 
comfortable. No phone, fridge, or microwave. Small rooms with little place 
to store clothes or luggage. Price was appropriate for area and amenities. 
Breakfast was good, but crowded. Mildly noisy, convenient to Waterloo. No 
problems during our stay. Would stay again if good price.Read moreReview 
collected in partnership with TravelodgeDate of stay: October 
2018HelpfulShare</t>
  </si>
  <si>
    <t>Malcolm R wrote a review Jun 201917 contributions3 helpful votes</t>
  </si>
  <si>
    <t>thomas1elaine wrote a review Oct 2018Blackpool, United Kingdom3 
contributions6 helpful votes</t>
  </si>
  <si>
    <t>london stayeverything was satisfactory, the staff were excellent, and well presented, 
nothing was a problem for them, and the hotel and rooms were well 
appointed, clean and tidy, the breakfast was superb, and adequate.Read 
moreReview collected in partnership with TravelodgeDate of stay: June 
2019HelpfulShare</t>
  </si>
  <si>
    <t>Perfect locationStayed here as going to a concert at the O2 and location was perfect to get 
to from Euston then to get to O2 by underground. The hotel was only 5 
minutes walk from Waterloo station. The room was clean and modern and not 
bad size by London standards. The bed was very comfortable. Shower worked 
well and there is an air con unit in the room though not needed at this 
time of year but I'm sure would be appreciated in summer. We paid to have 
the breakfast which was very nice - good choice and can help yourself. 
Would stay again as is good value for money,Read moreReview collected in 
partnership with TravelodgeDate of stay: October 20181 Helpful 
voteHelpfulShare</t>
  </si>
  <si>
    <t>Passenger28215357779 wrote a review Jun 2019Swindon, United Kingdom1 
contribution</t>
  </si>
  <si>
    <t>loopylou106 wrote a review Oct 2018Launceston, United Kingdom4 
contributions2 helpful votes</t>
  </si>
  <si>
    <t>Unexpectedly pleasedClean , friendly , comfortable, could not really fault it apart from the 
WiFi We paid for four WiFi logins and struggled to use one Good location 
for the station and other outlets Staff were very friendly at checkinRead 
moreReview collected in partnership with this hotelDate of stay: May 
2019HelpfulShare</t>
  </si>
  <si>
    <t>brady914 wrote a review Jun 2019Edinburgh, United Kingdom3 contributions</t>
  </si>
  <si>
    <t>Warm Welcome at Waterloo!Such a warm welcome by helpful and friendly staff which continued 
throughout our stay. Comfortable clean and perfectly adequate room. The 
whole premises were clean and tidy. Adequate tea/coffee making facilities 
(more available on request). Heating/air conditioning unit a little noisy 
during the night - if stayed longer would turn off as room warm enough.Read 
moreReview collected in partnership with TravelodgeDate of stay: October 
2018HelpfulShare</t>
  </si>
  <si>
    <t>GERAINT D wrote a review Oct 2018Bridgend, United Kingdom108 
contributions48 helpful votes</t>
  </si>
  <si>
    <t>2 night stayexcellent location just 5-10 minute walk from Kings Cross station. 
Directions were true and accurate. Check in very efficient. Breakfast was 
great, a good selection of items to choose from, continuously topped up 
when required. Ten out of ten for all staff, they were cheery, helpful and 
always spoke when passing you. Would definitely stay at this hotel 
again.Read moreReview collected in partnership with TravelodgeDate of stay: 
May 2019HelpfulShare</t>
  </si>
  <si>
    <t>Clean and ComfortableThe staff were extremely welcoming and attentive, the rooms were well 
maintained and clean, the bar area is also a bonus. The only issue this 
hotel has is the noisy aircon and heating system which disrupts sleep, I 
would ask for a room at the rear of the hotel.Read moreDate of stay: 
October 2018HelpfulShare</t>
  </si>
  <si>
    <t>TheFussyTeenager wrote a review Jun 2019Manchester, United Kingdom292 
contributions84 helpful votes</t>
  </si>
  <si>
    <t>https://www.tripadvisor.co.uk/Hotel_Review-g186338-d1812157-Reviews-or760-Travelodge_London_Waterloo_Hotel-London_England.html#REVIEWS</t>
  </si>
  <si>
    <t>Still Room for Improvement!This hotel has gone down in quality since my last visit less than two years 
ago, but the price still can’t really be disputed. That being said, 
Travelodge’s ten-pound charge for an earlier check-in is frustrating. 
Although there’s luggage storage if you want to drop your stuff off and 
explore, 3pm is a late time to be given your room. Another nearby hotel I 
stayed at in January was more than happy to get us checked in straightaway. 
Unsurprisingly, this hotel attracts football louts and similar 
inconsiderate folk- so expect slamming doors and similar rackets. One 
night, there was an inebriated guy pacing the hallway shouting down his 
phone who I had to tell to be quiet. The building is not very sound-proof: 
loud toilet flushes and other noises from those above, next to and 
below…Read moreDate of stay: March 2019HelpfulShare</t>
  </si>
  <si>
    <t>wonkypin wrote a review Oct 2018St Helier, United Kingdom141 
contributions42 helpful votes</t>
  </si>
  <si>
    <t>https://www.tripadvisor.co.uk/Hotel_Review-g186338-d243667-Reviews-or1075-Travelodge_London_Kings_Cross_Royal_Scot-London_England.html#REVIEWS</t>
  </si>
  <si>
    <t>A central stay at reasonable costThis is the third or fourth time I have stayed at this hotel in the last 18 
months. I now use it when in London as it is reasonably central being 
within walking distance form Waterloo Station and the river.The rooms are 
good and the basic have all one needs for sleeping. This time I had a 
double as my wife came but it was not accessible so had a shower rather 
than a wet room which I prefer as it is easier for me however this is only 
a minor criticism.Read moreReview collected in partnership with 
TravelodgeDate of stay: October 2018HelpfulShare</t>
  </si>
  <si>
    <t>David W wrote a review Oct 2018Coventry, United Kingdom73 contributions44 
helpful votes</t>
  </si>
  <si>
    <t>Rafelt wrote a review Jun 2019Liverpool, United Kingdom18 contributions10 
helpful votes</t>
  </si>
  <si>
    <t>Good price London hotel for businessGreat price in a good location. Few restaurants around. Friendly and 
helpful staff. Aged building but clean and quiet. This is a very large 
hotel so the lobby is quite busy. Cash machine available onsite. Did the 
job for a few nights away for work.Read moreDate of stay: May 
2019HelpfulShare</t>
  </si>
  <si>
    <t>Great Value ... but disappointing breakfastThe hotel is in an excellent location on a main tube line with the Waterloo 
Underground Station only about five minutes walk. I was impressed by the 
cleanliness of the reception, bar and rooms … a real credit to the 
housekeeping team The bedroom was a good size and immaculate Did not try 
the bar so cannot comment but it looked comfortable with a variety of 
seating ... again very clean and looked to be well staffed as we walked 
through The bed was clean and very comfortable My only disappointment was 
the breakfast ...not a fan of scrambled egg and there seemed to be no 
alternative ... certainly nothing listed on the menu ... the baked beans 
were tepid and the bacon looked like it had been under heat lamps for days 
A poor selection of fresh fruit it seemed to be 90% apple…Read moreDate of 
stay: October 2018HelpfulShare</t>
  </si>
  <si>
    <t>Camillus K wrote a review Jun 2019United Kingdom10 contributions5 helpful 
votes</t>
  </si>
  <si>
    <t>treasurebox742014 wrote a review Oct 2018Warrington, United Kingdom15 
contributions15 helpful votes</t>
  </si>
  <si>
    <t>Not very happyI was on the 4th floor. The hallway smelt like stale dirty cloths. As did 
the room. I use Travelodge regular and this is without doubt the worse I 
have ever stayed in. I won't be going back to this place againRead 
moreReview collected in partnership with this hotelDate of stay: May 20191 
Helpful voteHelpfulShareResponse from TravelodgeUK, Ben from the Social 
Media Team at Travelodge London Kings Cross Royal ScotResponded 6 Jun 
2019Thank you for taking the time to write a review about our London Kings 
Cross Royal Scot hotel. We are sorry to learn of your disappointment with 
the room and corridor smell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</si>
  <si>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Great hotelStayed here with my 7 year old daughter it’s very close to Waterloo station 
(approx 6 mins walk) and close to south bank. check in was quick and easy, 
had to change rooms due to aggressive gent next door, this was no 
reflection on the hotel, they did it professionally and without any issues, 
rooms are modern as recently refurbished very clean and comfortable, bar 
area is lovely and very relaxed, bar staff very polite, breakfast was good, 
again clean comfortable area and everything was fresh, the only hiccup was 
that I ordered pizza for my daughter to take up-to room as it was late when 
we arrived, had to go back to bar after 3/4 hour as still not arrived, then 
when it did it came without takeaway box as requested, had to wait a 
further 15 mins to wait for a box, I assume this…Read moreDate of stay: 
October 2018HelpfulShare</t>
  </si>
  <si>
    <t>Kiyo O wrote a review Jun 20194 contributions</t>
  </si>
  <si>
    <t>Mick S wrote a review Oct 2018Lytham St Anne's, United Kingdom137 
contributions52 helpful votes</t>
  </si>
  <si>
    <t>Birthday weekend awayWe stayed for long weekend stay to celebrate a friends 50th. A handy 
location for both train and tube, but also a nice walk to London sights if 
the weather is half decent. The rooms were clean and comfortable &amp; the 
staff were polite. Really impressed with the breakfast, so it's worth 
paying in advance to get the best value for money.Read moreDate of stay: 
December 2017HelpfulShare</t>
  </si>
  <si>
    <t>Q2652NHrachelt wrote a review Oct 2018Liverpool, United Kingdom2 
contributions</t>
  </si>
  <si>
    <t>Excellent Service from Gio, Wonderful StayStayed there from 2 June to 4 June. Checking in and out was professionally 
assisted by Gio. She was courteous, friendly and shown exemplary 
professionalism in her service. Such service officer are hard to come by. 
Thank you Gio!!!Read moreDate of stay: June 2019HelpfulShare</t>
  </si>
  <si>
    <t>https://www.tripadvisor.co.uk/Hotel_Review-g186338-d1812157-Reviews-or550</t>
  </si>
  <si>
    <t>clarey243 wrote a review Jun 2019Stirling, United Kingdom53 contributions23 
helpful votes</t>
  </si>
  <si>
    <t>Great location1 adult and 2 children stayed overnight for a sightseeing trip. It was a 
brilliant location, close to tube stations and the London eye was about 
10minutes walk. The room was clean and tidy. The breakfast was delicious 
and lots of choice to cater for different tastes.Read moreReview collected 
in partnership with TravelodgeDate of stay: October 2018HelpfulShare</t>
  </si>
  <si>
    <t>Great stay!We stayed here for 3 nights and the end of May/start of June. This hotel is 
probably a 15 minute walk from Kings Cross train station. We stayed on the 
4th floor. The room was fine, not overly big but no complaint on this. 
There was general wear and tear showing but again, no real issue. The 
bathroom is very small, very cramped. The shower is amazing! Very powerful 
and isn't attached to the wall. I normally find in these places that there 
is barely any force and they are attached to the wall (which I am not a fan 
of!). Staff were friendly. What I would say is that it is pretty noisy at 
around 6am every morning we stayed with either deliveries or bins being 
emptied. Would stay again if in area.Read moreDate of stay: May 
2019HelpfulShare</t>
  </si>
  <si>
    <t>neootje2004 wrote a review Jun 2019Ghent1 contribution</t>
  </si>
  <si>
    <t>https://www.tripadvisor.co.uk/Hotel_Review-g186338-d1812157-Reviews-or765-Travelodge_London_Waterloo_Hotel-London_England.html#REVIEWS</t>
  </si>
  <si>
    <t>wonderful stayprice rate was great. The staff very friendly. Breakfast simple but good. 
The rooms were clean and the beds good. Check in en check out very simple. 
The was excellent. A 5 minute walk from St-Pancras station.Read moreReview 
collected in partnership with TravelodgeDate of stay: May 2019HelpfulShare</t>
  </si>
  <si>
    <t>TheDaiLlew wrote a review Oct 2018Cardiff, United Kingdom16 contributions9 
helpful votes</t>
  </si>
  <si>
    <t>https://www.tripadvisor.co.uk/Hotel_Review-g186338-d243667-Reviews-or1080-Travelodge_London_Kings_Cross_Royal_Scot-London_England.html#REVIEWS</t>
  </si>
  <si>
    <t>Clean, comfortable and in a perfect locationHotel prices seem to have escalated considerably in London in the last 10 
years, and even a stalwart chain like Travelodge isn't immune to it. I've 
stayed at this hotel before, and - like this occasion - on a weekend, and 
it was about half the price I paid for it this time. Saying that, they've 
done a lot of work in refurbishing the hotel. The rooms feel much less 
spartan, without being OTT. It's no frills accommodation, but without 
feeling austere. The bed and bedding were excellent and very comfortable, 
and the aircon worked a dream over an uncharacteristically warm October 
weekend. I'd definitely stay there again.Read moreReview collected in 
partnership with TravelodgeDate of stay: October 2018HelpfulShare</t>
  </si>
  <si>
    <t>DavidTG2014 wrote a review Jun 2019Peterlee6 contributions3 helpful votes</t>
  </si>
  <si>
    <t>saskiakuiling wrote a review Oct 20181 contribution</t>
  </si>
  <si>
    <t>Very helpful staffStaff were excellent. Unfortunately the hotel is showing signs of wear and 
tear, and the room smelt damp. We were unhappy with the new policy which 
forces one to pay for a full breakfast even if you only want a small 
one.Read moreReview collected in partnership with TravelodgeDate of stay: 
June 2019HelpfulShare</t>
  </si>
  <si>
    <t>Good place to stay!We stayed her for two nights and it was a neat and clean and also quiet 
place to stay. The workers are nice and helpfull. Because we had no acces 
to wifi we had a lot of questions about opening hours and adresses in the 
city and they answered them all.The room was quiet an nice.Read moreReview 
collected in partnership with TravelodgeDate of stay: October 
2018HelpfulShare</t>
  </si>
  <si>
    <t>HollynTed wrote a review Oct 2018Kent34 contributions12 helpful votes</t>
  </si>
  <si>
    <t>Cheryl wrote a review Jun 2019West Yorkshire, United Kingdom17 contributions</t>
  </si>
  <si>
    <t>Convenient and well priced accommodationThe accommodation is very convenient as it is so close to Waterloo station. 
There are many nearby bars and restaurants and the hotel also has a useful 
restaurant and bar. The room was clean and tidy. (There was a very strong 
smell of cleaning products when we entered which was a bit 
offputting.)Breakfast was nice and we felt it was a better quality (or 
better cooked?) than at many other Travelodges). At £8.95 it is very 
reasonably priced.Read moreReview collected in partnership with 
TravelodgeDate of stay: October 2018HelpfulShare</t>
  </si>
  <si>
    <t>Will stay here againThe staff make you welcome and we're very friendly and helpful. It was a 
pleasure to stay 2 nights will definitely stay at this Travelodge again 
when visiting London. The breakfast was also excellent.Read moreReview 
collected in partnership with this hotelDate of stay: May 2019HelpfulShare</t>
  </si>
  <si>
    <t>Jill C wrote a review Jun 20192 contributions1 helpful vote</t>
  </si>
  <si>
    <t>Best weekend ever!I visited London with my daughter. A lot of things I'd never done before 
and staying in a hotel was one of them. The room was great, just what we 
needed. The staff were amazing, very friendly, genuine and helpful. Thank 
you Royal Scot staff, you were part a weekend that me and my daughter will 
never forget!Read moreReview collected in partnership with this hotelDate 
of stay: June 2019HelpfulShare</t>
  </si>
  <si>
    <t>Tim S wrote a review Jun 20192 contributions</t>
  </si>
  <si>
    <t>https://www.tripadvisor.co.uk/Hotel_Review-g186338-d1812157-Reviews-or770-Travelodge_London_Waterloo_Hotel-London_England.html#REVIEWS</t>
  </si>
  <si>
    <t>Steve K wrote a review Oct 2018London11 contributions4 helpful votes</t>
  </si>
  <si>
    <t>Mediocre accommodationDisappointing standard of accommodation and service. Small, dated room; 
provided a twin room instead of double with the smallest single beds I have 
ever seen. Travelodge obviously purchased desks from a 1950s motel chain as 
the desk still has an old coke bottle opener screwed on one side. Poorly 
designed and small bathroom (no need for a bath!) with no exhaust fans 
meaning it remained damp all day, exacerbated by an old plastic shower 
screens which remained uncleaned and a great source of mould. Poor quality 
of towells. Rooms were outdated, had evidence of rising damp, and in dire 
need of painting. Still advertising both continental and full breakfast 
menus but only providing the full one. A lengthy walk from Kings Cross 
underground and would not recommend this Travelodge.Read moreDate of stay: 
May 2019HelpfulShareResponse from TravelodgeUK, James from the Social Media 
Team at Travelodge London Kings Cross Royal ScotResponded 3 Jun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</si>
  <si>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Travelodge - Beware!If you book with Travelodge, you take a risk because their company policy 
is to over book rooms and even if you have prepaid, offer them to first 
come - first served basis. Their T&amp;Cs are such that they will endeavour to 
place you at another Travelodge hotel but if it is busy and everywhere else 
is booked, you are are on your own. Your compensation will be one free 
complementary breakfast (dry cereal, pasteurised orange juice) for your 
next visit (or let down) at Travelodge.Read moreDate of stay: October 20182 
Helpful votesHelpfulShareResponse from TravelodgeUK, Charley from the 
Social Media Team at Travelodge London Waterloo HotelResponded 28 Oct 
2018Thank you for submitting your review of our London Waterloo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</si>
  <si>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https://www.tripadvisor.co.uk/Hotel_Review-g186338-d243667-Reviews-or1085-Travelodge_London_Kings_Cross_Royal_Scot-London_England.html#REVIEWS</t>
  </si>
  <si>
    <t>Pamela H wrote a review Oct 20186 contributions2 helpful votes</t>
  </si>
  <si>
    <t>Great hotelJust had a lovely break in this hotel. Very friendly and helpful reception 
staff. Great breakfast choice and quality. Good bar staff who looked after 
both adults and children really well. Lovely room. Only less positive issue 
was the water pressure in the shower but not really a problem. All really 
good.Read moreReview collected in partnership with TravelodgeDate of stay: 
October 2018HelpfulShare</t>
  </si>
  <si>
    <t>tgande2018 wrote a review Jun 2019Nottingham, United Kingdom43 
contributions10 helpful votes</t>
  </si>
  <si>
    <t>Jackie T wrote a review Oct 2018Oldbury6 contributions3 helpful votes</t>
  </si>
  <si>
    <t>ComfortableFamily room booked 1 double 2 singles. Beds comfortable . Very hot day so 
room was very hot being on 3rd floor. Fan supplied thank goodness.Coukdnt 
have window open at night as of course near to railways and bars very close 
by. Handy for train and tube . Breakfast ok sadly no cooked breakfasts here 
but cereal fruit and toast and drinks nice . Ensuite functional tho not 
spotless. Nice building from outside very basic on inside .Read moreDate of 
stay: June 2019HelpfulShare</t>
  </si>
  <si>
    <t>If you don't want a good quiet sleepWorse night i have ever had in a hotel, The heating unit was dreadful and 
kept us awake all night. If turned off it felt like it was constantly 
filling with water every 10 minutes and if on it kept shooting out cold air 
even tho the temp was set for 22 degreesRead moreReview collected in 
partnership with TravelodgeDate of stay: October 2018HelpfulShareResponse 
from TravelodgeUK, Tilly from the Social Media Team at Travelodge London 
Waterloo HotelResponded 8 Nov 2018Thank you for your comments about our 
London Waterloo Hotel. We're sorry to hear that your stay was disturbed by 
the noise from the heater. We will be sure to pass your comments onto the 
hotel team and we hope to be given the opportunity to welcome you back to 
one of our hotels soon.Read more</t>
  </si>
  <si>
    <t>Tour58888116973 wrote a review Jun 20191 contribution</t>
  </si>
  <si>
    <t>aannika2018 wrote a review Oct 2018Helsinki, Finland1 contribution</t>
  </si>
  <si>
    <t>Good value for your moneyRooms were clean and nice, staff friendly. Continental breakfast was good 
and very affordable. Didn't try english breakfast. Staff offered rooms 
either from up or lower floors. On eight floor there were beatiful sight to 
London from the window.Read moreReview collected in partnership with 
TravelodgeDate of stay: October 2018HelpfulShare</t>
  </si>
  <si>
    <t>Poor facilitiesRoom was very disappointing. Checked in to find no fresh towels, hairdryer 
or working fan. Went to reception to retrieve these and received a stained 
towels in return. Room was very small but had a nice view, probably the 
only nice to thing about the our stay. There was also a large yellow liquid 
stain on the wall which was absolutely appalling. Very poor conditions for 
a Travelodge hotel. Won't be staying again.Read moreReview collected in 
partnership with this hotelDate of stay: May 2019HelpfulShareResponse from 
TravelodgeUK, Ben from the Social Media Team at Travelodge London Kings 
Cross Royal ScotResponded 3 Jun 2019Thank you for taking the time to write 
a review about our London Kings Cross Royal Scot hotel. We are pleased to 
hear that you liked the view however are sorry to learn of your 
disappointment with the room and facilities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</si>
  <si>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Jean C wrote a review Oct 2018Cheltenham, United Kingdom1 contribution</t>
  </si>
  <si>
    <t>Lmaragaretf wrote a review Jun 2019Newcastle upon Tyne, United Kingdom41 
contributions24 helpful votes</t>
  </si>
  <si>
    <t>Excellent stayExcellent stopover. Very clean, friendly staff and good service, location 
okay just over the river. Buses serviced everywhere north of the river 
easily and frequently. Definitely choose this one again.Read moreReview 
collected in partnership with TravelodgeDate of stay: October 
2018HelpfulShare</t>
  </si>
  <si>
    <t>Lovely stayAfter reading the reviews of this hotel, I was expecting rude staff, poor 
breakfasts and less than great rooms. We experienced the total opposite! On 
arriving, we were greeted by a lovely man who explained early check in was 
not available (bank holiday weekend, no shock there) but we could store our 
bags and check in later that day which we did. I had forgotten to print off 
some vouchers for attractions and the staff were more than happy to help me 
do this on their computers which we were very grateful for! Our room was 
standard travel lodge, comfy double bed, ample wardrobe space. Looked out 
onto a car park but we didn’t go for the view anyway. Good room temperature 
with the window open and very little noise through the night despite what a 
lot of reviews have said. The hotel…Read moreDate of stay: May 
2019HelpfulShare</t>
  </si>
  <si>
    <t>John G wrote a review May 20192 contributions</t>
  </si>
  <si>
    <t>https://www.tripadvisor.co.uk/Hotel_Review-g186338-d1812157-Reviews-or775-Travelodge_London_Waterloo_Hotel-London_England.html#REVIEWS</t>
  </si>
  <si>
    <t>Very Welcoming at checki inVery good rooms Friendly Staff ready to assist. .Locallity is OK as we 
walked everywhere. Great Restaurant and Bar we totally recommend it. It is 
not a 5 star expensive Hotel but a fanastic budget stay for a stop over 
Clean Bed Clean Bathroom what more do you need?Read moreDate of stay: May 
2019HelpfulShare</t>
  </si>
  <si>
    <t>scoobyhb53 wrote a review Oct 2018Shrewsbury, United Kingdom3 
contributions2 helpful votes</t>
  </si>
  <si>
    <t>https://www.tripadvisor.co.uk/Hotel_Review-g186338-d243667-Reviews-or1090-Travelodge_London_Kings_Cross_Royal_Scot-London_England.html#REVIEWS</t>
  </si>
  <si>
    <t>Waterloo travel lodgeReally good hotel, good price staff friendly and helpful, reasonable 
breakfast lots choice, good location walking distance from mainline station 
and underground, had a room at the back and it was very quiet.Read 
moreReview collected in partnership with TravelodgeDate of stay: October 
20181 Helpful voteHelpfulShare</t>
  </si>
  <si>
    <t>Yossy wrote a review May 2019Chiyoda, Japan2 contributions</t>
  </si>
  <si>
    <t>PetraPL wrote a review Oct 2018Gothenburg, Sweden89 contributions8 helpful 
votes</t>
  </si>
  <si>
    <t>Very good hotelI am Japanese and stayed there for business. This hotel is value for money, 
and have very kind staffs, while the location is a little bit inconvenient 
due to distance from Kings Cross station. I would like to stay again next 
time.Read moreReview collected in partnership with TravelodgeDate of stay: 
May 2019HelpfulShare</t>
  </si>
  <si>
    <t>Nice clean hotelVisited this hotel in October 2018 and then it looked quiet new and had a 
modern spartan interior look with bright colors. Stayed in a Superroom and 
it was fresh but not very big. Cleaned every day. Breakfast was so and so. 
I would suggest to book without breakfast and have breakfast elsewhere. 
Nice staff. Had a 24 hrs bar. 5-10 min walk to the closest subway 
station.Read moreDate of stay: October 2018HelpfulShare</t>
  </si>
  <si>
    <t>sharra23 wrote a review May 2019121 contributions27 helpful votes</t>
  </si>
  <si>
    <t>Andy wrote a review Oct 2018Southampton, United Kingdom829 contributions295 
helpful votes</t>
  </si>
  <si>
    <t>London with parentsAfter using this hotel as a base last year we came again bringing my 
parents. Rooms this time looked out onto small courtyard/car park. For us 
this was quieter which we were happy with. Clean room, perfect for its use. 
Slight issue with a leak from sink but this was fixed relatively quick for 
bank holiday. Told of restaurant/bar opening times on arrival if we wished 
to use them. Extremely pleasant staff ( one even took family photo for us) 
early check in time of 12pm which we paid extra for but worth it as very 
tired on returning after an afternoon exploring, after check out we left 
our bags stored for free in hotel. A great base to visit London as central 
for tube to most places.Read moreDate of stay: May 2019HelpfulShare</t>
  </si>
  <si>
    <t>Good location for Waterloo stationStayed here in Oct 2018 whilst going to a show at the O2. Convenient 
location for Waterloo train station / tube. 10 minute slow walk to the 
hotel from the lower level of the station. Hotel itself was modern &amp; bright 
in the lobby. Reception staff provided a good service. Asked which floor we 
preferred and put us on the top floor. Were able to store our luggage after 
we checked out. Bar area, but we didn’t use this. Lifts could do with some 
oil, as they are very screechy! Room was adequate for our stay. Double bed, 
desk, chair, arm chair, kettle, tea, coffee etc and TV. Shower / toilet 
room. Only one towel in room, which is weird. Breakfast and WiFi not 
included. Air conditioning wasn’t very good. Overall, a convenient 
location. Reasonable price (£82) and it was clean and…Read moreDate of 
stay: October 20181 Helpful voteHelpfulShare</t>
  </si>
  <si>
    <t>Omar wrote a review May 20191 contribution1 helpful vote</t>
  </si>
  <si>
    <t>cdiaz_duque wrote a review Oct 20182 contributions</t>
  </si>
  <si>
    <t>Fantastic customer serviceBooked for me and my girlfriend for a weekend only to be given 2 single 
beds. After speaking to Haleema on reception, she went out of her way to 
get us a room with a double bed and she was happy to do so. She was polite 
and friendly, and even though we were annoyed, she had the situation under 
control and handled it in a professional manner. 10/10 would definitely 
stayRead moreDate of stay: May 20191 Helpful voteHelpfulShare</t>
  </si>
  <si>
    <t>Great location, clean room, good sleep and fRiendly staffStayed 2 nights here again,its a decent, clean and well-located hotel. The 
rooms have decent and comfy beds and pillows. The bar and restaurant are 
good too, so if you want to stay in a not to the expensive hotel I would 
recommend this one, and book in advance so you can get good prices.Read 
moreReview collected in partnership with this hotelDate of stay: September 
2018HelpfulShare</t>
  </si>
  <si>
    <t>Go63337540366 wrote a review May 20191 contribution</t>
  </si>
  <si>
    <t>Piggin01 wrote a review Oct 2018Kettering, England, United Kingdom122 
contributions26 helpful votes</t>
  </si>
  <si>
    <t>Great locationGreat location 5mins walk from Waterloo station �� or bus stop �� just 
outside rooms clean and tidy with shower gel and shampoo and towels staff 
very friendly and helpful breakfast look good but can’t comment as never 
had breakfast price good for LondonRead moreReview collected in partnership 
with this hotelDate of stay: September 2018HelpfulShare</t>
  </si>
  <si>
    <t>Not up to usual travel lodge standardsStayed in this travel lodge overnight. Team at reception were very friendly 
and helpful. The room itself was odd to find - you had to go up to the 
second floor, walk all the way along it and then go down stairs back to the 
first floor. There was no duvet on the bed, just sheets which I thought was 
optimistic for May! Searching the cupboards we couldn’t find a duvet 
either. The toilet needed multiple attempts to flush every time it was used 
and the shower was warm and high pressure but also produced a high volume 
of air as well as the water! All in all, not up to the standards that we 
are used to from travel lodge.Read moreReview collected in partnership with 
TravelodgeDate of stay: May 2019HelpfulShareResponse from TravelodgeUK, 
James from the Social Media Team at Travelodge London Kings Cross Royal 
ScotResponded 2 Jun 2019Thank you for reviewing our Travelodge London Kings 
Cross Royal Scot Hotel. We're happy to hear you were pleased with the 
service from the hotel's team during this stay with us but we are sorry to 
hear of the issues experienced with your room and it's facilities. Please 
rest assured the hotel managers check Tripadvisor reviews of their hotels 
so your comments will be reviewed by the hotel's team. Thank you again for 
leaving this review and we do hope that you choose to stay with us again in 
the future.Read more</t>
  </si>
  <si>
    <t>Hev &amp; Den wrote a review May 20191 contribution</t>
  </si>
  <si>
    <t>https://www.tripadvisor.co.uk/Hotel_Review-g186338-d1812157-Reviews-or780-Travelodge_London_Waterloo_Hotel-London_England.html#REVIEWS</t>
  </si>
  <si>
    <t>Good stayWe stayed at The Royal Scot Travelodge in London for one night. The hotel 
was clean but we felt that some parts in the room were tired, like the 
shower rail. The reception staff were welcoming and polite although the bar 
staff were quite slow and did not seem profficient in their role, but 
overall a pleasant stay.Read moreDate of stay: May 2019HelpfulShareResponse 
from TravelodgeUK, James from the Social Media Team at Travelodge London 
Kings Cross Royal ScotResponded 2 Jun 2019Thank you for reviewing our 
Travelodge Kings Cross Royal Scot Hotel. We're happy to hear you were 
pleased with the cleanliness of your room during this stay with us as well 
as the service from the reception team but we are sorry to hear of the wear 
and tear of your room and the service from the bar staff. Please rest 
assured the hotel managers check Tripadvisor reviews of their hotels so 
your comments will be reviewed by the hotel's team. Thank you again for 
leaving this review and we do hope that you choose to stay with us again in 
the future.Read more</t>
  </si>
  <si>
    <t>peterlines47 wrote a review Oct 2018Bracknell, United Kingdom1 contribution</t>
  </si>
  <si>
    <t>https://www.tripadvisor.co.uk/Hotel_Review-g186338-d243667-Reviews-or1095-Travelodge_London_Kings_Cross_Royal_Scot-London_England.html#REVIEWS</t>
  </si>
  <si>
    <t>overnight stayfacilties and accommodation were all very good and would stay there again. 
the location was near to london victoria station although the taxi journey 
took about 15 minutes as against an estimated walk of about the same 
timeRead moreReview collected in partnership with this hotelDate of stay: 
September 2018HelpfulShare</t>
  </si>
  <si>
    <t>GrandTour32715272422 wrote a review May 2019Brighton, United Kingdom1 
contribution</t>
  </si>
  <si>
    <t>Emily B wrote a review Oct 2018Hay-on-Wye, United Kingdom2 contributions2 
helpful votes</t>
  </si>
  <si>
    <t>Too far from stationCheck with your phone that you are going to the right Travel Lodge as there 
is another one closer to Kings Cross. Hotel is clean and friendly and 
reasonably priced but pretty basic. Fine for an overnight stay.Read 
moreReview collected in partnership with TravelodgeDate of stay: May 
2019HelpfulShareResponse from TravelodgeUK, James from the Social Media 
Team at Travelodge London Kings Cross Royal ScotResponded 2 Jun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</si>
  <si>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Noisy Air conHotel was good, reception staff were very welcoming, we paid for early 
check in and late check out which were an extra £10 for each, which i 
thought was great price, we also paid for full breakfast each day, it was 
average, only scrambled eggs available, but selection of cereals fruit etc 
also available, however cutlery was dirty!! We also paid for wifi for our 3 
night stay which kept disconnecting from my phone and heard others at 
breakfast also complaining about this. Luckily we did not spend much time 
in the hotel other than night time. The cleaning staff were speaking a 
different language, the dispensers for soap was in the shower and the 
dispenser for body wash was by the sink - odd! Went we first entered the 
room it was slightly cold but no problem we just turned the air…Read 
moreReview collected in partnership with TravelodgeDate of stay: September 
2018HelpfulShare</t>
  </si>
  <si>
    <t>minniemouse22 wrote a review Oct 2018England60 contributions45 helpful votes</t>
  </si>
  <si>
    <t>stv1554 wrote a review May 20191 contribution1 helpful vote</t>
  </si>
  <si>
    <t>Clean Comfortable Hotel With Lovely StaffStayed here twice recently, both times room was very clean and quiet (I 
requested away from the lifts). Staff seem genuinely very friendly. Bed was 
comfortable and breakfast good. Location is convenient being walking 
distance of Waterloo station Couple of minor down points. No free Wifi 
which is ridiculous these days. A shower curtain instead of a screen 
(always makes me edgy!) Room was one of their 'super' ones but quite small 
although everything was smart, no marks in furniture, carpets or 
curtains.Read moreDate of stay: October 2018HelpfulShare</t>
  </si>
  <si>
    <t>Noss1s wrote a review Oct 2018Leicestershire, United Kingdom101 
contributions35 helpful votes</t>
  </si>
  <si>
    <t>Staff were courteous and helpfulOn arrival, we were greeted by Haleema, who explained all the details of 
checking in and the facilities the hotel had to offer, she was very 
knowledgeable and her customer service skills were excellent. The room was 
booked for two people, but only towels for one, contacted Haleema at the 
reception and was sorted straight away. We were intending to go out for an 
evening meal, but s the weather was bad, we went into the bar and realised 
that you could get food there, which turned out to be good and very 
reasonably priced and served with very helpful and polite staff.We would 
stay here again.Read moreDate of stay: May 20191 Helpful voteHelpfulShare</t>
  </si>
  <si>
    <t>Great locationThe lodge is in a great place. 5 minutes walk from Waterloo Station. Just 
around the corner from The Old Vic theatre. Staff are very helpful &amp; 
knowledgeable. The rooms are very spacious and clean. Beds are a little 
uncomfortable. Otherwise, good.Read moreDate of stay: October 
2018HelpfulShare</t>
  </si>
  <si>
    <t>tommye52 wrote a review May 2019Stoke-on-Trent, United Kingdom1 contribution</t>
  </si>
  <si>
    <t>https://www.tripadvisor.co.uk/Hotel_Review-g186338-d1812157-Reviews-or785-Travelodge_London_Waterloo_Hotel-London_England.html#REVIEWS</t>
  </si>
  <si>
    <t>Good breakfast and friendly staffShower in my room needs upgrading. A little more attention required when 
cleaning rooms. False eyelash in sink plug hole, stain on sheet, shower was 
not easy to control. There are more than one Travelodge’s in the area so be 
sure you get the correct one!Read moreReview collected in partnership with 
TravelodgeDate of stay: May 2019HelpfulShare</t>
  </si>
  <si>
    <t>270christinec wrote a review Oct 2018London5 contributions9 helpful votes</t>
  </si>
  <si>
    <t>Great value for money, and comfy bed!Excellent value for money, perfect location for access to central London, 
the room was clean and a very comfortable bed! I also had a room with a 
view. My one night stay was comfortable and I was able to get to my meeting 
in only 20 minutes in the morning due to the convenient location.Read 
moreReview collected in partnership with TravelodgeDate of stay: October 
2018HelpfulShare</t>
  </si>
  <si>
    <t>https://www.tripadvisor.co.uk/Hotel_Review-g186338-d243667-Reviews-or1100-Travelodge_London_Kings_Cross_Royal_Scot-London_England.html#REVIEWS</t>
  </si>
  <si>
    <t>Escape23514504759 wrote a review May 20191 contribution</t>
  </si>
  <si>
    <t>alisonjphillips wrote a review Oct 20181 contribution</t>
  </si>
  <si>
    <t>Room a total dump, staff helpfulWe stayed at royal Scot 26th May and 27th, reception area well maintained 
but our room was awful, room was tiny carpet dirty. We had 2 single beds in 
the room with lamps either side of the bed both broken and when you sat up 
in bed you ended up bumping your head, the ceiling had damp marks and 
plaster coming off it. I had the most awful sleep whilst staying there due 
to the pillows and the fact the window wouldn’t close. Other than that our 
stay was fine I was going to complain about the room but as we were only 
there 2 nights and weren’t staying in the room apart from to sleep I didn’t 
bother. Other than that the staff were friendly and really helpful and the 
breakfasts were really nice. The hotel itself needs money spending on it 
and until then I will not be returningRead moreReview collected in 
partnership with TravelodgeDate of stay: May 2019HelpfulShareResponse from 
TravelodgeUK, Shaf from the Social Media Team. at Travelodge London Kings 
Cross Royal ScotResponded 30 May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</si>
  <si>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Excellent staygreat hotel, very central. Staff very friendly and helpful..especially the 
bar staff. Nice clean room, quiet and comfortable. very nice breakfast, 
staff helpful and polite.. would stay again. Great hotel.Read moreReview 
collected in partnership with TravelodgeDate of stay: October 
2018HelpfulShare</t>
  </si>
  <si>
    <t>SRCole1986 wrote a review May 2019Gateshead, United Kingdom4 contributions</t>
  </si>
  <si>
    <t>shh333 wrote a review Oct 20181 contribution1 helpful vote</t>
  </si>
  <si>
    <t>Good one night stayStayed here overnight for a concert. Ten minute walk away from Kings Cross 
station and Underground where there was quite a few little shops and cafes 
on the way. The building on the outside was dated but well kept inside. We 
arrived for 1pm but couldn’t check in till 3pm unless we wanted £10 extra 
for early check in. The staff were very friendly and stored our bags safely 
until check in so went for a look round the City until then. The room 
overlooked the car park in the middle of the hotel but this wasn’t an issue 
as most of our time was spent out and about. The room was clean and came 
with an iron, ironing board and extra desk fan which wasn’t expected. Bed 
was comfy and had a good nights sleep. We didn’t have breakfast at the 
hotel. Staff were very friendly and helpful. Cheap…Read moreDate of stay: 
May 2019HelpfulShare</t>
  </si>
  <si>
    <t>Excursion29238326083 wrote a review May 2019Worcester, United Kingdom1 
contribution</t>
  </si>
  <si>
    <t>Made to change location at 1.30 amI was travelling alone and arrived at my hotel at 1.30am to be told there 
was 'something wrong with my room' and I would have to change to another 
hotel. I was very upset at this and they did nothing.Read moreReview 
collected in partnership with TravelodgeDate of stay: October 20181 Helpful 
voteHelpfulShareResponse from TravelodgeUK, Ben from the Social Media Team 
at Travelodge London Waterloo HotelResponded 9 Oct 2018Thank you for taking 
the time to write a review about our London Waterloo hotel. We are very 
sorry to learn that your room was not available for you on your arrival and 
we fully appreciate the frustration this must have caused. Our booking 
support teams will try and assist with relocating guests to minimise the 
disruption caused however we are sorry for the disappointment caused on 
this occasion. If you wish to contact us directly to give us more feedback, 
please be aware that you can always contact our Customer Services team via 
our website. Thank you once again and we do hope you will stay with us in 
the future.Read more</t>
  </si>
  <si>
    <t>Convenient, quietTwin room with comfy beds, no fuss. For the price it was better than I 
anticipated! Nice sized bath and good shower. It is on a side street so it 
is a quiet location, with friendly staff. Happy customer!Read moreReview 
collected in partnership with TravelodgeDate of stay: May 2019HelpfulShare</t>
  </si>
  <si>
    <t>Mario D wrote a review May 2019Rome, Italy133 contributions31 helpful votes</t>
  </si>
  <si>
    <t>https://www.tripadvisor.co.uk/Hotel_Review-g186338-d1812157-Reviews-or790-Travelodge_London_Waterloo_Hotel-London_England.html#REVIEWS</t>
  </si>
  <si>
    <t>week end a LondraThe location was good and compliant to the standard of other Traveldorge 
hotels. The hotel stands only few minutes to the metro and rail stations 
and room &amp; services were fine. The staff solved very quickly a little 
problem with the door-lock that during our staying had a fault and needed 
an extra maintenance to remove the off duty status.Read moreReview 
collected in partnership with this hotelDate of stay: May 2019HelpfulShare</t>
  </si>
  <si>
    <t>DerbyshireLottie wrote a review Oct 2018Glossop, United Kingdom82 
contributions62 helpful votes</t>
  </si>
  <si>
    <t>Good,clean,basic hotelAfter a terrible train journey into London I was very pleased to get to the 
hotel. Check in was swift and the gentleman on reception told me about all 
the amenities. The room was clean and okay size. Breakfast was plentiful. A 
good hotel but without the detail of hairdryers etc in every room.Read 
moreDate of stay: October 2018HelpfulShare</t>
  </si>
  <si>
    <t>https://www.tripadvisor.co.uk/Hotel_Review-g186338-d243667-Reviews-or1105-Travelodge_London_Kings_Cross_Royal_Scot-London_England.html#REVIEWS</t>
  </si>
  <si>
    <t>KiaraeMarko wrote a review Oct 2018Pavia, Italy374 contributions33 helpful 
votes</t>
  </si>
  <si>
    <t>dantafae wrote a review May 20192 contributions</t>
  </si>
  <si>
    <t>Good value for moneyGreat location close to train and underground stations, westminster and a 
shore of thames nightlife and a gym. Kind and attentive staff to customers 
needs. The room was clean. The bathroom sink is too tiny to wash 
comfortably. Overall it was a good stay. I raccomend it.Read moreDate of 
stay: October 2018HelpfulShare</t>
  </si>
  <si>
    <t>VJPower wrote a review Oct 2018Leeds, United Kingdom60 contributions5 
helpful votes</t>
  </si>
  <si>
    <t>Comfy for a night's stayEasy check-in and nicely kept room. Beds very comfortable and spacious 
sleeping area. Bathroom was a bit on the small side. Had a slight accident 
in the shower where I slipped and fell as there was next to no grip on the 
bottom of the bath. Ended up a little bruised and sore from the fall. Also 
the floor was tiled and also ended up being very slippy when wet. Would be 
nice to have a bathmat or extra towels to put on the floor to stop this 
from happening to anyone else. Food was okay, nothing special. Looked as 
though there were some microwave heated elements to it, but the meal deal 
was cheap and reasonable for this kind of hotel.Read moreDate of stay: May 
2019HelpfulShareResponse from TravelodgeUK, Molly from the Social Media 
Team at Travelodge London Kings Cross Royal ScotResponded 29 May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</si>
  <si>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Nick D wrote a review May 2019Fort Lauderdale, Florida40 contributions17 
helpful votes</t>
  </si>
  <si>
    <t>Functional and clean TravelodgeThe reception handling of check in and check out was business friendly, 
very quick and very efficient. Had a good room at this Travelodge. It was 
clean, functional and the fittings looked mostly new. I had one long blonde 
hair showing inside my bed when I pulled back the covers which was 
disappointing given the high standards of cleanliness on arrival. I hope 
the owner of the hair was indeed a stunner. I also one hair on top of my 
bed when I pulled the bed spread off. Again a just little disappointing on 
attention to detail. The location was okay, but the Ambulance headquarters 
opposite the hotel made things noisy at night. The local greasy takeaway 
restaurants aren’t a great feature at night either, but the hotel can’t be 
faulted for the greasy establishments and that’s…Read moreDate of stay: 
October 20181 Helpful voteHelpfulShare</t>
  </si>
  <si>
    <t>karengervers wrote a review Oct 2018Exeter, United Kingdom2 contributions</t>
  </si>
  <si>
    <t>Assigned a room not cleanedMy wife and I booked this for a quick rest and refresh after a 
transatlantic overnight flight. We paid extra for early check in only to be 
assigned a room that was in some obscure part of the building. Up the 
elevator and down 2 flights of stairs. The room had not even been cleaned. 
Used bedding, trash overflowing, coffee cups used, towels on floor used. No 
phones so back up the stairs and down the elevator to notify someone. The 
front desk clerk gave us s very weak apology and new key cards for a 
different room. When I requested that someone retrieve our luggage and 
bring them to the new room the request was met with an attitude of 
inconvenience. This place needs some serious customer service training and 
drastic improvement of communication between housekeeping and front 
desk…Read moreDate of stay: May 2019HelpfulShareResponse from TravelodgeUK, 
James from the Social Media Team at Travelodge London Kings Cross Royal 
ScotResponded 28 May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</si>
  <si>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Spacious roomI was very surprised by the size of the room. Very big by London standards. 
Plenty of room for the whole family. Breakfast excellent value, especially 
as it's free for U16's. Would definitely stay again. All the staff were 
very friendly and polite. Wasn't expecting a bar or cafe which was a nice 
surprise.Read moreReview collected in partnership with this hotelDate of 
stay: September 2018HelpfulShare</t>
  </si>
  <si>
    <t>https://www.tripadvisor.co.uk/Hotel_Review-g186338-d1812157-Reviews-or555</t>
  </si>
  <si>
    <t>Dusan T wrote a review May 2019Belgrade, Serbia145 contributions37 helpful 
votes</t>
  </si>
  <si>
    <t>https://www.tripadvisor.co.uk/Hotel_Review-g186338-d1812157-Reviews-or795-Travelodge_London_Waterloo_Hotel-London_England.html#REVIEWS</t>
  </si>
  <si>
    <t>Vacation285090 wrote a review Oct 20181 contribution</t>
  </si>
  <si>
    <t>Problem with water systemFirst night was nice until in the middle of the night on the 5th floor 
crazy sound start waking many people. They said problem with plumbing. I am 
familiar with English way of showering and have no problem with that but 
this time they bought very new shower head and feeling is like 100 sharp 
needles stick into your bodyRead moreReview collected in partnership with 
this hotelDate of stay: May 2019HelpfulShareResponse from TravelodgeUK, 
James from the Social Media Team at Travelodge London Kings Cross Royal 
ScotResponded 28 May 2019Thank you for reviewing our Travelodge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</si>
  <si>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long week-end in LondonOverall, for the money, was definitely worth it. It is only 5 minutes to 
Waterloo Station and a 20 minute walk to the busy London center. The rooms 
are very spartan, but immaculately clean and neat. The staff is welcoming 
and helpful.Read moreDate of stay: September 2018HelpfulShare</t>
  </si>
  <si>
    <t>Alan c wrote a review May 2019York, United Kingdom66 contributions13 
helpful votes</t>
  </si>
  <si>
    <t>bonzodog65 wrote a review Oct 2018Lewes, United Kingdom44 contributions12 
helpful votes</t>
  </si>
  <si>
    <t>1 night visitThere’s more negatives than positives at this travelodge.first of all the 
staff are all excellent polite and helpful, The lass on the bar was 
fantastic Millie I think.the location of the hotel is also good with just a 
8-10 min walk from kings cross train station.that ends the positives.the 
hotel is a triangle shape with the car park in the middle where builders 
and contractors were starting work at 6am shouting and banging,6am really!! 
Now the rooms don’t really thrill you as there small and grubby. Our bed 
linen was old and worn.The windows sill was old chipped with paint 
splattered same with the skirting boards, The bathrooms are a real treat!!! 
The sink plug hole dirty chrome peeling away. The extractor fan didn’t work 
due to the fact it was full of dust dirt and grime.the…Read moreDate of 
stay: May 2019HelpfulShareResponse from TravelodgeUK, Molly from the Social 
Media Team at Travelodge London Kings Cross Royal ScotResponded 28 May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</si>
  <si>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Complaint madeChecked in to Room 828. Nasty strong smell. Found yellow/brown liquid half 
filling the sink and it was this producing the smell. Relocated to room 28. 
Leaky showerhead sprayed all over the bathroom, made the towels damp and 
soaked the rolls of toilet paper. In the shower I pressed the soap 
dispenser and the casing fell off and landed on my foot. No damage but it 
hurt and a bit of a shock. The fan in the bathroom ran all night and kept 
rattling and waking me. Morning of the 8th, the fire alarm sounded, we got 
dressed and left the room. Over the next 15 minutes, there was no sign of 
any organisation, no fire wardens, no-one telling us what was happening. 
Lots of people out on the street but lots of people remained inside. No 
reassurance, explanation or apology from anyone, and…Read moreDate of stay: 
September 20181 Helpful voteHelpfulShareResponse from TravelodgeUK, Ben 
from the Social Media Team at Travelodge London Waterloo HotelResponded 7 
Oct 2018Thank you for taking the time to write a review about our London 
Waterloo hotel. We are really sorry to hear of your experience however are 
pleased to learn that the hotel team were lovely. We understand that you 
have been in contact with our customer services team team who have resolved 
your complaint and our Hotel Managers regularly review their TripAdvisor 
reviews in order to fix any issues raised and pass on feedback to their 
team. Thank you once again and we do hope you will stay with us in the 
future.Read more</t>
  </si>
  <si>
    <t>Navigator532676 wrote a review Oct 2018Southampton, United Kingdom3 
contributions1 helpful vote</t>
  </si>
  <si>
    <t>https://www.tripadvisor.co.uk/Hotel_Review-g186338-d243667-Reviews-or1110-Travelodge_London_Kings_Cross_Royal_Scot-London_England.html#REVIEWS</t>
  </si>
  <si>
    <t>5 star serviceClean room. Great locationFab breakfastExcellent service. The staff could 
not have been more helpful and jolly. The hotel was busy and vibrant but 
could not guest any noise from our room. Very comfy bed. Slept like a 
log.Read moreReview collected in partnership with this hotelDate of stay: 
September 2018HelpfulShare</t>
  </si>
  <si>
    <t>dossi_d wrote a review Oct 2018London, United Kingdom13 contributions2 
helpful votes</t>
  </si>
  <si>
    <t>T3088ZYdeborahs wrote a review May 2019Ramsgate, United Kingdom3 
contributions</t>
  </si>
  <si>
    <t>Excellent staff and great new look!This hotel has recently had the communal areas redecorated and the new look 
is great! It is in a great location and the staff are amazing. There was a 
new member of staff being trained when I checked in and she was confident 
and well presented. As always was a great stay, the only minor issue with 
this hotel is that the lifts are not always working and this does cause 
some disruption at peak times.Read moreReview collected in partnership with 
this hotelDate of stay: September 2018HelpfulShare</t>
  </si>
  <si>
    <t>Needs a refurbStayed here many times but now it really needs an uplift ... sink had large 
crack in it , wardrobe was too big for space no plug sockets next to bed 
but 6 on opposite wall !! After staying at a premier hub there really is a 
lot of work for travelodge to do to catch up with them .Read moreReview 
collected in partnership with TravelodgeDate of stay: May 2019HelpfulShare</t>
  </si>
  <si>
    <t>Annie31uk wrote a review Oct 2018Billingham England9 contributions29 
helpful votes</t>
  </si>
  <si>
    <t>lundy96 wrote a review May 2019Preston, United Kingdom92 contributions25 
helpful votes</t>
  </si>
  <si>
    <t>Great place to stsyGreat place to stay for proximity to Waterloo station. Room spotless and 
staff very polite, friendly &amp; helpful. Superior room worth the money with 
lots of nice touches and added extras such as usb charging plugs beside the 
bed, iron &amp; ironing board, hairdryer etcRead moreReview collected in 
partnership with TravelodgeDate of stay: September 2018HelpfulShare</t>
  </si>
  <si>
    <t>Very helpfulStopped here again as I wanted an overnight room after going to the FA cup 
final at Wembley. The greeting was very polite and the chap at reception 
was really helpful. The location for Wembley is great as it's only 4 stops 
on the tube from Kings Cross . Our room was ready and as expected. It's 
budget so you get what you pay for but it's clean and comfortable. I'd 
recommend breakfast with an estimated all you can buffet style which 
actually is pretty good. This is my 3rd stay here for the same type of 
reason and I'd return in the future.Read moreDate of stay: May 
2019HelpfulShare</t>
  </si>
  <si>
    <t>C90Blakey wrote a review May 2019Greater Manchester8 contributions12 
helpful votes</t>
  </si>
  <si>
    <t>https://www.tripadvisor.co.uk/Hotel_Review-g186338-d1812157-Reviews-or800-Travelodge_London_Waterloo_Hotel-London_England.html#REVIEWS</t>
  </si>
  <si>
    <t>Twin RoomStayed for 3 nights on 15/05-19/05. Staff all good, had 1 breakfast which 
was good with a lot of choice, our only minus points were, the rooms do not 
have hair dryers and when we needed one they were non available, and we 
stayed in a twin room ( very nice to have them available ) but the beds 
were very narrowRead moreReview collected in partnership with this 
hotelDate of stay: May 2019HelpfulShareResponse from TravelodgeUK, Molly 
from the Social Media Team at Travelodge London Kings Cross Royal 
ScotResponded 27 May 2019Thank you for your review, We are pleased to hear 
that you found the team to be friendly and you were impressed with the 
variety at breakfast. Being a budget Hotel brand, we believe that we 
provide all the necessary facilities to ensure a comfortable stay, for 
value. We apologise that the hair dryers were in use during your stay. We 
are also sorry if you found the beds to be narrow and apologise for any 
discomfort caused. Once again thank you for your comments, we hope to 
welcome you back to stay with us again in the near future.Read more</t>
  </si>
  <si>
    <t>tonyl2504 wrote a review Oct 2018Gloucester, United Kingdom4 contributions</t>
  </si>
  <si>
    <t>Relax66228551097 wrote a review May 2019Ely, United Kingdom1 contribution</t>
  </si>
  <si>
    <t>Great Hotel, Great LocationThe Hotel is in a great location, is clean and fresh, The room is lovely, 
the bed comfortable and the shower delivers plenty of hot water. The 
facilities are great, staff friendly and the breakfast is tastyRead 
moreReview collected in partnership with TravelodgeDate of stay: September 
2018HelpfulShare</t>
  </si>
  <si>
    <t>Very convenientStaff were very helpful &amp; efficient Thanks. Being so close to Kings Cross 
Station made it really convenient as the starting point for our trip to 
Edinburgh &amp; Highlands . We arrived, left our things and made for a meal &amp; a 
concert before catching the train very early the next day. Perfect.Read 
moreReview collected in partnership with this hotelDate of stay: May 
2019HelpfulShare</t>
  </si>
  <si>
    <t>Rob wrote a review Sep 2018London, United Kingdom7 contributions3 helpful 
votes</t>
  </si>
  <si>
    <t>Great stay in a great locationWe arrived as this hotel was going through some renovations. The staff were 
very apologetic about this, which was very sweet even though the renovation 
work didn't affect our stay. Room was immaculate and very comfortably 
furnished. It was lovely and warm in there and we really appreciated having 
an open-able window to ventilate our room. Room was quiet despite being in 
a central location. Excellent shower and comfortable bed. Lovely staff, 
pleasurable stay - many thanks.Read moreDate of stay: April 20181 Helpful 
voteHelpfulShare</t>
  </si>
  <si>
    <t>https://www.tripadvisor.co.uk/Hotel_Review-g186338-d243667-Reviews-or1115-Travelodge_London_Kings_Cross_Royal_Scot-London_England.html#REVIEWS</t>
  </si>
  <si>
    <t>Steve L wrote a review Sep 2018Tiverton, United Kingdom7 contributions14 
helpful votes</t>
  </si>
  <si>
    <t>Nikki wrote a review May 20191 contribution</t>
  </si>
  <si>
    <t>Does what it says on the tin!!Highly recommend this hotel - it purely and simply ticks all the boxes. 
Parking is a ten-minute walk at APCOA but it is secure and reasonable for 
central London. Excellent for the station and taxis. Staff are extremely 
friendly and accommodating!Read moreReview collected in partnership with 
TravelodgeDate of stay: September 2018HelpfulShare</t>
  </si>
  <si>
    <t>Friendly staff, clean hoel ideal locationI frequently stay here for work, as the location is excellent, it is a 
budget hotel but the staff make all the difference, Bella &amp; Remy both make 
the effort to welcome me back and are really friendly.Read moreDate of 
stay: May 2019HelpfulShare</t>
  </si>
  <si>
    <t>karenway64 wrote a review Sep 2018Hinckley, United Kingdom328 
contributions24 helpful votes</t>
  </si>
  <si>
    <t>SuffolkEmma wrote a review May 2019Lincoln, United Kingdom29 
contributions19 helpful votes</t>
  </si>
  <si>
    <t>Base for London tripWe use this travel Lodge as a base for regular work trips to London. 
Excellent central location a short walk from Waterloo Station. This travel 
lodge is refurbished, clean and provides all the basics. Breakfast is an 
all you can eat buffet for £8 which is good value, offering good food that 
fills you up for the day. The staff are really friendly and helpful 
especially at reception and the restaurant manager.Read moreDate of stay: 
September 2018HelpfulShare</t>
  </si>
  <si>
    <t>OK for one night but could be improvedMy partner and I stayed here for one night for a short get away. The hotel 
is a short 5minute walk from King's Cross and there are plenty of shops and 
food shops nearby which was good for us as we didn't pay for breakfast. 
Check in was extremely slow however the staff were friendly and apologised. 
Our room was to be expected for a Travelodge (especially not a refurbished 
one.) The room could have done with a plaster and paint job and the 
bathroom looked outdated and grubby. The main downside was there were no 
plug sockets near the bed and the windows let in a lot of noise. I would 
stay here again if it was cheaper than other options as its in a good 
location but it could do with an update.Read moreDate of stay: May 
2019HelpfulShareResponse from TravelodgeUK, Shaf from the Social Media 
Team. at Travelodge London Kings Cross Royal ScotResponded 23 May 2019Thank 
you for reviewing our London Kings Cross Royal Scot Travelodge. We're 
really sorry to learn the check in was slow and there were not plug sockets 
next to the bed. Travelodge do have a number of our newer hotels that have 
plug sockets next to the bed, however some of our older locations may not 
have this due to the age of the hotel and the specific building 
requirements. We are always reviewing our hotels for refurbishments and we 
will ensure to pass your comments on to the relevant department.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</si>
  <si>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https://www.tripadvisor.co.uk/Hotel_Review-g186338-d1812157-Reviews-or805-Travelodge_London_Waterloo_Hotel-London_England.html#REVIEWS</t>
  </si>
  <si>
    <t>muhammad7832016 wrote a review Sep 2018Bolton, United Kingdom118 
contributions23 helpful votes</t>
  </si>
  <si>
    <t>Companion22017690945 wrote a review May 20191 contribution</t>
  </si>
  <si>
    <t>Don't take a room near the liftsHotel was ok but if you are given a room near the lifts - ask for a 
different one or you will be kept awake all night. Staff were extremely 
friendly and very helpful. Room was a little small and needed a bit of an 
upgrade.Read moreReview collected in partnership with TravelodgeDate of 
stay: May 2019HelpfulShareResponse from TravelodgeUK, Shaf from the Social 
Media Team. at Travelodge London Kings Cross Royal ScotResponded 23 May 
2019Thank you for reviewing our London Kings Cross Royal Scot Travelodge. 
We're really pleased to hear the hotel team were very friendly and helpful. 
We do apologise if the internal noise affected your stay with us. Feedback 
is invaluable and our Hotel Managers regularly review their TripAdvisor 
reviews in order to fix any issues raised and pass on feedback to their 
team. Thank you once again and we do hope you will stay with us in the 
future.Read more</t>
  </si>
  <si>
    <t>Bill Stitcher wrote a review May 2019Felton, United Kingdom3 contributions2 
helpful votes</t>
  </si>
  <si>
    <t>Royal Scot LodgeAdequate, but long queue at check in - would have thought more than one 
staff would have been on duty at 'opening time' (3pm). Room small but 
quiet; bathroom tiny and in need of upgrade. Why is it that Travelodge 
bathrooms seem to have poor vents with no extractor fan? Like being in a 
sauna - you sweat so much after a short shower it undermines the point of 
having one! Breakfast good, though staff needed to be quicker replacing 
items which had run out.Read moreReview collected in partnership with this 
hotelDate of stay: May 20191 Helpful voteHelpfulShareResponse from 
TravelodgeUK, Shaf from the Social Media Team. at Travelodge London Kings 
Cross Royal ScotResponded 23 May 2019Thank you for reviewing our London 
Kings Cross Royal Scot Travelodge. We're really sorry to learn of your 
disappointment regarding the extractor fans within our bathrooms. Feedback 
is invaluable and our Hotel Managers regularly review their TripAdvisor 
reviews in order to fix any issues raised and pass on feedback to their 
team. Thank you once again and we do hope you will stay with us in the 
future.Read more</t>
  </si>
  <si>
    <t>Very CleanStayed 1 night for work. Location is good as not far from the Tube. Front 
desk were nice and asked for a quiet room. The room was very nice and 
clean. Carpet is very nice with a nice big bed. Shower would be slightly 
small for a big person but the bathroom is nice and clean. Breakfast was 
nice with a decent variety, but it is quiet a expensive hotel Overall its 
good but expensive.Read moreDate of stay: September 2018HelpfulShare</t>
  </si>
  <si>
    <t>https://www.tripadvisor.co.uk/Hotel_Review-g186338-d243667-Reviews-or1120-Travelodge_London_Kings_Cross_Royal_Scot-London_England.html#REVIEWS</t>
  </si>
  <si>
    <t>Cruiser819927 wrote a review Sep 20183 contributions2 helpful votes</t>
  </si>
  <si>
    <t>Not a nice area to stay (too dirty), overpriced simply because its call 
Travelodge plus?2.5 star as it said, but for the 4th and 5th day, they are charging a price 
very close to 5 star hotel nearby. So I decide to paid 10% more and stay in 
a 5 star, river view, Executive room (not just studip or double room) with 
500sq ft! I just found that is a bargain compare to Travelodge, which 
should be a low price stay with nothing but the basic. For the room, small 
TV, no sports channels, basically it does not come with anything in your 
room, not even a fridge. The only good thing is, its clean.Read moreDate of 
stay: September 2018HelpfulShare</t>
  </si>
  <si>
    <t>Odyssey12932191768 wrote a review May 20191 contribution</t>
  </si>
  <si>
    <t>London birthday celebrationGenerally v good accommodation, food very poor, , microwaved, our two 
meals, undercooked(cold in centre), and second meal overcooked and unable 
to consume, staff offered a replacement meal, free drink, or free dessert, 
unfortunately we had to leave as our train was due .Read moreReview 
collected in partnership with TravelodgeDate of stay: May 
2019HelpfulShareResponse from TravelodgeUK, Ben from the Social Media Team 
at Travelodge London Kings Cross Royal ScotResponded 22 May 2019Thank you 
for taking the time to share your experience of your stay at our London 
Kings Cross Royal Scot Travelodge with us. We're pleased to hear that you 
liked the accommodation however we are sorry to learn of your 
disappointment with the food provided in the bar cafe. We appreciate all 
the feedback we receive and our Hotel Managers regularly review their 
TripAdvisor reviews in order to fix any issues raised and pass on feedback 
to their team. Thank you once again and we do hope you will stay with us in 
the future.Read more</t>
  </si>
  <si>
    <t>Martin C wrote a review Sep 2018Glasgow7 contributions15 helpful votes</t>
  </si>
  <si>
    <t>Azzy2019 wrote a review May 2019Bristol, United Kingdom70 contributions7 
helpful votes</t>
  </si>
  <si>
    <t>Great value for Central LondonGreat value for Central London if you are on the move and only need a room 
to sleep and shower in. Staff very attentive and polite. Nothing too much 
trouble for Marcio behind the Bar. I booked late so could not get a larger 
room. The room we had was fine but you would not really want to spend any 
time lounging in it.Read moreReview collected in partnership with 
TravelodgeDate of stay: September 2018HelpfulShare</t>
  </si>
  <si>
    <t>Reasonable but won’t stay againReasonable stay at Travel Lodge: At check in I was handed my room card and 
told what level my room was on and no other information was given. So I had 
to ask about breakfast etc. My room was okay, the bathroom was a bit tired 
and very basic. The shower curtain rail was rusty. The shower head was 
smell, but taking a shower felt like stand in a wind tunnel. Really! There 
was only a tiny shelf and no plug socket close to the bed. The view from my 
room window was of a car park but that can’t be helped. Overall it was okay 
for the price, but I feel you get a better quality service and room for 
same price range at the Premier Inn.Read moreDate of stay: May 
2019HelpfulShareResponse from TravelodgeUK, Ben from the Social Media Team 
at Travelodge London Kings Cross Royal ScotResponded 22 May 2019Thank you 
for taking the time to write a review about our London Kings Cross Royal 
Scot hotel. We are pleased to hear that you liked the price of the hotel 
however are sorry to learn of your disappointment with the room you were 
provided during your stay and the information given on check in.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</si>
  <si>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https://www.tripadvisor.co.uk/Hotel_Review-g186338-d1812157-Reviews-or810-Travelodge_London_Waterloo_Hotel-London_England.html#REVIEWS</t>
  </si>
  <si>
    <t>janetbriggs2 wrote a review May 2019Middlesbrough, United Kingdom3 
contributions2 helpful votes</t>
  </si>
  <si>
    <t>GRAZIANA M wrote a review Sep 20185 contributions2 helpful votes</t>
  </si>
  <si>
    <t>Well placed hotel for Kings CrossWe were looking for a hotel on return from Paris from St Pancras visiting 
for one night before leaving Kings Cross the following day - this met all 
our needs on location/family room and price. Will be visiting again.Read 
moreReview collected in partnership with TravelodgeDate of stay: May 
2019HelpfulShare</t>
  </si>
  <si>
    <t>Very comfortable roomRoom was really good . The bed was very comfortable. Clean everyday. 
Location is superb. Nice short walking from Westminster and west end. Staff 
was nice and respectful. Good restaurants nearby. Very close to tube 
station and train. I will book it again when I will travel to London.Read 
moreReview collected in partnership with TravelodgeDate of stay: September 
20181 Helpful voteHelpfulShare</t>
  </si>
  <si>
    <t>G R wrote a review Sep 2018London, United Kingdom10 contributions</t>
  </si>
  <si>
    <t>5/5 GREAT STAYas soon as I walked in the young gentleman was very polite and welcoming 
and full of conversation which i thought was great. Ministry was down the 
road and it was a bank holiday so there was quite a few of us, but the 
hotel itself was fabulous it had everything we needed to even a iron board. 
When we came back there was no noise or anything.Only let down is the lifts 
they just take tooooo long.Read moreDate of stay: August 2018HelpfulShare</t>
  </si>
  <si>
    <t>https://www.tripadvisor.co.uk/Hotel_Review-g186338-d243667-Reviews-or1125-Travelodge_London_Kings_Cross_Royal_Scot-London_England.html#REVIEWS</t>
  </si>
  <si>
    <t>dogmaticdrongo wrote a review Sep 2018Marazion, United Kingdom114 
contributions23 helpful votes</t>
  </si>
  <si>
    <t>Everything I neededStayed here on a business trip and I found I had everything I needed. The 
staff were friendly and polite and the hotel was presented in a clean and 
well looked after manner. I really could not fault my stay.Read moreDate of 
stay: September 2018HelpfulShare</t>
  </si>
  <si>
    <t>Anya S wrote a review May 20191 contribution</t>
  </si>
  <si>
    <t>Great time!Had a lovely time talking with Connah, phenomenal at his job :) the 
accommodations were satisfactory and the breakfast was delicious. I have 
generally had a wonderful stay and would consider coming again!Read 
moreDate of stay: May 2019HelpfulShare</t>
  </si>
  <si>
    <t>MLC63 wrote a review May 2019Long Beach, California2 contributions1 helpful 
vote</t>
  </si>
  <si>
    <t>420ruth wrote a review Sep 2018London, United Kingdom3 contributions</t>
  </si>
  <si>
    <t>Fabulous stayFantastic staff, clean and tidy hotel. The bar staff were especially 
helpful giving advice on the drinks we ordered and what would go with our 
meal. Great nights sleep. I would stay here again without hesitation. The 
food was great too.Read moreReview collected in partnership with 
TravelodgeDate of stay: September 2018HelpfulShare</t>
  </si>
  <si>
    <t>Over priced hostelSparce rooms with little to no amenities. No phones, no hand towels or wash 
clothes, no exhaust fan in small bathroom, construction noise all day from 
inside hotel. If you like bad rooms with a decent breakfast, this is you 
place. Checked out 5 days early and a week later still waiting for my 
refund,not good.Read moreReview collected in partnership with 
TravelodgeDate of stay: May 2019HelpfulShareResponse from TravelodgeUK, 
Niki from The Social Media Team at Travelodge London Kings Cross Royal 
ScotResponded 21 May 2019Thank you for your feedback. We feel we provide 
all that is needed for a comfortable stay. We do not provide extras which 
other hotels may provide so we can keep our room rates low, however we 
understand your frustrations. Please can we ask that you contact our 
Customer Services team via the link provided so they can check your refund 
for the nights you did not stay. 
https://travelodgesdo.force.com/support/s/contact-us. We are sorry again to 
learn of your disappointment and we will be sure to pass your feedback 
on.Read more</t>
  </si>
  <si>
    <t>Jill M wrote a review May 2019Scarborough, United Kingdom86 contributions25 
helpful votes</t>
  </si>
  <si>
    <t>https://www.tripadvisor.co.uk/Hotel_Review-g186338-d1812157-Reviews-or815-Travelodge_London_Waterloo_Hotel-London_England.html#REVIEWS</t>
  </si>
  <si>
    <t>Very impressedWe stayed here one night on the way to catching the Eurostar to Paris the 
next morning. On checking in we were greeted by Nick who was very friendly, 
he asked if we were heading off anywhere nice the next day - We said yes 
Paris for our honeymoon. He then proceeded to get his a bottle of Prosecco 
as a congratulations, it was a lovely surprise and much appreciated. The 
room was clean and tidy, shower was very good. If we had one faultit would 
be that there had been a water leak at some point and there was a large 
patch of damage on the ceiling.. a little thing I know but would look 
better decorated. Overall a good stay.Read moreDate of stay: May 
2019HelpfulShare</t>
  </si>
  <si>
    <t>Mark H wrote a review Sep 2018Huntsville, Alabama131 contributions51 
helpful votes</t>
  </si>
  <si>
    <t>Vacation45084705766 wrote a review May 2019Lincoln, United Kingdom1 
contribution</t>
  </si>
  <si>
    <t>A nice changeWe usually stay in the Victoria area when visiting London. We looked for 
locations near Waterloo station this time and found the Travelodge. We got 
a great rate and it is only a 5 minute walk to the station. There are 
restaurants nearby including several affordable places in Waterloo Station. 
The rooms were spartan compared to US hotels, but they were clean, 
efficient and comfortable. The staff, especially Aimee were friendly and 
helpful. We arrived before check in, so Aimee stored our luggage for us 
while we went sight-seeing. The add-on breakfast is a pretty good deal, but 
the staff had trouble one morning keeping up with the number of guests. The 
self serve coffee machine is too slow, with long lines and the hot bar was 
not well stocked, although the staff was trying…Read moreDate of stay: 
September 20181 Helpful voteHelpfulShare</t>
  </si>
  <si>
    <t>Ok stay. Rooms getting tired and run down now.Location is short walk from king's cross station. Rooms are getting a bit 
tired and run down now and are in need of a makeover. I would stay again if 
staying in the area but would look to see if other hotels were 
competatively priced before booking. I thought the bed was hard but partner 
was comfortable with this. Reception is 24 hours. Room was clean and all 
the basics met. Perfect if getting a cheap room.Read moreReview collected 
in partnership with TravelodgeDate of stay: May 2019HelpfulShareResponse 
from TravelodgeUK, James from the Social Media Team at Travelodge London 
Kings Cross Royal ScotResponded 23 May 2019Thank you for reviewing our 
Travelodge London Kings Cross Royal Scot Hotel. We're happy to hear you 
were pleased with the location of the hotel during this stay with us as 
well as the cleanliness of your room but were are sorry to hear you weren't 
pleased with the wear and tear of the hotel. Please be aware all of our 
hotels are in the process of being refurbished so rest assured this is in 
the process of being resolved. Please rest assured the hotel managers check 
Tripadvisor reviews of their hotels so your comments will be reviewed by 
the hotel's team. Thank you again for leaving this review and we do hope 
that you choose to stay with us again in the future.Read more</t>
  </si>
  <si>
    <t>201raymondw wrote a review Sep 2018Swansea, United Kingdom9 contributions2 
helpful votes</t>
  </si>
  <si>
    <t>https://www.tripadvisor.co.uk/Hotel_Review-g186338-d243667-Reviews-or1130-Travelodge_London_Kings_Cross_Royal_Scot-London_England.html#REVIEWS</t>
  </si>
  <si>
    <t>Ray L wrote a review May 2019Failsworth, United Kingdom134 contributions38 
helpful votes</t>
  </si>
  <si>
    <t>Good value , convenient location.We stayed here for a long weekend. Excellent value when you consider prices 
in many hotels.Have stayed in many travellodges but found this one the 
best. Same type of accommodation, small ensuite , but seemed more bedroom 
space. This hotel has had a recent update, and it showed. The breakfast was 
very good with excellent choices, the dining area much better not so 
“canteen like” as in many lodges. Very clean , and the staff friendly.The 
location is very good , just a short walk to Waterloo Bridge with the South 
bank on the right with the many attractions , Eye , Dungeon etc. Cross the 
bridge and you are in Covent Garden and theatre land. Am travelling to 
London in December and will definitely stay here again.Read moreReview 
collected in partnership with this hotelDate of stay: September 20181 
Helpful voteHelpfulShare</t>
  </si>
  <si>
    <t>434annamarieh wrote a review Sep 20182 contributions2 helpful votes</t>
  </si>
  <si>
    <t>Excellent location for South Bank and Central LondonA fresh look Travelodge, bigger than usual room very comfy bed and 
pillows.only grumble was a broken lift, slowed everything down as reduced 
to one lift for a big hotel. a minor complaint I would say on an otherwise 
excellent budget priced hotel.Read moreReview collected in partnership with 
TravelodgeDate of stay: September 20181 Helpful voteHelpfulShare</t>
  </si>
  <si>
    <t>Fooled by the nameBooked this hotel as opposed to my usual choice of Premier Inn when paying 
a flying visit to London, I was as stated in the title, fooled by a name 
(The Royal Scot) I foolishly assumed that a hotel with the word Royal in 
would be a step above other Travelodge hotels. The Bad... Arrived early as 
we were heading to Wembley, when I say early, I am not talking 10.00 am (a 
time that we have previously arrived at Premier Inns and been able to check 
in), no, we arrived around 13.00 approximately 2 hours before the allocated 
check in time. We were advised that our room was ready, great I thought, 
bot no, if we wanted to go to our room we would have to pay a further £10 
on top of the £150 that we had already paid, this is my opinion is 
ludicrous and extremely poor, had we paid say £50…Read moreDate of stay: 
May 2019HelpfulShareResponse from TravelodgeUK, James from the Social Media 
Team at Travelodge London Kings Cross Royal ScotResponded 23 May 2019Thank 
you for reviewing our Travelodge London Kings Cross Royal Scot Hotel. We're 
sorry to hear that you weren't pleased with the £10.00 early check in 
policy. The reason we charge for this is because the rooms are made up for 
3PM so if anyone requires a room earlier than this there is limited 
availability. We're also sorry to hear that you weren't happy with the size 
of your room during the stay as well as it's location. We are, however. 
happy to hear you were pleased with the service from the hotel's team 
during this stay and with the comfort of your room.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</si>
  <si>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Kelvin M wrote a review May 2019Bridge of Allan, United Kingdom2 
contributions</t>
  </si>
  <si>
    <t>https://www.tripadvisor.co.uk/Hotel_Review-g186338-d1812157-Reviews-or820-Travelodge_London_Waterloo_Hotel-London_England.html#REVIEWS</t>
  </si>
  <si>
    <t>Convenient, reasonably priced, cleanThe rooms were quite Clean , the staff were friendly, convenient location, 
proximate to the rail station and the prices were also reasonable The 
breakfast menu is also quite lovely. Had a nice stay thereRead moreDate of 
stay: May 2019HelpfulShare</t>
  </si>
  <si>
    <t>Mo C wrote a review Sep 2018Bristol, United Kingdom105 contributions6 
helpful votes</t>
  </si>
  <si>
    <t>Reasonable, clean and comfyI stayed here for a few days while on business in London. It was clean and 
comfortable with friendly staff and good central location easily accessible 
to public transport and underground. Breakfast was good. I had my dinner 
there once and that was the only downside as it took unusually long to be 
served considering it was not busy. There is no free WiFi so if you need 
WiFi during your stay then you need to take that cost into consideration. I 
would recommend this place if you're looking for a practical and comfy 
budget place in London.Read moreDate of stay: September 20181 Helpful 
voteHelpfulShare</t>
  </si>
  <si>
    <t>ukingalong wrote a review May 2019Birmingham, United Kingdom29 
contributions24 helpful votes</t>
  </si>
  <si>
    <t>Convenient location. Friendly staff.Close to and walkable from King’s Cross station. Food at breakfast OK but 
not the best we’ve ever had at a Travel Lodge. There is a bar! Always a 
plus but not guaranteed at all Travel Lodges. Staff as friendly and helpful 
as always.Read moreReview collected in partnership with this hotelDate of 
stay: May 2019HelpfulShare</t>
  </si>
  <si>
    <t>Terry0866 wrote a review Sep 201810 contributions1 helpful vote</t>
  </si>
  <si>
    <t>paulmM5234TG wrote a review May 2019Guisborough, United Kingdom4 
contributions1 helpful vote</t>
  </si>
  <si>
    <t>Budget no frills good hotelI suppose for the price we paid it’s a good option with great breakfast. 
It’s centrally located with Waterloo station being v close, hence a lot of 
options exploring London via tube &amp; train. Best what my son proposed was to 
buy a weekly/7 day zone 1&amp;2 travel pass on oyster card which gave us 
unlimited options if travelling on bus &amp; tube within central London.anyways 
good Hotel however do not expect much luxury or fancy stuff except it’s one 
of the very few AC travelodges in UKRead moreDate of stay: August 20181 
Helpful voteHelpfulShare</t>
  </si>
  <si>
    <t>Trip to London for Rugbywe Stayed in the hotel for a visit to london to watch the Rugby at 
Twickenham, the location was ideal and hotel was value for money. The Bed 
rooms were good but the bathrooms could do with updating although the 
shower was great.Read moreDate of stay: May 2019HelpfulShare</t>
  </si>
  <si>
    <t>juliepp2016 wrote a review Sep 2018Portsmouth, United Kingdom4 
contributions1 helpful vote</t>
  </si>
  <si>
    <t>Great LoctionGreat hotel. I always book this hotel when I stay in London fro concerts. 
Only a few minutes walk from Waterloo Station and in a quiet location. This 
hotel has recently been updated and looks great. Very friendly staff and 
clean rooms.Read moreReview collected in partnership with this hotelDate of 
stay: August 20181 Helpful voteHelpfulShare</t>
  </si>
  <si>
    <t>https://www.tripadvisor.co.uk/Hotel_Review-g186338-d243667-Reviews-or1135-Travelodge_London_Kings_Cross_Royal_Scot-London_England.html#REVIEWS</t>
  </si>
  <si>
    <t>Rainforests &amp; Rollercoasters wrote a review Sep 2018london - uk1,311 
contributions63 helpful votes</t>
  </si>
  <si>
    <t>John M wrote a review May 2019Newcastle upon Tyne, United Kingdom9 
contributions5 helpful votes</t>
  </si>
  <si>
    <t>Great value for money in central location - new rooms are goodWe were going out for the night in London so booked this as a stopover. We 
had one of the newer premier rooms and it was large, comfortable, clean and 
we were very pleased with it. We tried out the bar/restaurant and whilst it 
filled a hole I wouldn't eat there again. The burgers were not great but 
chips were fine. Good value happy hour drinks before going out!Read 
moreDate of stay: August 2018HelpfulShare</t>
  </si>
  <si>
    <t>It is what the tin saysThis is a cheap and basic hotel near Kings Cross station (5 mins walk). The 
room is small but clean and well sound insulated; it is accessed via a very 
dull and dark catacombs of a corridor The bed is comfy, and the bathroom is 
functional with an excellent shower (despite its annoyingly light and 
flimsy shower-curtain that was constantly sucked onto your body by the 
water stream (the shower was fitted to a bath but no plug was 
supplied).Read moreReview collected in partnership with this hotelDate of 
stay: May 2019HelpfulShare</t>
  </si>
  <si>
    <t>https://www.tripadvisor.co.uk/Hotel_Review-g186338-d1812157-Reviews-or825-Travelodge_London_Waterloo_Hotel-London_England.html#REVIEWS</t>
  </si>
  <si>
    <t>Jane B wrote a review May 20192 contributions</t>
  </si>
  <si>
    <t>Always reliableFrom checking in to checking out. Breakfast excellent. Room clean. Beds a 
little lumpy and not very big as we opted for twin room. Shower rail was 
rusry. Everything esle was typical standard. Staff professional and very 
friendlyRead moreReview collected in partnership with this hotelDate of 
stay: May 2019HelpfulShare</t>
  </si>
  <si>
    <t>adam1506 wrote a review Sep 2018Norwich, United Kingdom50 contributions16 
helpful votes</t>
  </si>
  <si>
    <t>https://www.tripadvisor.co.uk/Hotel_Review-g186338-d1812157-Reviews-or560</t>
  </si>
  <si>
    <t>Brenda E wrote a review May 20193 contributions4 helpful votes</t>
  </si>
  <si>
    <t>Very averageI only stayed here for one night thankfully, when going to my room one of 
the 2 lifts wasn’t working making this a slow process, then when getting 
into the room I had no soap and it wasn’t particularly clean, pretty dusty 
the breakfast is also terrible wouldn’t advise spending the £9. The hotel 
is in a good location and the staff were quite friendly, not in a hurry to 
return.Read moreDate of stay: September 2018HelpfulShareResponse from 
TravelodgeUK, Shaf from the Social Media Team. at Travelodge London 
Waterloo HotelResponded 13 Sep 2018Thank you for reviewing our London 
Waterloo Travelodge. We're pleased to hear you found our hotel team to be 
friendly and sorry to learn of your disappointment with the breakfast. We 
do apologise the 2 lifts were not working and your soap dispenser was empty 
on this occasion. Feedback is invaluable and our Hotel Managers regularly 
review their TripAdvisor reviews in order to fix any issues raised and pass 
on feedback to their team. Thank you once again and we do hope you will 
stay with us in the future.Read more</t>
  </si>
  <si>
    <t>Needs good refurbishmentIt’s very tired not the cleanest although staff very nice and breakfast 
very good apart from no eggs either fried or poached only scrambled. Stayed 
on 2 separate occasions on both occasions bed linen wasn’t clean. Also 
toilet not flushing properly.Read moreReview collected in partnership with 
this hotelDate of stay: May 2019HelpfulShareResponse from TravelodgeUK, 
Niki from The Social Media Team at Travelodge London Kings Cross Royal 
ScotResponded 19 May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</si>
  <si>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Crt187 wrote a review Sep 2018Sheffield, United Kingdom55 contributions17 
helpful votes</t>
  </si>
  <si>
    <t>Pleasant stay.Nice hotel, with good offers on dining in. Room includes all basics e.g 
tea/coffee making facilities, iron etc. This hotel is in a good location 
only a few minutes walk from the underground. Reception staff polite, 
professional, friendly and eager to please. Ibrahim on reception was very 
engaging and considerate.Read moreDate of stay: September 2018HelpfulShare</t>
  </si>
  <si>
    <t>https://www.tripadvisor.co.uk/Hotel_Review-g186338-d243667-Reviews-or1140-Travelodge_London_Kings_Cross_Royal_Scot-London_England.html#REVIEWS</t>
  </si>
  <si>
    <t>trevorandbrenda wrote a review Sep 2018Kidderminster, United Kingdom15 
contributions16 helpful votes</t>
  </si>
  <si>
    <t>Navigate30572085827 wrote a review May 20191 contribution</t>
  </si>
  <si>
    <t>Not as good as previous visitsOn arrival we were given the door card of a room that was already occupied. 
The breakfasts were not as well cooked as previous visits. Had to wait for 
sausages to be cooked. Not enough towels in room for a couple.Read 
moreReview collected in partnership with TravelodgeDate of stay: September 
2018HelpfulShareResponse from TravelodgeUK, Shaf from the Social Media 
Team. at Travelodge London Waterloo HotelResponded 13 Sep 2018Thank you for 
reviewing our London Waterloo Travelodge. We're really sorry to learn you 
were provided with a occupied room and that your were unhappy with the 
breakfast on this occasion. Feedback is invaluable and our Hotel Managers 
regularly review their TripAdvisor reviews in order to fix any issues 
raised and pass on feedback to their team. Thank you once again and we do 
hope you will stay with us in the future.Read more</t>
  </si>
  <si>
    <t>Thank you.No surprises from my Travel Lodge stay. Basic facilities but it’s just what 
I needed. Curtains needed fixing and I couldn’t work the shower but it was 
all clean. So grateful for Martin and all the lovely friendly staff around 
the reception and bar. This was important as it was my first trip to London 
alone. It was also nice and quiet at night. I’d stay again. Thanks!Read 
moreReview collected in partnership with this hotelDate of stay: May 
2019HelpfulShare</t>
  </si>
  <si>
    <t>J L wrote a review May 2019Tavistock, United Kingdom362 contributions137 
helpful votes</t>
  </si>
  <si>
    <t>https://www.tripadvisor.co.uk/Hotel_Review-g186338-d1812157-Reviews-or830-Travelodge_London_Waterloo_Hotel-London_England.html#REVIEWS</t>
  </si>
  <si>
    <t>Budget hotel, definitely no frillsThe hotel is a 5 minute walk from Kings Cross station and check in was 
quick. The hotel was a bit of a maze. I had a twin room with very narrow 
beds and a tatty room. The windows wouldn’t shut properly letting in street 
noise. Water from taps came out dirty brown colour. Room wasn’t cleaned 
every day. Breakfast was satisfactory. The down sides of hotel were offset 
by competitive pricing.Read moreDate of stay: May 20191 Helpful 
voteHelpfulShareResponse from TravelodgeUK, Niki from The Social Media Team 
at Travelodge London Kings Cross Royal ScotResponded 19 May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</si>
  <si>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Matthew M wrote a review Sep 2018Ipswich3 contributions3 helpful votes</t>
  </si>
  <si>
    <t>Roving45779842593 wrote a review May 2019Peterborough, United Kingdom1 
contribution</t>
  </si>
  <si>
    <t>Another very good stayWe recently visited this hotel for the fourth time and once again it did 
not let us down. For people who have not visited before - it is around 5 
minutes from Waterloo train and underground station so there is good travel 
options close to the hotel. Over the Hungerford bridge and about 15 minutes 
from the hotel you have Embankment tube station which gives you another 
option. The hotel itself is really good too. All areas I have seen appear 
clean and fairly modern. The bar area is nice and modern and all the staff 
we have come across have been friendly and helpful. The rooms themselves 
are good too. The bed is comfortable, it had air con in the room we were in 
now and it wasn’t noisy at all. All in all another excellent visit and we 
will be back I’m sure in the future as our…Read moreDate of stay: September 
2018HelpfulShare</t>
  </si>
  <si>
    <t>PoorThis hotel will likely not provide good value for money or a pleasant stay. 
Used for a business trip with colleagues. I seemed to be the lucky one as 
although my room was not somewhere I would want to spend long in at least 
it didn't smell and I did have running water!Read moreReview collected in 
partnership with TravelodgeDate of stay: May 2019HelpfulShareResponse from 
TravelodgeUK, Molly from the Social Media Team at Travelodge London Kings 
Cross Royal ScotResponded 19 May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</si>
  <si>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Seaside49327437264 wrote a review May 20191 contribution</t>
  </si>
  <si>
    <t>Garry M wrote a review Sep 2018Birmingham, United Kingdom172 
contributions80 helpful votes</t>
  </si>
  <si>
    <t>Good staySo walking distance from Waterloo station 68 bus goes past from Euston 
Hotel has visibly been refurbished , we had a standard family room and it 
was fine. Shower gel free and tea &amp; coffee in room plus AC. Family set up 
for three adults is a double and 2 put me up singles but they are 
comfortable. Curtains aren’t as blackout as some hotels . There over 
weekend but no noise. All you can eat breakfast is good quality with brand 
name foods including veggie sausages if you want them and no wait are there 
on the hot plate. Food is fresh well stocked and hot which is an 
achievement and even in busy periods the staff kept very well stocked. 
Pizza 24/7 from reception. All staff very friendly. All in all a very good 
central Travelodge hotel. One moan only one lift working but…Read moreDate 
of stay: September 2018HelpfulShare</t>
  </si>
  <si>
    <t>A good base for exploring LondonRoyal Scot was a good basic base in which to use to access the majority of 
London sights. It's located just round the corner (5 mins safe walk) from 
Kings Cross/St Pancras station and within easy reach from tube stations. 
The hotel itself is very dated and in much need of a revamp but for the 
price it was doable for a few nights, (we stayed for two). The bathroom 
featured an extremely minute bath, but the shower above was powerful and 
warm. The room itself was clean and airy, with double glazing which helped 
at night as we looked over the roundabout ring road. There was a bit of 
traffic noise but there was more noise from the couple next door having a 
row and putting their kettle on! It would have been nice to have more 
electrical points near the bed to charge phones and maybe a…Read moreDate 
of stay: May 2019HelpfulShareResponse from TravelodgeUK, James from the 
Social Media Team at Travelodge London Kings Cross Royal ScotResponded 17 
May 2019Thank you for reviewing our Travelodge London Kings Cross Royal 
Scot Hotel. We're happy to hear you were pleased with the location of the 
hotel during your stay with us and that you r room was clean but we're 
sorry to hear you felt the hotel had some wear and tear. Please rest 
assured the hotel managers check Tripadvisor reviews of their hotels so 
your comments will be reviewed by the hotel's team. Thank you again for 
leaving this review and we do hope that you choose to stay with us again in 
the future.Read more</t>
  </si>
  <si>
    <t>Inspire33927099487 wrote a review May 20191 contribution</t>
  </si>
  <si>
    <t>596mavis wrote a review Sep 2018Bournemouth, United Kingdom8 contributions1 
helpful vote</t>
  </si>
  <si>
    <t>Very old buildingI thought I had booked a relatively nice hotel but when I arrived I was 
surprised by the low quality of the overall look of the room. The most 
annoying thing, besides the fact the furniture was very old, was that there 
are no electricity outlets by the bed so if you need to charge your phone 
and use it at the same time you have to sit at the desk while the phone 
charges. I booked my room with breakfast included for 3 days but only had 
breakfast the first day because it was too greasy for me, There were not 
many options although it was a kind of buffet breakfast. The location is 
good, 5 min walk to King's Cross train station.Read moreReview collected in 
partnership with TravelodgeDate of stay: May 2019HelpfulShareResponse from 
TravelodgeUK, James from the Social Media Team at Travelodge London Kings 
Cross Royal ScotResponded 17 May 2019Thank you for reviewing our Travelodge 
London Kings Cross Royal Scot Hotel. We're sorry to hear you weren't happy 
with the wear and tear of the hotel as well as some of the room's 
facilities during your stay with us. Please rest assured the hotel managers 
check Tripadvisor reviews of their hotels so your comments will be reviewed 
by the hotel's team. Thank you again for leaving this review and we do hope 
that you choose to stay with us again in the future.Read more</t>
  </si>
  <si>
    <t>Comfortable stayThe lodge was close to Waterloo train station and convenient for our stay. 
Our room was at the back of the lodge and so was very quiet. The room was 
very clean and had everything that we needed.The beds were hard but we do 
like soft beds. It was very handy having the restaurant on site for an 
evening meal and the prices were very reasonable-2 courses for £12. The 
food was average and slightly over cooked.It was a buffet breakfast with 
plenty of choice of fruit, cereal, yogurt, cooked, toast, croissant,tea and 
coffee. You could have as much as you liked.Overall it met our needs very 
well for an overnight stay in London tomsee a show. I would use it 
again.Read moreReview collected in partnership with TravelodgeDate of stay: 
August 2018HelpfulShare</t>
  </si>
  <si>
    <t>https://www.tripadvisor.co.uk/Hotel_Review-g186338-d243667-Reviews-or1145-Travelodge_London_Kings_Cross_Royal_Scot-London_England.html#REVIEWS</t>
  </si>
  <si>
    <t>https://www.tripadvisor.co.uk/Hotel_Review-g186338-d1812157-Reviews-or835-Travelodge_London_Waterloo_Hotel-London_England.html#REVIEWS</t>
  </si>
  <si>
    <t>gramz415 wrote a review Sep 2018Oakville, Canada9 contributions7 helpful 
votes</t>
  </si>
  <si>
    <t>Michael wrote a review May 20193 contributions</t>
  </si>
  <si>
    <t>Talk about Home away from Home!This place is ideally located near the Waterloo Underground/Train station. 
They treated me very well. The room was clean, quiet and the lighting was 
adjustable in many locations. Can't say enough about the friendly staff 
either. If I go back to England, I'll stay there again for sure!Read 
moreDate of stay: May 2018HelpfulShare</t>
  </si>
  <si>
    <t>Poor welcome and wifi rip offI found my welcome at this property very unwelcoming. However, my biggest 
gripe is that the paid for wifi is a rip off, It took an hour just to logon 
to the service, and then for the majority of the time the signal was too 
weak, or non existent. It crashed 99% of the time.Read moreReview collected 
in partnership with ASUS 12 W8 IE BookmarkDate of stay: May 
2019HelpfulShareResponse from TravelodgeUK, James from the Social Media 
Team at Travelodge London Kings Cross Royal ScotResponded 16 May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</si>
  <si>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angela k wrote a review May 2019Oklahoma City, Oklahoma8 contributions6 
helpful votes</t>
  </si>
  <si>
    <t>You get more than you pay for!Excellent location downtown (walk to the tube), Very quiet rooms, and 
fabulous breakfast! We had a family room and a queen room for 2. Both rooms 
were very clean and quiet. No problems whatsoever! I would definitely stay 
here again!Read moreReview collected in partnership with this hotelDate of 
stay: May 2019HelpfulShare</t>
  </si>
  <si>
    <t>Herps wrote a review Sep 2018Birmingham, United Kingdom458 contributions96 
helpful votes</t>
  </si>
  <si>
    <t>Good Stay, Good Breakfast, Good AllrounderA good base for a short stay in London. Clean and well kept, the room was 
fresh and tidy and the breakfast was nice. A cheap traditional travel Lodge 
so can't knock it for the price in a great location, close to waterloo and 
elephant and castle.Read moreDate of stay: August 2018HelpfulShare</t>
  </si>
  <si>
    <t>Wanderer42050769993 wrote a review May 20191 contribution</t>
  </si>
  <si>
    <t>mcuktravel wrote a review Sep 2018Wembury, United Kingdom77 contributions33 
helpful votes</t>
  </si>
  <si>
    <t>Great value for the priceWe were kind of worried after reading some reviews but the hotel was very 
pleasant, clean, although it looked a little "tired". Great location, 
friendly staff and very comfy bed. And nice view of King´s cross station 
(6th floor). We were very satisfied with our babymoon weekend here :)Read 
moreDate of stay: May 2019HelpfulShare</t>
  </si>
  <si>
    <t>Perfect city break hotelStayed here for one night. Had a small wait in reception to check in but 
this was due to a fault with the machines. We chose the cheapest, most 
basic room and each had a fantastic sleep. Beds were very comfortable. The 
air-conditioning was very effective also. Only complaint was the fact that 
there were no installed hairdryers in the room so you have to notify 
reception. A bit inconvenient. I would recommend this hotel to anyone 
looking for a base on a sightseeing trip to London. The hotel is only a 
small walk from Waterloo station. Tubes are definitely the most effective 
way to travel around. Don't bother with oysters or paper tickets for tubes, 
just use contactless cards. All costs for the day are capped at £6.80, any 
travel beyond that is free. Familiarise yourself with…Read moreDate of 
stay: September 20182 Helpful votesHelpfulShare</t>
  </si>
  <si>
    <t>https://www.tripadvisor.co.uk/Hotel_Review-g186338-d243667-Reviews-or1150-Travelodge_London_Kings_Cross_Royal_Scot-London_England.html#REVIEWS</t>
  </si>
  <si>
    <t>Barry D wrote a review Sep 20187 contributions1 helpful vote</t>
  </si>
  <si>
    <t>GoPlaces58024335228 wrote a review May 20191 contribution</t>
  </si>
  <si>
    <t>Poor experienceI had a horrible experience when staying at this hotel. Poor customer 
service, no shower gel, no keeping luggage on the last day, they actually 
lied as other guest did leave their luggage, noisy in the mornings, drunk 
people everywhere.Read moreReview collected in partnership with 
TravelodgeDate of stay: May 2019HelpfulShare</t>
  </si>
  <si>
    <t>Great StayThis was a great hotel. Located just a quick 5 minute walk from Waterloo 
station and nearby shops and not even that far to walk into central London. 
The location was brilliant and the rates very reasonable. Staff were 
incredibly friendly and helpful. Room was spacious and very clean with a 
modern decour. Nice view of The Shard from my room as well. Go for a room 
on a higher floor when they ask you if you have a floor preference. The 
elevators were a little slow sometimes to come up onto the higher floors 
and not all packages include Wifi. I do think that a hotel in the 21st 
century should have free wifi for all guests but other than those little 
things this was a great budget hotel in a great location and I enjoyed my 
stay. Would recommend booking hereRead moreReview collected in partnership 
with TravelodgeDate of stay: August 20181 Helpful voteHelpfulShare</t>
  </si>
  <si>
    <t>Kerry S wrote a review May 2019Ipswich, United Kingdom7 contributions4 
helpful votes</t>
  </si>
  <si>
    <t>Sara B wrote a review Sep 2018Guernsey, United Kingdom65 contributions14 
helpful votes</t>
  </si>
  <si>
    <t>Good location, hotel a bit tiredGreat location for Kings Cross International/Tube stations. As expected 
quite noisy with road noise and other guests about all times of the night. 
But room was a decent size, big bed and had everything you expect from a 
Travelodge room. Hallways/Stairwells/Corridors/Carpets could do with a bit 
of a refresh looking a bit tired but place was clean and tidy.Read 
moreReview collected in partnership with TravelodgeDate of stay: May 
2019HelpfulShare</t>
  </si>
  <si>
    <t>Quick trip to LondonI chose this hotel due to its location close to Waterloo Train station. It 
is very close and easy to find. Clean spacious entrance. Friendly welcome. 
I got a room on the ground floor so did have noise from the street during 
the night but I was not disturbed too much. Clean room, clean basic shower 
room. I would stay again.Read moreDate of stay: September 2018HelpfulShare</t>
  </si>
  <si>
    <t>https://www.tripadvisor.co.uk/Hotel_Review-g186338-d1812157-Reviews-or840-Travelodge_London_Waterloo_Hotel-London_England.html#REVIEWS</t>
  </si>
  <si>
    <t>skellymufc wrote a review Sep 2018Manchester, United Kingdom2 contributions</t>
  </si>
  <si>
    <t>Great location for exploring LondonSituated about a 5 min walk from Waterloo station, this hotel ticks all the 
boxes.Great, friendly staff who are happy to help and clean, welcoming 
rooms. Good breakfast and evening meals, not too expensive for those on 
budget.Read moreReview collected in partnership with this hotelDate of 
stay: August 2018HelpfulShare</t>
  </si>
  <si>
    <t>https://www.tripadvisor.co.uk/Hotel_Review-g186338-d243667-Reviews-or1155-Travelodge_London_Kings_Cross_Royal_Scot-London_England.html#REVIEWS</t>
  </si>
  <si>
    <t>JayBirdUK wrote a review Sep 2018Birmingham, United Kingdom3 contributions</t>
  </si>
  <si>
    <t>Little Gem of a hotelBooked a 2 night stay for husband's birthday. We were wanting to do 
Westminster and this hotel was a decent price and not too far away. Arrived 
just before midday (had booked an early check-in) and the room was ready 
and waiting. We were on the 8th floor and at the farthest end of the 
corridor but never had any issues with the lift. However, there was one 
little conundrum. The lift indicates 8 floors but have a look at the 
building from the outside. Can you spot the 8th floor ? :o) Anyway. The 
room was your standard Travelodge room. No real frills but perfectly clean 
and comfortable. We were not disturbed by any noise (traffic or people) so 
slept well both nights. As always take a couple of extra towels as we 
started with one large and one hand for a couple, then two large…Read 
moreDate of stay: September 2018HelpfulShare</t>
  </si>
  <si>
    <t>Fiona941 wrote a review Sep 2018West Yorkshire72 contributions38 helpful 
votes</t>
  </si>
  <si>
    <t>joandphillip wrote a review May 2019Margate, United Kingdom4 contributions</t>
  </si>
  <si>
    <t>Almost averageI have stayed here a few times for work. It’s OK, but I find it a 
frustrating place, because it could so easily be better. They could provide 
a little more tea/coffee/milk in rooms so that guests don’t have to collect 
them from reception. They could buy a few more hairdryers, and ideally put 
one in each bedroom, because currently you have to ‘book’ one and there are 
not enough to go round. The food could be cooked in smaller batches so it 
didn’t dry out before it was eaten. They could fix the leak in the ceiling 
of the ground floor corridor... But, as I say, it’s ok, and the staff are 
helpful.Read moreDate of stay: June 2018HelpfulShareResponse from 
TravelodgeUK, Molly from the Social Media Team at Travelodge London 
Waterloo HotelResponded 4 Sep 2018Thank you for your review of our London 
Waterloo Hotel. We are pleased to hear that you find the Team to be 
consistently helpful. We are sorry to learn of your disappointment with the 
facilities in the room. Being a budget hotel brand, we believe we provide 
all the necessary facilities to ensure a comfortable stay, for value. 
However, we will certainly take your feedback on board. We are also sorry 
for the leak in the ceiling of the ground floor. Please be assured that 
this has been logged with the maintenance team. Thank you again for your 
valuable comments, and we hope to welcome you back to stay with us again in 
the near future.Read more</t>
  </si>
  <si>
    <t>petethefish wrote a review Sep 2018chepstow5 contributions2 helpful votes</t>
  </si>
  <si>
    <t>OK for 1 nightOK for 1 night, would have breakfast elsewhere,..... Staff were friendly, 
the room was very dated, carpets in a state of being replaced or just a 
good hoover, and in desperate need of being refurbished,Read moreReview 
collected in partnership with TravelodgeDate of stay: May 2019HelpfulShare</t>
  </si>
  <si>
    <t>Star Staff ServiceThe hotel was well appointed and the rooms look recently upgraded. 
Everwhere was clean and bright but the staff attentiveness and service was 
outstanding. They have 10 out of 10 from us on their honest friendliness 
and personable approach, well done Travelodge, but well done to all your 
team from the table clearers in the restaurant, the room cleaners, to the 
friendly barman and check in staff, you were all brilliant.Read moreReview 
collected in partnership with TravelodgeDate of stay: September 
2018HelpfulShare</t>
  </si>
  <si>
    <t>squizz20 wrote a review May 2019Andover, United Kingdom363 contributions157 
helpful votes</t>
  </si>
  <si>
    <t>https://www.tripadvisor.co.uk/Hotel_Review-g186338-d1812157-Reviews-or845-Travelodge_London_Waterloo_Hotel-London_England.html#REVIEWS</t>
  </si>
  <si>
    <t>ratbags27 wrote a review Sep 2018bucks5 contributions</t>
  </si>
  <si>
    <t>good quality travelodge, nice atmposphereshort walk from Angel tube station. Friendly staff throughout, remarkably. 
Cleaning lady was super friendly. Room was ready really early. Breakfast 
manager was very friendly and smiley. Ladies cleaning and tidying at 
breakfast were very hard working and made sure everything kept looking tidy 
even if very busy and lots of youngsters. check out lady was friendly too. 
I liked the atmosphere a lot. Room was comfortable. Noise from the 
corridor, very poor isolation, but luckily no noisy night guests. Windown 
could open which I like. Bed was comfy, everything worked. Was very happy 
and will come back.Read moreReview collected in partnership with 
TravelodgeDate of stay: May 2019HelpfulShare</t>
  </si>
  <si>
    <t>3DDavid wrote a review May 2019Culver City, California28 contributions7 
helpful votes</t>
  </si>
  <si>
    <t>Lovely stayStayed in hotel for 2 nights for my london birthday celebration, friendly 
and helpful staff. Room very clean and modern. Anything we asked for 
(hairdryer, iron) brought straight away. Friendly bar staff. Would highly 
recommend.Read moreDate of stay: September 2018HelpfulShare</t>
  </si>
  <si>
    <t>Not a luxury hotel. Good value for money.We have stayed at this particular Travelodge many times over the years. It 
usually has the best price for a Travelodge near King's Cross. Since this 
was converted from an older hotel (The Royal Scot) the rooms vary quite a 
lot in size, windows, and views. We suggest you ask to see the room 
assigned to you and ask for a change if you are not happy with it. Also, 
there is no air conditioning, so keep this in mind if you are considering 
it in the hottest months. We have always stayed there in May, as we go for 
a convention in the UK almost every May.Read moreReview collected in 
partnership with TravelodgeDate of stay: May 2019HelpfulShare</t>
  </si>
  <si>
    <t>Jessica R wrote a review Aug 2018Hove, East Sussex27 contributions8 helpful 
votes</t>
  </si>
  <si>
    <t>Comfortable overnight stayI had just a one night stay after visit to very nearby National Theatre. 
Reception friendly and efficient. I didn't try bar and restaurant but it 
looked very pleasant. Room was well large enough as was the bathroom. 
Television worked ok and you get a kettle and tea and coffee which is nice. 
Wifi a bit slow but it worked (I didn't use the paid for version which may 
be better of course) I would have given 5 stars but thought £88 slightly on 
the expensive side. On the other hand - it is in central London!Read 
moreReview collected in partnership with TravelodgeDate of stay: August 
2018HelpfulShare</t>
  </si>
  <si>
    <t>165nled wrote a review Aug 2018Manchester, United Kingdom3 contributions3 
helpful votes</t>
  </si>
  <si>
    <t>https://www.tripadvisor.co.uk/Hotel_Review-g186338-d243667-Reviews-or1160-Travelodge_London_Kings_Cross_Royal_Scot-London_England.html#REVIEWS</t>
  </si>
  <si>
    <t>Teela8874 wrote a review May 20199 contributions9 helpful votes</t>
  </si>
  <si>
    <t>Excellent!Have found my new place for business trips! After having a few disastrous 
stays in other places, I have found a little gem, very well priced, 
excellent room, comfy beds(best sleep I have had for ages!), breakfast 
really good, clean and great location to my office in Waterloo! Brilliant 
staff very helpful and happy! My room 117 wasn’t a ‘super’ room but felt 
like one, very modern and clean. Thank you for a wonderful stay Travelodge, 
see you again soon! Stayed in Room 117, 30/8/18Read moreDate of stay: 
August 2018HelpfulShare</t>
  </si>
  <si>
    <t>Julie W wrote a review Aug 2018Southampton, United Kingdom6 contributions1 
helpful vote</t>
  </si>
  <si>
    <t>Stinking roomThe room stank horrendous , the hotel were aware as the cleaner on the 
floor told us it’s been that way for ages yet they still tried to put us in 
knowing this ! We did get eventually moved but only after complaining ! The 
room we moved into was then a toilet that would not flush solids but we 
couldn’t move again as the member of staff I spoke too spoke very poor 
English and struggled understanding me ! I have stayed in travelodges a lot 
but this will dent my faith in there company , the hotel is run down in the 
rooms and very dated ! The bathrooms are of poor quality and seems as you 
pay more to stay in London than anywhere else in the country you should 
have these issues ! I feel robbed I would like a phone call from there 
customer services !Read moreReview collected in partnership with 
TravelodgeDate of stay: May 2019HelpfulShareResponse from TravelodgeUK, 
James from the Social Media Team at Travelodge London Kings Cross Royal 
ScotResponded 10 May 2019Thank you for reviewing our Travelodge London 
Kings Cross Royal Scott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</si>
  <si>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Birthday TripStayed here overnight in one of their Super rooms. Clean room, comfortable 
bed, not overly big but sufficient for our needs. Air con was a welcome 
relief. Very handy for transport links. reasonably priced. Would definately 
recommend.Read moreReview collected in partnership with this hotelDate of 
stay: August 2018HelpfulShare</t>
  </si>
  <si>
    <t>https://www.tripadvisor.co.uk/Hotel_Review-g186338-d1812157-Reviews-or850-Travelodge_London_Waterloo_Hotel-London_England.html#REVIEWS</t>
  </si>
  <si>
    <t>Liz O wrote a review May 2019Horsham, United Kingdom38 contributions13 
helpful votes</t>
  </si>
  <si>
    <t>Llion H wrote a review Aug 2018Llanwnda, United Kingdom1 contribution</t>
  </si>
  <si>
    <t>A bit Faulty Towers, but very friendly and a good locationMy room had not been cleaned when I checked in- However it was made up ASAP 
for me beautifully. Drinks were not as expected- But beautifully resolved. 
Dinner, I think was Ding Chef cooked, but tasty, and bar had no glasses? 
Good value Would I return Oh yes. It was great Thank you.Read moreDate of 
stay: April 2019HelpfulShare</t>
  </si>
  <si>
    <t>Great Stay !Stayed here for 4 nights with my girlfriend and was a brilliant hotel the 
rooms are nice and clean and with air-con included. not far from the London 
eye . The staff are Very kind and helpful would stay here again !!Read 
moreDate of stay: August 2018HelpfulShare</t>
  </si>
  <si>
    <t>TAZZI_G wrote a review May 2019Plymouth, United Kingdom56 contributions34 
helpful votes</t>
  </si>
  <si>
    <t>Prairiegal89 wrote a review Aug 2018St Adolphe, Canada4 contributions2 
helpful votes</t>
  </si>
  <si>
    <t>Great hotel..better staffThis was a great hotel in a great location. The hotel, restaurant and bar 
staff were all amazing.. very helpful and very friendly!! Would highly 
recommend to everyone. Only negatives were no face cloths and the hand soap 
was not refilled after a couple of days.Read moreDate of stay: August 
2018HelpfulShare</t>
  </si>
  <si>
    <t>Noisy throughout night! Not for a relaxing holiday!Stayed here as a bunch of 5 booking 2 rooms. We’re greeted nicely on 
arrival and the couple sharing were on 4th floor in an upgraded room which 
was really nice. Sadly the unlucky 3 were on the same floor as a group of 
roughly 30 teenagers who spent the night in and out of each other’s rooms! 
When I complained In the morning I was told “oh we knew - told them we 
would chuck them out if they didn’t be quiet” Why oh why would you put 3x 
50 something’s on the same floor as the youngsters? I asked if there wasn’t 
a single room empty we could have had. Promised a letter from Head Office 
and a partial refund. Surprise surprise NOTHING! Not even a call. I will 
never ever use this hotel again and use at your own peril! PS the train 
noise on the lower floors is horrendous!Read moreDate of stay: April 
2019HelpfulShareResponse from TravelodgeUK, Ben from the Social Media Team 
at Travelodge London Kings Cross Royal ScotResponded 8 May 2019Thank you 
for your feedback. We are really sorry to hear of your experience. Please 
accept our sincerest apologies and we have passed your comments onto the 
hotel manager. If you have still not received any contact could we kindly 
ask you to contact one of our Customer Services Advisors via our website 
help form with a copy of your review to look into this more thoroughly. 
Thank you again for reviewing our hotel.Read more</t>
  </si>
  <si>
    <t>Sarah wrote a review Aug 2018Liverpool, United Kingdom62 contributions22 
helpful votes</t>
  </si>
  <si>
    <t>Scenic18298799234 wrote a review May 2019Durham, United Kingdom1 
contribution</t>
  </si>
  <si>
    <t>Walk to Big Ben in under 10 minutesOnly stayed 2 nights in this hotel, 5 minute walk from Waterloo Station and 
so easy to walk to Big Ben and the Eye in under 10 minutes. Super easy to 
get to the centre but not at all loud or noisy at night. The staff were all 
very helpful and bubbly especially a young, blonde receptionist who 
patiently listened to a customer blaming travelodge for an error he had 
made. We went for the option that included breakfast which was lovely. They 
offered a selection of cereals, toast and a breakfast buffet with vegan 
sausages and a self serve coffee machine. Really nice breakfast with plenty 
of options. Our room was on the first floor, the hall layout is a little 
bit confusing though. Our room was spacious and hangers, hand soap and 
shower gel were all provided. There was a kettle…Read moreDate of stay: 
August 20181 Helpful voteHelpfulShare</t>
  </si>
  <si>
    <t>Travelodge Royal Scott at Kings CrossExcellent value for money. Clean and well aired. Good size bedroom and 
bathroom, although bath could have been a bit wider. Friendly helpful staff 
and good facilities. Ideal location for transport. Luggage storage after 
checkout a real boom as don t have car. Plenty of food and drink available 
in hotel.Read moreReview collected in partnership with this hotelDate of 
stay: May 2019HelpfulShare</t>
  </si>
  <si>
    <t>Jennifer R wrote a review Aug 2018Harrogate, United Kingdom4 
contributions13 helpful votes</t>
  </si>
  <si>
    <t>https://www.tripadvisor.co.uk/Hotel_Review-g186338-d243667-Reviews-or1165-Travelodge_London_Kings_Cross_Royal_Scot-London_England.html#REVIEWS</t>
  </si>
  <si>
    <t>convenient locationHotel close to bus stops and Waterloo tube station, easy walk to south bank 
and London eye, hotel very clean after refurbishment, and room had air 
conditioning, hotel staff very helpful, breakfast OK, ,nothing to write 
home about, we would stay again if the price was rightRead moreReview 
collected in partnership with TravelodgeDate of stay: August 
2018HelpfulShare</t>
  </si>
  <si>
    <t>Kay B wrote a review May 20191 contribution</t>
  </si>
  <si>
    <t>KEM wrote a review Aug 20187 contributions2 helpful votes</t>
  </si>
  <si>
    <t>Great location BUT ...Hotel is in a great location (hence the 4*) however the walls are like 
paper . Could hear the the conversations of the guests either side of the 
wall from us. Road noise was a nightmare too. Between the inside and 
outside racket I didn’t get a very good sleep at all.Read moreReview 
collected in partnership with TravelodgeDate of stay: May 2019HelpfulShare</t>
  </si>
  <si>
    <t>Good valueGood value accomodation for London, overall it was very good. My room was 
clean as was bathroom. Shower was great but i was unable to adjust it so 
had to stoop but great otherwise. Although clean the room was bit rough 
around the edges, skirting boards very scuffed with black marks and it 
looked like bleach had been spilt on the carpet. The breakfast was fine, 
plenty to eat and something there to suit e eryone. I ordered a meal on my 
first evening and that was very disappointing. It was a double burger which 
I thought might be too much for me to eat but I've never seen such thin 
burgers in my life. Unfortunately they were awful, okay to sole a pair of 
boots as they were so cold and tough, it was almost impossible to cut them. 
I did complain to member of staff who was most…Read moreReview collected in 
partnership with TravelodgeDate of stay: August 20181 Helpful 
voteHelpfulShare</t>
  </si>
  <si>
    <t>sally henderson wrote a review May 2019Leeds, United Kingdom2 contributions</t>
  </si>
  <si>
    <t>weekend visitstayed on weekend, very cheap and just what we needed for a short break. 
hotel clean and tidy. perfect location for our visit to theatre land. 
Minutes walk from the railway station so ideal for us. will definitely stay 
againRead moreDate of stay: April 2019HelpfulShare</t>
  </si>
  <si>
    <t>https://www.tripadvisor.co.uk/Hotel_Review-g186338-d1812157-Reviews-or855-Travelodge_London_Waterloo_Hotel-London_England.html#REVIEWS</t>
  </si>
  <si>
    <t>OAPfan wrote a review May 2019Telford, United Kingdom8 contributions1 
helpful vote</t>
  </si>
  <si>
    <t>friendly staffHaving just spent three nights in this hotel, the rooms were very clean the 
staff were very friendly and helpful. On arriving early the facilty of 
storing luggage was extremly useful as was the same service on booking out 
which allowed another day of sightseeing. The hotel was a ten minute walk 
from Kings Cross station.Read moreDate of stay: May 2019HelpfulShare</t>
  </si>
  <si>
    <t>Jo H wrote a review Aug 2018Perth, Western Australia, Australia3 
contributions1 helpful vote</t>
  </si>
  <si>
    <t>NellieWood wrote a review May 2019Crawshaw Booth, United Kingdom82 
contributions22 helpful votes</t>
  </si>
  <si>
    <t>Cheap, central accomodationVery close to Waterloo station and lots of amenities. Very simple 
accomodation and cheap, if you’re just looking for a central place to lay 
your head at night. Large rooms. No fridge in room, but tea and coffee 
facilities.Read moreDate of stay: August 2018HelpfulShare</t>
  </si>
  <si>
    <t>Just as you would expect from a TravelodgeStayed 3 nights and chose this place as it was located near a music venue I 
was visiting. I stayed in a single room with a single bed £100 a night. 
Room very tired and a bit grotty but it was clean. The staff however are 
excellent which merits an extra star. Location is good in that it’s a 
stones throw from the tube and 10 minute walk from Euston. Can’t imagine 
I’ll be going back but I’m sure there are far worse hotels. There’s a fab 
little Italian restaurant within a stones throw which I highly 
recommend.Read moreDate of stay: May 2019HelpfulShare</t>
  </si>
  <si>
    <t>Steve M wrote a review Aug 2018Crowthorne, United Kingdom1 contribution</t>
  </si>
  <si>
    <t>Travelodge WaterlooGood clean hotel with excellent breakfast in easy walking distance of 
Waterloo and onward bus stops for visiting London. Pricing makes it a cost 
effective means of staying overnight for a weekend awayRead moreReview 
collected in partnership with TravelodgeDate of stay: August 
2018HelpfulShare</t>
  </si>
  <si>
    <t>https://www.tripadvisor.co.uk/Hotel_Review-g186338-d243667-Reviews-or1170-Travelodge_London_Kings_Cross_Royal_Scot-London_England.html#REVIEWS</t>
  </si>
  <si>
    <t>encona37 wrote a review May 2019Herne Bay, United Kingdom54 contributions51 
helpful votes</t>
  </si>
  <si>
    <t>Claire H wrote a review Aug 2018Southport, United Kingdom8 contributions1 
helpful vote</t>
  </si>
  <si>
    <t>Another great stay, so much funWhere to start about the Travelodge Kings Cross Road... Every single member 
of staff we encountered, whether they were on reception, behind the 
bar...whatever their job may be, was exemplary. They were friendly, helpful 
and you couldn’t ask for more. The rooms are a bit on the small side, but 
for the money, they’re fine and they’re clean too. The bar area can get a 
bit lively and little is done to stop the obvious presence of working 
ladies. One of whom was accompanying her lucky customer (who was listening 
to her describing how happy she was going to make him) to his room, can of 
Stella in one hand and cigarette in the other. She welcomed us to London 
outside the lift and told us we were a lovely couple, when we engaged in a 
quick chat with her. Thing is, it made us laugh…Read moreDate of stay: May 
2019HelpfulShare</t>
  </si>
  <si>
    <t>Jet07855594587 wrote a review May 20191 contribution</t>
  </si>
  <si>
    <t>Value for moneyVery good value, clean travelodge and friendly staff.Close to waterloo 
station and ideal for tourist attractions. WiFi was not good, we had to 
constantly loggin and mainly got a signal near window on 7th 
floor.Disappointed we couldn't just purchase toast for breakfast, instead 
we were offered the lighter option all you can eat at £5.95, great if 
you're hungry not when you just want toast.Overall we would stay again.Read 
moreReview collected in partnership with this hotelDate of stay: August 
2018HelpfulShare</t>
  </si>
  <si>
    <t>May 2019Brilliant from start to end. No issues apart from noise from pipes. 
Complained and got upgraded to a bigger and nicer hotel room. Absolutely 
amazing at how they catered to our needs and were very apologetic about our 
issue.Read moreReview collected in partnership with TravelodgeDate of stay: 
May 2019HelpfulShare</t>
  </si>
  <si>
    <t>jojacksonx wrote a review May 2019Sutton Coldfield, United Kingdom1 
contribution1 helpful vote</t>
  </si>
  <si>
    <t>https://www.tripadvisor.co.uk/Hotel_Review-g186338-d1812157-Reviews-or860-Travelodge_London_Waterloo_Hotel-London_England.html#REVIEWS</t>
  </si>
  <si>
    <t>138andrea12 wrote a review Aug 2018Falmouth, United Kingdom7 contributions1 
helpful vote</t>
  </si>
  <si>
    <t>Super basic but just fine for us!We were looking for a one night stay at a reasonable hotel but we were on a 
tight budget and this was one of the cheapest hotels we could find in 
central London and it was just what we wanted - close to Kings Cross 
station and a clean comfortable room. We wished there had been a hairdryer 
but it wasnt too big an issue. the beds were clean and comfortable and 
whilst it was a very basic room it was fine for the price we paidRead 
moreReview collected in partnership with TravelodgeDate of stay: May 20191 
Helpful voteHelpfulShare</t>
  </si>
  <si>
    <t>FAMILY BREAKThis was the 3rd time we have stayed here. The hotel is very clean and the 
staff are very friendly and helpful . Can t fault anything . Looking 
forward to staying there next February. Very close to the London eye , 
houses of parliament . Just a 2 min walk from Waterloo train station. The 
only negative is the food menu . Could do with updating .Read moreDate of 
stay: September 2017HelpfulShare</t>
  </si>
  <si>
    <t>Frances V wrote a review May 2019Malvern, United Kingdom29 contributions11 
helpful votes</t>
  </si>
  <si>
    <t>Linda S wrote a review Aug 2018Aberdeen, United Kingdom155 contributions20 
helpful votes</t>
  </si>
  <si>
    <t>Sightseeing TripMy stay at this hotel was very good. The rooms are basic but comfortable. 
The service was very good also. The restaurant meals were not all freshly 
cooked. I think some were heated in a microwave. The breakfasts were good 
quality.Read moreDate of stay: August 2018HelpfulShare</t>
  </si>
  <si>
    <t>https://www.tripadvisor.co.uk/Hotel_Review-g186338-d1812157-Reviews-or565</t>
  </si>
  <si>
    <t>Never againThe hotel was more like a hostel. The bathroom was cramped, in bad 
condition and grubby. The carpets felt dirty. The corridors on the 4th 
floor smelt strongly of damp. You could hear conversations and complaints 
all the way down the corridor and in particular a very unhappy Australian 
man in full flow about the appalling conditions of his room.Read moreReview 
collected in partnership with TravelodgeDate of stay: May 
2019HelpfulShareResponse from TravelodgeUK, Molly from the Social Media 
Team at Travelodge London Kings Cross Royal ScotResponded 6 May 2019Thank 
you for your review. We hope to consistently provide a high standard of 
cleanliness within our rooms and throughout our hotels, and we apologise if 
this was not displayed during your stay. We will certainly address this 
with the Hotel Team to reiterate the importance of attention to detail when 
servicing the rooms. We are also sorry to hear that you were disturbed by 
noise levels during your stay. We hope to ensure a peaceful night's stay 
for all of our guest's, without disruption, and we apologise if we were 
unsuccessful in achieving this on this occasion. Thank you again for your 
comments.Read more</t>
  </si>
  <si>
    <t>JackyfromBerlin wrote a review May 2019Berlin, Germany2 contributions2 
helpful votes</t>
  </si>
  <si>
    <t>BoardingPass765298 wrote a review Aug 2018Preston, United Kingdom3 
contributions</t>
  </si>
  <si>
    <t>two nightsthis travelodge is a bit old (retro) but nevertheless comfortable, please 
have an extra eye for cleanliness! please, finally put hairdryers in the 
rooms! WiFi was unstable and slow, I had a small room with a big cupboard- 
the bathroom was a challenge, even with a bathtub in it...TV was OK. The 
room in the third floor had a pleasant view. I missed instant coffee, there 
was only the decaff one- I had to sneak to reception to get some of the 
real stuff The hotel is easy to reach from King's Cross St. Pancras- there 
are busses an beautiful Islington is not far away ;) The bed was cozy-sleep 
was good. This time I stayed 2 nights without breakfast, because it ends 
around 10 am- I wanted to sleep, so no breakfast for me (it would be great 
to stretch breakfast time until 11 am) You can…Read moreReview collected in 
partnership with TravelodgeDate of stay: May 20191 Helpful voteHelpfulShare</t>
  </si>
  <si>
    <t>Ideal locationLovely hotel, ideal location close to centre. Staff were really attentive 
and check in was quick and easy. Didnt eat here but heard from other guests 
that the food was okay. Would stay again if was in the area.Read moreDate 
of stay: August 2018HelpfulShare</t>
  </si>
  <si>
    <t>Blue228 wrote a review Aug 2018Northamptonshire, United Kingdom26 
contributions7 helpful votes</t>
  </si>
  <si>
    <t>https://www.tripadvisor.co.uk/Hotel_Review-g186338-d243667-Reviews-or1175-Travelodge_London_Kings_Cross_Royal_Scot-London_England.html#REVIEWS</t>
  </si>
  <si>
    <t>Mark wrote a review May 2019London, United Kingdom4 contributions1 helpful 
vote</t>
  </si>
  <si>
    <t>ExcellentThis is by far the best Travelodge we have ever stayed in. We stayed in a 
Super room &amp; everything was clean , tidy, good furnishings , excellent 
shower.The staff were all welcoming, friendly &amp; professional.The breakfast 
was very good - lots of choice &amp; well presentedRead moreReview collected in 
partnership with TravelodgeDate of stay: August 2018HelpfulShare</t>
  </si>
  <si>
    <t>Great location few minutes from St Pancras - friendly staff, very good 
showers, beds comfortable, no frillsGreat location Travelodge few minutes from St Pancras - friendly staff, 
very good showers, beds comfortable, no frills. Good value for money for 
central London, although rooms lack character. Table too small to work at 
(with a laptop).Read moreReview collected in partnership with 
TravelodgeDate of stay: April 20191 Helpful voteHelpfulShare</t>
  </si>
  <si>
    <t>https://www.tripadvisor.co.uk/Hotel_Review-g186338-d1812157-Reviews-or865-Travelodge_London_Waterloo_Hotel-London_England.html#REVIEWS</t>
  </si>
  <si>
    <t>allisoncolebyhurley wrote a review Aug 2018Norwich, United Kingdom1 
contribution</t>
  </si>
  <si>
    <t>karengreen65 wrote a review May 2019Newbury, United Kingdom2 contributions4 
helpful votes</t>
  </si>
  <si>
    <t>Our trip to LondonTravel lodge is in a good spot for visiting London. The staff where very 
polite and helpful. The food was cooked and presented very nicely. The room 
was very clean. Will definitely be staying there again.Read moreReview 
collected in partnership with this hotelDate of stay: August 
2018HelpfulShare</t>
  </si>
  <si>
    <t>Ants in the coffeeI like this hotel - it is budget level but the breakfast is good and rooms 
a good size But this time I had ants in the room which was a bit off 
putting. Also I opened the curtains and someone was sitting outside looking 
in as it is on the ground floor - bit disconcerting!Read moreReview 
collected in partnership with this hotelDate of stay: May 
2019HelpfulShareResponse from TravelodgeUK, Tilly from The Social Media 
Team at Travelodge London Kings Cross Royal ScotResponded 12 May 2019Thank 
you for your feedback about our London Kings Cross Royal Scot hotel. We are 
sorry to learn of the issues that you experienced during your stay, however 
we are pleased that you felt that it was good value and you liked the size 
of your room. We will pass your review to the hotel team and we hope to 
welcome you back to one of our hotels soonRead more</t>
  </si>
  <si>
    <t>petercook23000 wrote a review Aug 20181 contribution</t>
  </si>
  <si>
    <t>Mila wrote a review May 2019London, United Kingdom4 contributions1 helpful 
vote</t>
  </si>
  <si>
    <t>Fresh and comfortableAbsolutely love staying at this hotel, personally I prefer the 2nd and 3rd 
floor as they are decorated differently to the other floors. Receptionists 
are friendly and is in perfect distance of takeaway shops but would also 
try out the hotels hospitality next time :)Read moreReview collected in 
partnership with TravelodgeDate of stay: April 20191 Helpful 
voteHelpfulShare</t>
  </si>
  <si>
    <t>Travelodge WaterlooReally enjoyed staying in the hotel. Great location for tube and great 
attractions in walking distance. Hotel staff were really friendly. Evening 
meal was reasonable priced. The room while basic was comfortableRead 
moreReview collected in partnership with TravelodgeDate of stay: August 
2018HelpfulShare</t>
  </si>
  <si>
    <t>Tara W wrote a review Aug 2018Willenhall, United Kingdom37 contributions4 
helpful votes</t>
  </si>
  <si>
    <t>https://www.tripadvisor.co.uk/Hotel_Review-g186338-d243667-Reviews-or1180-Travelodge_London_Kings_Cross_Royal_Scot-London_England.html#REVIEWS</t>
  </si>
  <si>
    <t>NeilJune wrote a review May 20193 contributions7 helpful votes</t>
  </si>
  <si>
    <t>BrilliantStayed this weekend as visited London to watch Hamilton on west end. Great 
staff very helpful, let us leave cases early so we could take in sights 
before check in. Breakfast was ok could have been hotter but still nice all 
the same. Room was fine for the 3 of us, only downside was very small 
bathroom but was all very clean. Would stay here again only 5 minutes walk 
from Waterloo tube station so nice and accessible for everything ��Read 
moreDate of stay: August 2018HelpfulShare</t>
  </si>
  <si>
    <t>Hotel ok not great Wifi dreadfulHotel is older but ok. Wifi is dreadful. Helpline for it is useless. Whole 
point of staying was to be able to work made it pointless for most of the 
day. Almost forgot Fire alarm went off twice once at 03.00 in the morning. 
Not a good stayRead moreReview collected in partnership with TravelodgeDate 
of stay: April 2019HelpfulShareResponse from TravelodgeUK, Ben from the 
Social Media Team at Travelodge London Kings Cross Royal ScotResponded 7 
May 2019Thank you for taking the time to write a review about our London 
Kings Cross Royal Scot hotel. We are sorry to learn of your disappointment 
with the WiFi, age of the hotel and that you were disturbed by a fire 
alarm. Our WiFi is provided by Virgin who have a dedicated support team, we 
will inform them of the issues you have with connectivity. This hotel is 
also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</si>
  <si>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Richard C wrote a review Aug 20181 contribution</t>
  </si>
  <si>
    <t>OscarColin wrote a review Apr 2019London, United Kingdom7 contributions2 
helpful votes</t>
  </si>
  <si>
    <t>GreatFantastic hotel, very warm and friendly staff members. Food was absolutely 
amazing and value for the money.Our room was a little cold as the heating 
didn’t work but apart from that it was wonderful.Would deffo stay 
again!Read moreReview collected in partnership with TravelodgeDate of stay: 
August 2018HelpfulShare</t>
  </si>
  <si>
    <t>Marathon HQupon arrival I was told I was early … and that the room with a bath would 
be ready at 3 … so I left and returned … went up to the room and alas it 
had a shower … returned to reception and after a conversation Bella happily 
moved me to another room … and I thanked her .. it works both ways 
Travelodges are good and have a wide range of guests , this one has 3 lifts 
so its easy access to all floors and they are clean and tidy The reception 
area boasts a bar and a great eating area , staffed by security and team 
members it always comes across as safe The room was warm well lit and clean 
, my only wish is the outside windows needed a clean , but hey its central 
London so the place is dirty to a degree all year The reception had early 
breakfast for Marathon runners .. always a…Read moreReview collected in 
partnership with TravelodgeDate of stay: April 2019HelpfulShare</t>
  </si>
  <si>
    <t>https://www.tripadvisor.co.uk/Hotel_Review-g186338-d1812157-Reviews-or870-Travelodge_London_Waterloo_Hotel-London_England.html#REVIEWS</t>
  </si>
  <si>
    <t>leebO1831GB wrote a review Apr 2019Stone, United Kingdom8 contributions4 
helpful votes</t>
  </si>
  <si>
    <t>jantosovicovatereza wrote a review Aug 20181 contribution</t>
  </si>
  <si>
    <t>Alarm in hotel woke me in early hoursA member of the public or a faulty door meant an alarm went off a number of 
times at 3:20am, which resulted in a broken night of sleep. There was also 
in the restaurant/bar area music playing loudly, that I would not consider 
appropriate, it appears the chosen channel was the staff member's personal 
choice.Read moreReview collected in partnership with TravelodgeDate of 
stay: April 2019HelpfulShareResponse from TravelodgeUK, Molly from the 
Social Media Team at Travelodge London Kings Cross Royal ScotResponded 1 
May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</si>
  <si>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Waterloo Central LondonThe location of hotel is realy good - metro station is 5 minutes walk away. 
Hotel is clean and tidy even like the room. The bed was so comfortable. 
Everything was clean and fresh. There is a TV, kettle for tea and coffee. 
The toilet and bathroom was clean. There were 3 towels for us.Read 
moreReview collected in partnership with TravelodgeDate of stay: August 
2018HelpfulShare</t>
  </si>
  <si>
    <t>Nadine S wrote a review Apr 2019Liverpool, United Kingdom26 contributions3 
helpful votes</t>
  </si>
  <si>
    <t>jonlyn88 wrote a review Aug 2018N.Ireland7 contributions3 helpful votes</t>
  </si>
  <si>
    <t>Brilliant hotelFantastic hotel in a brilliant location. Large exceptionally clean rooms 
with friendly helpful staff. Stayed for 3 nights with my family and we 
couldn't find fault in this hotel. Perfect location just down the street 
from Waterloo station with easy access to the London eye and 
Westminster.Read moreDate of stay: August 2018HelpfulShare</t>
  </si>
  <si>
    <t>Central location, in need of renovation, very noisy rooms.Old rooms that need improvement, bathroom although mainly clean felt dirty 
due to age of amenities and mildew in areas e.g. tiles.Oldest toilet ive 
see in a while and the toilet paper in public toilets was of better 
quality! No bath mat for getting out the shower, terrible quality shower 
gel, smallest bathroom ever and no hairdryer. Room was cold, small heater 
did not do much to negate this. Worst part of the stay was the noise. The 
old wardrobes in the room rattled every time someone passed or another door 
on the floor was closed. There is also some sort of large fan in the the 
building that switched on approx 3.30am and is loud enough to keep you 
awake (not appreciated the night before or night after running a marathon). 
The fire alarm went off during the night approx 3am,…Read moreReview 
collected in partnership with TravelodgeDate of stay: April 
2019HelpfulShareResponse from TravelodgeUK, Molly from the Social Media 
Team at Travelodge London Kings Cross Royal ScotResponded 1 May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</si>
  <si>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Lorraine W wrote a review Aug 2018Barnsley, United Kingdom12 contributions2 
helpful votes</t>
  </si>
  <si>
    <t>https://www.tripadvisor.co.uk/Hotel_Review-g186338-d243667-Reviews-or1185-Travelodge_London_Kings_Cross_Royal_Scot-London_England.html#REVIEWS</t>
  </si>
  <si>
    <t>Go25523524995 wrote a review Apr 2019Dordrecht, The Netherlands1 
contribution</t>
  </si>
  <si>
    <t>Good placeHotel is good in privé/quality. Rooms are good, clean, beds are good clean, 
Bahrein had everything you nees and was complete. Personal was Bert 
friendly and helpfull. Good service for luggage storage when not checked in 
ie out.Read moreReview collected in partnership with TravelodgeDate of 
stay: April 2019HelpfulShare</t>
  </si>
  <si>
    <t>PoorIdeal location, having stayed many areas of London over the years unless 
you want nightlife. Great for families. Stayed 2 nights, 1st room the air 
conditioning didn't work, moved to another room but shower was rubbish, 
drain didn't drain, just overflowed shower tray. So we had to wait about 
15mins between each of us showering.Reception and management seemed 
friendly, but cafe staff wer very slow. Stayed for dinner one evening and 
breakfast, the staff in cafe wer very busy so food needed topping up. 
Between myself and 3 others about 4 members of staff wer asked to top up 
only 5th one actually did something about it. I only had hash browns, beans 
and mushrooms, the hash browns wer Luke warm, half cooked and 
dry...awful.Read moreReview collected in partnership with TravelodgeDate of 
stay: August 2018HelpfulShareResponse from TravelodgeUK, Ben from the 
Social Media Team at Travelodge London Waterloo HotelResponded 27 Aug 
2018Thank you for taking the time to write a review about our London 
Waterloo hotel. We are pleased to learn that you liked the hotels location 
and you found the hotel team to be friendly however we are sorry to learn 
of the problems with the facilities and the food and service in the bar 
cafe. Feedback is invaluable and our Hotel Managers regularly review their 
TripAdvisor reviews in order to fix any issues raised and pass on feedback 
to their team. Thank you once again and we do hope you will stay with us in 
the future.Read more</t>
  </si>
  <si>
    <t>Ben W wrote a review Apr 2019Newbury, United Kingdom1,317 contributions124 
helpful votes</t>
  </si>
  <si>
    <t>Paul T wrote a review Aug 2018Waterlooville, United Kingdom257 
contributions78 helpful votes</t>
  </si>
  <si>
    <t>Brother in laws 2 night Birthday BreakVery good hotel, staff friendly and helpful especially at reception, room 
was located on the third floor was clean and tidy, the bed was comfortable 
and we both had 2 good nights sleep and all towels were changed daily. The 
room had air conditioning, the only negative comment was the view from our 
room looked out on buildings.Read moreDate of stay: August 2018HelpfulShare</t>
  </si>
  <si>
    <t>Clean, comfortable bed and good locationThis Travelodge does what it says on the tin. It's not the most glamorous 
hotel in the area but if you need to stay in Kings Cross it's a great 
location, its clean (albeit a little tired) and the shower is good. I'll 
definitely be using this again if I need a bed for the night in London.Read 
moreDate of stay: April 2019HelpfulShare</t>
  </si>
  <si>
    <t>Minal wrote a review Apr 2019London, United Kingdom35 contributions13 
helpful votes</t>
  </si>
  <si>
    <t>https://www.tripadvisor.co.uk/Hotel_Review-g186338-d1812157-Reviews-or875-Travelodge_London_Waterloo_Hotel-London_England.html#REVIEWS</t>
  </si>
  <si>
    <t>Broken furniture and no hot waterI stayed here for one night and was given a room at the back of the hotel 
which required some walking to enter and exit the hotel. When entering the 
room it was freezing as a window had been left open. The room was clean, 
however some of the furniture was broken. There was also no lock on the 
bathroom door and no hot water when I showered.Read moreReview collected in 
partnership with TravelodgeDate of stay: April 2019HelpfulShareResponse 
from TravelodgeUK, Tilly from The Social Media Team at Travelodge London 
Kings Cross Royal ScotResponded 12 May 2019Thank you for your feedback 
about our London Kings Cross Royal Scot hotel. We are really sorry to hear 
of your experience. Please accept our sincerest apologies and we will pass 
your comments onto the hotel as this does not reflect Travelodge standards. 
If you wish to contact us directly to give us more feedback, please be 
aware that you can always contact our Customer Services team with your 
review. Thank you again for your feedback.Read more</t>
  </si>
  <si>
    <t>Charlene R wrote a review Aug 20187 contributions4 helpful votes</t>
  </si>
  <si>
    <t>One of the best travelodge-don’t hesitate in booking!I stay in London every week. I’ve stayed in most travelodges in London, and 
many more hotels (including the Hampton across the road from here). I can’t 
recommend enough, staff friendly and always helpful, rooms clean, comfy 
beds and the best duvet. The super rooms if you can get them are great, but 
to be honest all rooms are good as they have been renovated, they even have 
charging points by the bed now (thank you!!). The only bad point is still 
no hairdryer in each room (you have to ask at reception) but super rooms 
have. Breakfast I prefer to that of the Hampton (and the horrid red 
trays!). Staff always friendly and happy to help.Read moreDate of stay: 
August 2018HelpfulShare</t>
  </si>
  <si>
    <t>Rocket8047 wrote a review Aug 2018Exeter12 contributions1 helpful vote</t>
  </si>
  <si>
    <t>Zsuzsanna G wrote a review Apr 20191 contribution</t>
  </si>
  <si>
    <t>Great location big rooms5 min walk from waterlooo station,we had a family room which was a very 
good size for London..corner shop next door as well as plenty of bars and 
eating places nearby yet still hotel was silent when it came to bedtimeRead 
moreReview collected in partnership with this hotelDate of stay: August 
2018HelpfulShare</t>
  </si>
  <si>
    <t>GreatI arrived at the hotel after an approximately 10 hrs journey and I was 
exhausted. And then, Remy and Bella were extremely helpful and kind to me, 
I appreciate their kindness a lot. They made my day after a looooong 
journey. Thank for them, the bests!!!Read moreDate of stay: April 
2019HelpfulShare</t>
  </si>
  <si>
    <t>greyghostDroitwich wrote a review Aug 2018Cheras, Malaysia20 contributions7 
helpful votes</t>
  </si>
  <si>
    <t>Great Hotel at affordable price. Our No 1 London choice. Highly recommended.Excellent hotel at affordable price. The check in and overall service was 
very friendly and efficient. Our room was very clean and very comfortable. 
We had a great nights sleep in the roomy comfortable bed.9Read moreReview 
collected in partnership with this hotelDate of stay: August 
2018HelpfulShare</t>
  </si>
  <si>
    <t>https://www.tripadvisor.co.uk/Hotel_Review-g186338-d243667-Reviews-or1190-Travelodge_London_Kings_Cross_Royal_Scot-London_England.html#REVIEWS</t>
  </si>
  <si>
    <t>896matthew wrote a review Aug 2018Caerphilly, United Kingdom5 contributions</t>
  </si>
  <si>
    <t>Matthew H wrote a review Apr 20191 contribution</t>
  </si>
  <si>
    <t>Small family break in LondonNice friendly staff, can leave your bags after checkout for free. Bathrooms 
clean and shower good. Small stain on carpet and bed linen but otherwise 
room very high standard. Nice touches like complimentary water at 
reception. Close to Waterloo station.Read moreReview collected in 
partnership with TravelodgeDate of stay: August 2018HelpfulShare</t>
  </si>
  <si>
    <t>London Marathon visit 2019Staff excellent from the first hello! We arrived early and asked if we 
could leave our luggage, this is no issue as they have a large luggage 
room. Our room was a family room, good size but a bit tired, bathroom needs 
a refit. Breakfast was excellent and really good value for money if you 
have kids as they eat free. All in all, the staff made the place, well done 
guys!Read moreDate of stay: April 2019HelpfulShare</t>
  </si>
  <si>
    <t>ANA C wrote a review Aug 2018LUBBOCK1 contribution</t>
  </si>
  <si>
    <t>ThefordsBillingham wrote a review Apr 2019Billingham, United Kingdom141 
contributions28 helpful votes</t>
  </si>
  <si>
    <t>Great customer serviceFriendly staff and good location, just a few blocks from Waterloo Tube. The 
room was small but clean. Good variety of food in the breakfast buffet. I 
would stay there again and do recommend this hotel to my friends.Read 
moreReview collected in partnership with this hotelDate of stay: August 
2018HelpfulShare</t>
  </si>
  <si>
    <t>Basic HotelArrived early, couldnt book in, which we knew. Left baggage in a secured 
room for the day, got back to the hotel around 11pm. Collected bags and 
checked in which took about 2 minutes. The room was very basic as 
Travelodges are. Room 1 had mucky carpets , no ventilation in bathroom, so 
made room smell. Didnt put us off as we were only sleeping the one night 
Located for Kings cross less than 10 mins away.,overall a great tripRead 
moreReview collected in partnership with TravelodgeDate of stay: April 
2019HelpfulShare</t>
  </si>
  <si>
    <t>Rum wrote a review Apr 20191 contribution</t>
  </si>
  <si>
    <t>https://www.tripadvisor.co.uk/Hotel_Review-g186338-d1812157-Reviews-or880-Travelodge_London_Waterloo_Hotel-London_England.html#REVIEWS</t>
  </si>
  <si>
    <t>Steve wrote a review Aug 2018Telford, United Kingdom11 contributions2 
helpful votes</t>
  </si>
  <si>
    <t>Remy...best of the staff!Hands down to Remy who’s helped us out the most during the stay. Upon 
arriving we were given a very small rooom with no space &amp; not even a bath 
tub.. which I needed for my baby. But he took over and managed to shift us 
into a bigger room ( as I have a little baby) he was highly accommodating 
and offered us an executive room.. even called in his supervisor when I 
asked him if the bathroom could be cleaned further.. which was also done! 
This room was bigger and more spacious &amp; he further brought a cot and 
adjusted it. Loved the rooom!! Everytime gave us towels when asked.. and 
helped out everytime with everything...most polite! Also haleema who gave 
us extra time even after check out as my baby needed to be nursed. Chole 
was a sweetheart too.. who also rushed up &amp; down with my…Read moreDate of 
stay: April 2019HelpfulShare</t>
  </si>
  <si>
    <t>Good LocationStopped here for 2 nights. Excellent central location, only a 5 minute walk 
to the tube station and close to the London Eye. Very clean and tidy. The 
only negative thing was that there was only a small clothes rail for 
clothes and no draws so we ended up living out of our suitcase.Read 
moreDate of stay: August 2018HelpfulShare</t>
  </si>
  <si>
    <t>holidoddy wrote a review Aug 201863 contributions19 helpful votes</t>
  </si>
  <si>
    <t>Comfortable stayPerfect location. Staff really friendly and helpful. Our room was on the 
top floor, a huge window to admire the view (London eye). Room was 
immaculate. Breakfast was okay, only downside is it gets really busy. We 
had an evening meal one night, wasn't very good (probably a ping job in 
microwave and a fryer for chips etc). Wouldn't recommend the evening meals 
at all. Couldn't find any fault, apart from the evening meal and late night 
revellers coming in chatting and banging doors (but I'm sure we've all done 
this ��). Definitely recommend this Travelodge.Read moreDate of stay: 
August 2018HelpfulShare</t>
  </si>
  <si>
    <t>Trip42223415877 wrote a review Apr 2019Wells, United Kingdom2 contributions</t>
  </si>
  <si>
    <t>jess19932018 wrote a review Aug 2018Cardiff, United Kingdom3 contributions</t>
  </si>
  <si>
    <t>A really good base for exploringA comfortable, welcoming hotel with pleasant and very helpful staff. It's 
ideally situated for Underground and main line stations - just 10 minutes 
walk away - we found no problem in getting about and felt perfectly safe. 
Staff were great as was the breakfast. Very good value for money.Read 
moreDate of stay: April 2019HelpfulShare</t>
  </si>
  <si>
    <t>Excellent hotel, will stay againMy friend and I visited London for 3 nights and booked this hotel due to 
location and it being decently priced. If I return to London this will be 
the hotel of my choice! Great friendly service, clean rooms and the 
breakfast variety was good as well. The location is fabulous!! And perfect 
for sight seeing.Read moreDate of stay: August 2018HelpfulShare</t>
  </si>
  <si>
    <t>becky3212018 wrote a review Aug 20181 contribution</t>
  </si>
  <si>
    <t>https://www.tripadvisor.co.uk/Hotel_Review-g186338-d243667-Reviews-or1195-Travelodge_London_Kings_Cross_Royal_Scot-London_England.html#REVIEWS</t>
  </si>
  <si>
    <t>Excellent stay.Excellent newly refurbished hotel. Fresh, modern rooms with air 
conditioning. Staff very friendly and helpful. Only 5/10 minutes walk to 
the underground with easy access to the main attractions of London.Read 
moreReview collected in partnership with TravelodgeDate of stay: August 
2018HelpfulShare</t>
  </si>
  <si>
    <t>Mobile39113899757 wrote a review Apr 2019Chesterfield, United Kingdom1 
contribution</t>
  </si>
  <si>
    <t>Very goodAll staff especially Whitley went above and beyond to help us during our 
stay. Hotel was clean, rooms were clean. Could use air conditioning in the 
rooms. Overall we enjoyed our stay and would return again.Read moreReview 
collected in partnership with TravelodgeDate of stay: April 2019HelpfulShare</t>
  </si>
  <si>
    <t>PIP6612 wrote a review Apr 2019Sheffield, United Kingdom36 contributions20 
helpful votes</t>
  </si>
  <si>
    <t>Doubt I will stay againThe hotel is convenient for Kings Cross/St Pancras and reception staff are 
very friendly. However, they are the only good points. The room I was given 
was at the front of the hotel and it was so hot. The noise from the busy 
road right outside was awful and I woke 6 times during the night from 
sirens, lorries, motorbikes. I know that this is not down to the hotel, but 
there is inadequate glazing on the windows to block any noise out. I stayed 
at another hotel on Euston Road and they had triple glazing and I didn't 
hear anything. The room and bathroom were not clean, the vent in the 
bathroom door was covered in a thick layer of dust and the hairs in the 
bath sink hole. Sadly, this will probably be the last time I stay here 
(stayed in October 2017 and there has been no…Read moreDate of stay: 
February 2019HelpfulShareResponse from TravelodgeUK, Niki from The Social 
Media Team at Travelodge London Kings Cross Royal ScotResponded 28 Apr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</si>
  <si>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https://www.tripadvisor.co.uk/Hotel_Review-g186338-d1812157-Reviews-or885-Travelodge_London_Waterloo_Hotel-London_England.html#REVIEWS</t>
  </si>
  <si>
    <t>kristina650 wrote a review Aug 2018United Kingdom7 contributions2 helpful 
votes</t>
  </si>
  <si>
    <t>Connector45101329800 wrote a review Apr 20191 contribution</t>
  </si>
  <si>
    <t>Comfortable &amp; Quiet Stay in the City CentreLovely room, friendly staff, great location - close to several tube 
stations! Quiet, despite being on a busy street.The only 'negative' - 
breakfast is not really value for money. You'd be better off eating 
breakfast somewhere else - the cooked breakfast is not really worth the 
price they're asking!Read moreDate of stay: August 2018HelpfulShare</t>
  </si>
  <si>
    <t>away from the kidswe chose this travel lodge for the location. it was a good price for the 
location a short trip into London via the tube. From the Savoy Theatre a 
taxi ride was £17 which was great coming home at 11pm at night. Staff were 
helpful and friendlyRead moreDate of stay: April 2019HelpfulShare</t>
  </si>
  <si>
    <t>Fearless599332 wrote a review Apr 20191 contribution1 helpful vote</t>
  </si>
  <si>
    <t>RosieB5 wrote a review Aug 2018Great Harwood, United Kingdom234 
contributions41 helpful votes</t>
  </si>
  <si>
    <t>MUSTINESSThe hotel was located very conveniently for Kings cross station. The 
bedroom had a strong unpleasant musty smell. There was no cold water in the 
bathroom. It was impossible for the staff to out right the problems in the 
short time we were there.Read moreDate of stay: April 20191 Helpful 
voteHelpfulShareResponse from TravelodgeUK, Molly from the Social Media 
Team at Travelodge London Kings Cross Royal ScotResponded 28 Apr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</si>
  <si>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Home from homeSpent 3 nights here last Monday - Thursday. Comfy beds, clean rooms and 
good breakfasts. Kind, efficient and polite staff. Refurbished since last 
year and recommended for a stay in this part of London - just up the road 
from the old and young Vic and round the corner from lively area of The Cut 
and Southwark college. Fab!Read moreDate of stay: August 2018HelpfulShare</t>
  </si>
  <si>
    <t>Lynne S wrote a review Apr 2019Abergele, United Kingdom5 contributions3 
helpful votes</t>
  </si>
  <si>
    <t>Amber A wrote a review Aug 20182 contributions</t>
  </si>
  <si>
    <t>Renovated to more than acceptableI have recently had a 2 night stay in this travelodge. I have stayed before 
and I am pleased to say that post renovation that I enjoyed a comfortable 
and relaxed stay. Very much improved in all areas. Staff very welcoming and 
helpful, especially Remmie who booked me in and ensured that I had a room 
to best suit my needs. Huge thanksRead moreDate of stay: April 
2019HelpfulShare</t>
  </si>
  <si>
    <t>Average stay, good location but don’t buy WiFiThe location was good, hotel was clean and breakfast was decent. However, 
we paid £9 to have WiFi for 72 hours but the WiFi didn’t work and we 
weren’t offered a refund so that was a waste of money. Other than that the 
stay was good.Read moreReview collected in partnership with TravelodgeDate 
of stay: August 2018HelpfulShare</t>
  </si>
  <si>
    <t>Mickyj1973 wrote a review Aug 2018Braunton, United Kingdom101 
contributions27 helpful votes</t>
  </si>
  <si>
    <t>https://www.tripadvisor.co.uk/Hotel_Review-g186338-d243667-Reviews-or1200-Travelodge_London_Kings_Cross_Royal_Scot-London_England.html#REVIEWS</t>
  </si>
  <si>
    <t>jp3sfc wrote a review Apr 2019Southampton, Uk20 contributions2 helpful votes</t>
  </si>
  <si>
    <t>Hotel good, food badHere for a long weekend away in London, staff friendly and helpful, room on 
the 8th floor immaculate with great views, only downside is the food 
served, breakfast only OK, lacking in selection, evening meals were awful, 
chicken dippers for one child were hard as rock and the cheese on the 
others was practically non existent, my meal had the un mistake let stench 
of microwave and my partners pie crust was rock hard.Read moreDate of stay: 
August 2018HelpfulShare</t>
  </si>
  <si>
    <t>Great location, comfortable roomsGreat location for Eurostar, Kings Cross/St Pancras and Euston. Nice bar 
and breakfast. Always a good base when visiting London - just 20 min walk 
to Holborn and Covent Garden. Comfortable rooms and reasonable rate for 
central London.Read moreDate of stay: April 2019HelpfulShare</t>
  </si>
  <si>
    <t>https://www.tripadvisor.co.uk/Hotel_Review-g186338-d1812157-Reviews-or890-Travelodge_London_Waterloo_Hotel-London_England.html#REVIEWS</t>
  </si>
  <si>
    <t>jwc898 wrote a review Apr 2019Chesterfield, United Kingdom25 contributions4 
helpful votes</t>
  </si>
  <si>
    <t>Very ShabbyWe stayed just one night (thank goodness). The room was very tired but the 
bedding clean. The bath was chipped and the shower, although efficient, was 
rusty in places. The breakfast was average but avoid the scrambled egg! A 
poor room for the price. I wouldn't recommend! We had to go back twice to 
get our key programmed as we couldn't get into the room! Staff were 
friendly though.Read moreDate of stay: April 2019HelpfulShare</t>
  </si>
  <si>
    <t>Ines Vitez wrote a review Apr 2019Solin, Croatia1 contribution</t>
  </si>
  <si>
    <t>Easter holidays 2019Room was really good. It is big, the bed is comfortable. Staff is really 
polite. Only thing that should be changed is headphone shower because water 
barely goes and it is not possible to have a shower normally or wash the 
hair.Read moreReview collected in partnership with this hotelDate of stay: 
April 2019HelpfulShare</t>
  </si>
  <si>
    <t>Philip W wrote a review Aug 2018Loughborough, United Kingdom5 contributions</t>
  </si>
  <si>
    <t>Sightsee01721520726 wrote a review Apr 2019Manchester, United Kingdom1 
contribution1 helpful vote</t>
  </si>
  <si>
    <t>Good but could be betterCheap thin loo paper. No child-proof loo door lock despite loo being next 
to door. Due to no hot water one day we had to have cold shower! Faulty 
light. Some guests slam doors at 5am! Traffic noise if on the front. 
Otherwise clean, comfy, freshly painted, mostly well maintained, good value 
if you book early.Read moreReview collected in partnership with 
TravelodgeDate of stay: August 2018HelpfulShare</t>
  </si>
  <si>
    <t>Extremely budget, reflects cheap priceExtremely budget hotel however this reflects the price paid. The first room 
we were given smelt strongly like sewage water in the bathroom so I asked 
reception for a different room and they handled it quickly. New room ok 
however shower didn’t go hot and pretty dirty.Read moreReview collected in 
partnership with this hotelDate of stay: April 20191 Helpful 
voteHelpfulShare</t>
  </si>
  <si>
    <t>diannepickford wrote a review Aug 20182 contributions</t>
  </si>
  <si>
    <t>Curious15019035559 wrote a review Apr 20191 contribution</t>
  </si>
  <si>
    <t>Perfect place to rest your headGood clean, welcoming and inexpensive acccommodation. All services 
available including food and baggage depository. Great position for easy 
walking to major attractions, art galleries, the Thames cruisers and all 
other transport connections.Read moreReview collected in partnership with 
TravelodgeDate of stay: August 2018HelpfulShare</t>
  </si>
  <si>
    <t>One night stayRooms were basic but the bedding was clean the hotel needs some new room 
carpets as they were stained. Reception staff were welcoming and helpful. 
It was quite noisy on the occasion we stayed and the heavy room doors were 
loud, can’t complain too much for the price I paid but could’ve looked 
betterRead moreReview collected in partnership with TravelodgeDate of stay: 
April 2019HelpfulShare</t>
  </si>
  <si>
    <t>https://www.tripadvisor.co.uk/Hotel_Review-g186338-d1812157-Reviews-or895-Travelodge_London_Waterloo_Hotel-London_England.html#REVIEWS</t>
  </si>
  <si>
    <t>https://www.tripadvisor.co.uk/Hotel_Review-g186338-d243667-Reviews-or1205-Travelodge_London_Kings_Cross_Royal_Scot-London_England.html#REVIEWS</t>
  </si>
  <si>
    <t>Maria1982 wrote a review Apr 20191 contribution</t>
  </si>
  <si>
    <t>Blondly wrote a review Aug 2018Congleton, United Kingdom4 contributions2 
helpful votes</t>
  </si>
  <si>
    <t>Handy hotelGood Price for the staying, and central area. But the staff was not so 
helpful, the room that was handed to us on the first night was a nightmare 
with noise from pipes, (we couldn't rest) after going to reception 3 times 
to explain them, we got the room changed (They didn't look happy helping). 
Also asking for hairdryer 4 times to reception, during out staying (3 
nights), they never had it there. And unprofessional lady in reception 
laughing at my face, talking through the walkie talkie with her colleague 
to find a hairdryer that she promised she would bring upstairs, (I'M STILL 
WAITING FOR IT).Read moreReview collected in partnership with 
TravelodgeDate of stay: April 2019HelpfulShare</t>
  </si>
  <si>
    <t>emilyfieldgillard wrote a review Apr 2019Luton, United Kingdom3 
contributions</t>
  </si>
  <si>
    <t>https://www.tripadvisor.co.uk/Hotel_Review-g186338-d1812157-Reviews-or570</t>
  </si>
  <si>
    <t>Excellent stay!All the staff were so friendly and really made our stay enjoyable! The room 
was so clean and tidy, and for the price we paid that was amazing! Will 
definitely be coming again and recommending to everyone! ��Read moreDate of 
stay: April 2019HelpfulShare</t>
  </si>
  <si>
    <t>MasseyLondon wrote a review Apr 2019London61 contributions40 helpful votes</t>
  </si>
  <si>
    <t>Basic but good locationA short overnight stay before going away on Eurostar. The hotel needs a bit 
of a make over- its looking tired and worn. Clean and comfortable with 
friendly staff. Rooms basic but functional. Easy walk to Kings Cross and St 
Pancras.Read moreDate of stay: April 2019HelpfulShare</t>
  </si>
  <si>
    <t>Lorne B wrote a review Apr 2019Ayrshire, United Kingdom100 contributions9 
helpful votes</t>
  </si>
  <si>
    <t>Break in londonGreat location. We caught a bus from Euston which dropped us off outside 
the hotel. Approx 10-15 walk to the London Eye. We could even see the 
London eye from our room! When we arrived we liked the bright 
reception/sitting area. Jug of water with glasses you could help yourself 
too. Nice bar there. Big restaurant. Reasonably priced food and tasty. Good 
selection of food for breakfast (fruit, cereal, Vege sausages, scrambled 
egg, mushrooms etc, latte/hot chocolate machine). We booked 2 large family 
rooms for our family of 6. We thought the beds were very comfortable. We 
would be very happy to stay there again.Read moreReview collected in 
partnership with TravelodgeDate of stay: August 2018HelpfulShare</t>
  </si>
  <si>
    <t>No room to moveCats will be delighted - there is nowhere to swing them in room 523. Dismal 
little room. If sitting at mirror to dry hair, your other half can’t get to 
the wardrobe or bathroom - staying here was a little like camping. On the 
plus side the staff were more than lovely and the breakfast buffet gets a 
big thumbs up. Handy central location a short walk from Kings Cross and 
handy for buses.Read moreDate of stay: April 2019HelpfulShare</t>
  </si>
  <si>
    <t>Philip B wrote a review Aug 20183 contributions1 helpful vote</t>
  </si>
  <si>
    <t>Barbara wrote a review Apr 2019Brussels, Belgium1 contribution1 helpful vote</t>
  </si>
  <si>
    <t>Travelodge Waterloo CentralGood for what you pay for but could be better. No storage space, WiFi 
sucks, no housekeeping in the afternoon and evenings so if you have a sick 
kid who throws up on the bed you are in trouble. Breakfast great quality, 
kids eat free. Good locationRead moreReview collected in partnership with 
TravelodgeDate of stay: August 2018HelpfulShareResponse from TravelodgeUK, 
Charley from the Social Media Team at Travelodge London Waterloo 
HotelResponded 21 Aug 2018Thank you for taking the time to review our 
London Waterloo hotel. We are sorry to hear that your experience was 
spoiled in particular by the layout of the room and the wifi. From feedback 
such as yours we regularly review what services we provide for our 
customers and consider all possible options. Currently, we are prioritising 
an upgrade of our WiFi infrastructure to improve the quality of our WiFi 
produ We are also sorry to hear of your disappointment regarding the 
servicing of the rooms and this will be passed on. We would hope to welcome 
you again in the future and give us the opportunity to offer a fully 
enjoyable stay.Read more</t>
  </si>
  <si>
    <t>Excellent stay!We had a very warm welcome at Travellodge by a professional and smiling 
staff. The bedroom was spacious and the breakfast delicious. The hotel is 
situated within a walking distance from St Pancras and Kings Cross 
stations. That was perfect for my husband, my son and me. I would recommend 
that place to anyone wanting to stay in London.Read moreReview collected in 
partnership with TravelodgeDate of stay: April 20191 Helpful 
voteHelpfulShare</t>
  </si>
  <si>
    <t>Dom W wrote a review Aug 2018Bristol48 contributions20 helpful votes</t>
  </si>
  <si>
    <t>https://www.tripadvisor.co.uk/Hotel_Review-g186338-d243667-Reviews-or1210-Travelodge_London_Kings_Cross_Royal_Scot-London_England.html#REVIEWS</t>
  </si>
  <si>
    <t>Good budget hotel in central locationFriendly staff and a decent room for the price, The hotel's very convenient 
to Waterloo station, and an easy walk to the London Eye and 
bars/restaurants etc. along the Thames so easy access to central London on 
foot or public transport. The immediate locality has convenience stores as 
well as some bars etc. too so pretty much everything you need without too 
much effort.Read moreReview collected in partnership with TravelodgeDate of 
stay: August 2018HelpfulShare</t>
  </si>
  <si>
    <t>Nomad57282991884 wrote a review Apr 20191 contribution</t>
  </si>
  <si>
    <t>https://www.tripadvisor.co.uk/Hotel_Review-g186338-d1812157-Reviews-or900-Travelodge_London_Waterloo_Hotel-London_England.html#REVIEWS</t>
  </si>
  <si>
    <t>Good value for moneyHotel was affordable and good value for money. Hotel was average nyt served 
its purpose. The beds were very good. Room was clean and there was enough 
space for three people. Bathroom was clean but little outdated. Overall 
this is very good average hotel.Read moreReview collected in partnership 
with TravelodgeDate of stay: April 2019HelpfulShareResponse from 
TravelodgeUK, Niki from The Social Media Team at Travelodge London Kings 
Cross Royal ScotResponded 23 Apr 2019Thank you for taking the time to 
review our London Kings Cross Royal Scot hotel. We aim to provide a 
comfortable stay to all of our guests so we're pleased that you found our 
Dreamer bed to be comfortable and that you found your room to be good value 
for money. We will be sure to pass your feedback on and we hope to have the 
chance to welcome you back again soon.Read more</t>
  </si>
  <si>
    <t>KevinWestera wrote a review Aug 2018Calgary, Canada1 contribution</t>
  </si>
  <si>
    <t>Sightseer44299355490 wrote a review Apr 20191 contribution</t>
  </si>
  <si>
    <t>Risky areaIt is located around 12-15 minimum walk to king cross station . However, 
during walking back to hotel. We met some bad guys 2 days that scare us. 
The same group guys, Who pretended to be a traveler and than another guy 
came to show ID and said that he is policeman. Not at all, they are not 
English men they are the gang. So we ran away as fast as possible.Read 
moreReview collected in partnership with TravelodgeDate of stay: April 
2019HelpfulShare</t>
  </si>
  <si>
    <t>Hotel just OK, but affordable for London with OK Location.Family of three staying for seven nights, accommodations are nothing fancy 
but for the price they will do. Pros - affordable, clean, friendly staff, 5 
min walk to underground station, 20 min walk to CocaCola Eye and area, 30 
min walk to Westminster. Cons - hotel is non responsive to even simple 
maintenance items such as a broken bathroom soap dispenser, burnt out light 
at desk, one morning we had zero hot water, hotel food selection very 
limited, area near hotel food selection is limited, no in room safe.Read 
moreDate of stay: August 2018HelpfulShareResponse from TravelodgeUK, Ben 
from the Social Media Team at Travelodge London Waterloo HotelResponded 15 
Aug 2018Thank you for taking the time to write a review about our London 
Waterloo hotel. We are pleased to learn that you found your room to be 
clean, good value, the hotel team friendly and you liked the location 
although we would like to apologise for the disappointment caused by other 
aspects of your stay. If you wish to contact us directly to give us more 
feedback, please be aware that you can always contact our Customer Services 
team via our website. Thank you once again and we do hope you will stay 
with us in the future.Read more</t>
  </si>
  <si>
    <t>LincolnJane_10 wrote a review Apr 2019Lincoln11 contributions6 helpful votes</t>
  </si>
  <si>
    <t>Neil L wrote a review Aug 20183 contributions2 helpful votes</t>
  </si>
  <si>
    <t>Good deal in excellent locationFinding ourselves stranded in London because most of the trains home were 
cancelled we were lucky to find a good deal to stay overnight near to the 
station. For an older, budget class hotel we were very happy with the 
property and the service. The £39.99 room charge was a bonus. Reception 
staff were helpful and pleasant. We also booked breakfast which included a 
good selection but sadly the cooked items - bacon and sausage - were over 
cooked and not very appealing. Yogurt, fruit, scrambled eggs, mushrooms etc 
were all ok.Read moreDate of stay: April 2019HelpfulShare</t>
  </si>
  <si>
    <t>London Away DayClean, basic and everything we needed as a base to explore. Nice to see the 
bar and plenty of choice. The breakfast had a good variety and was well 
stocked. The hotel is very clean and tidy and the staff were friendly and 
polite.Read moreReview collected in partnership with TravelodgeDate of 
stay: August 2018HelpfulShare</t>
  </si>
  <si>
    <t>enajysborc wrote a review Aug 20184 contributions</t>
  </si>
  <si>
    <t>Travel26876314032 wrote a review Apr 2019Lincolnshire, United Kingdom1 
contribution</t>
  </si>
  <si>
    <t>Exceeded expectstionsWaterloo Travel Lodge was far in excess of expectation of a cheaper than 
average hotel. Comfy bed. Air con. Great breakfast. Only down side the hot 
water was out of order one morning due to circumstances beyond the staffs 
control. Overall very good.Read moreReview collected in partnership with 
TravelodgeDate of stay: August 2018HelpfulShare</t>
  </si>
  <si>
    <t>Great stay just a little overpricedThe bed was comfy, the room was just the right temperature, the shower was 
warm but it kept moving so it did make the floor wet which is not good. The 
light also flickered in the room but that probably just needs a new 
bulb.Read moreReview collected in partnership with this hotelDate of stay: 
April 2019HelpfulShare</t>
  </si>
  <si>
    <t>Wendi S wrote a review Aug 201854 contributions15 helpful votes</t>
  </si>
  <si>
    <t>Genevieve C wrote a review Apr 20192 contributions2 helpful votes</t>
  </si>
  <si>
    <t>Clean and friendlyStay here for a few nights,comfortable bed,good size room(there were three 
of us),great veiw of the London eye,very good location 7 mins from 
tube,resption staff friendly,when in the area again will stay here.Read 
moreDate of stay: August 2018HelpfulShare</t>
  </si>
  <si>
    <t>Overall great experienceNice big rooms, great location, lovely bar and restaurant with some great 
vegan options (incl. dessert!), lots of closet space and a bath! Generally 
clean and tidy - did find a few stray hairs in the bath which might irk 
some people, but I quickly washed them away and it wasn't a big deal. Felt 
nice and safe with a separate carded entrance to the lift, plus there were 
some lovely restaurants only a few steps away.Read moreReview collected in 
partnership with TravelodgeDate of stay: April 2019HelpfulShare</t>
  </si>
  <si>
    <t>Honey K wrote a review Aug 2018Crewe, United Kingdom117 contributions11 
helpful votes</t>
  </si>
  <si>
    <t>https://www.tripadvisor.co.uk/Hotel_Review-g186338-d243667-Reviews-or1215-Travelodge_London_Kings_Cross_Royal_Scot-London_England.html#REVIEWS</t>
  </si>
  <si>
    <t>Bargain for LondonSo surprised. For the price i was expecting a grotty hotel but this place 
blew my expectations away. Very close to waterloo station and underground, 
nice lounge area, lovely all you ear breakfast. Lovely modern, clean rooms 
with aircon, shower, tea n coffee, flat screen tv. Late check out available 
at low cost supplement. Staff so friendly and accommodating. Would use 
againRead moreDate of stay: August 2018HelpfulShare</t>
  </si>
  <si>
    <t>https://www.tripadvisor.co.uk/Hotel_Review-g186338-d1812157-Reviews-or905-Travelodge_London_Waterloo_Hotel-London_England.html#REVIEWS</t>
  </si>
  <si>
    <t>Lee wrote a review Apr 20193 contributions2 helpful votes</t>
  </si>
  <si>
    <t>garypodonnell wrote a review Aug 20182 contributions</t>
  </si>
  <si>
    <t>One night stay for businessVery nice hotel, good location for Kings Cross overground/underground 
stations. Hotel staff nice and friendly and rooms clean tidy and warm as 
you would expect from a brand like Travelodge. Hotel has a 24 hour bar and 
shows Champions League football which is a bonus. Just a 5 or 6 minute walk 
to Kings Cross &amp; St Pancras train station which is like a small town 
inside. Nice shops bars/eating places however pricey as you would expect in 
Central London. For an overnight stay in Central London, at £94 its very 
reasonable and with train station so close very good to get around our 
Capital.Read moreDate of stay: April 2019HelpfulShare</t>
  </si>
  <si>
    <t>Great LocationAll in all, a very tidy and handy location at just a stones throw from 
Waterloo. Upon arrival, I asked whether I had a preference of which floor 
I'd like to stay? This was a first for me; usually you're just allocated a 
room, and that's it. I said that I didn't have a preference, which was the 
wrong decision to take, as it turned out. I was given a ground floor room 
on the right hand side, as you walk down. The room was lovely, but very 
cold; even though we were in the middle of a heat wave, in the UK at the 
time; the room temperature was disproportionate to the natural ambience. 
The (2 day) stay was enhanced at 4.30 every morning by the neighbouring 
community centre, who it seemed, must have been hosting early morning 
aerobics sessions; and I can only assume that this…Read moreReview 
collected in partnership with TravelodgeDate of stay: August 
2018HelpfulShare</t>
  </si>
  <si>
    <t>MrSingh146 wrote a review Aug 2018Wolverhampton, United Kingdom9 
contributions</t>
  </si>
  <si>
    <t>Derek M wrote a review Apr 2019Livingston, United Kingdom5 contributions4 
helpful votes</t>
  </si>
  <si>
    <t>Royal scot travelodgeStaff and security were 1st class. Bar area was spacious and well priced 
every night they had deals at the bar. Breakfast was fresh and well stocked 
every morning plenty of choices. Rooms were basic but comfortable for our 
stay. Shower was a bit hit and miss but overall this travelodge was good 
value for money. Would stay here againRead moreDate of stay: April 
2019HelpfulShare</t>
  </si>
  <si>
    <t>Good location......poor serviceHotel as expected for a Travelodge so we knew what we were getting. 
However, we woke up to no hot water, there are no phones in the rooms to 
call reception so I had to go down to reception to be told that there was 
nothing they could do and it was an issue across the whole of the hotel and 
we were asked to wait one hour and a half until the issue gets resolved. No 
attempt to inform the guests of this issue that was clearly affecting 
everybody (we had 2 rooms over different floors and both had the same 
issue). Drinks at the bar were onRead moreReview collected in partnership 
with TravelodgeDate of stay: August 2018HelpfulShareResponse from 
TravelodgeUK, Shaf from the Social Media Team. at Travelodge London 
Waterloo HotelResponded 14 Aug 2018Thank you for reviewing our London 
Waterloo Travelodge. We're pleased to hear you liked the location of the 
hotel and really am sorry to learn of the issues you experienced with the 
hot water. We understand that your overall experience was not exceptional 
and we do apologise for this. We'll be sure to pass your valuable feedback 
directly to our colleagues in our hotel as this is the best way for us to 
improve the service we offer. Feedback is invaluable and our Hotel Managers 
regularly review their TripAdvisor reviews in order to fix any issues 
raised and pass on feedback to their team. Thank you once again and we do 
hope you will stay with us in the future.Read more</t>
  </si>
  <si>
    <t>bren4yogi wrote a review Apr 2019Stoke-on-Trent, United Kingdom4 
contributions</t>
  </si>
  <si>
    <t>Nicky C wrote a review Aug 2018Risca, United Kingdom237 contributions23 
helpful votes</t>
  </si>
  <si>
    <t>Very friedly @ helpful staffWe stayed for 4 days, the weather was very cold an east wind, coming back 
to the hotel,was welcoming, warmly greeted by the staff and a lovely warm 
room. The hotel is close to buses which take you wherever you want to go n 
London, and there was a nice Italian &amp; small breakfast cafe close by. There 
area itself isn't the best,we chose it because my husband was born and 
lived in the vincinity until he was 19, and wanted to reminisce. Didn't 
feel threatened in any way, would definitely return. Off coarse it's not a 
5 star, but for the price EXCELLENT.Read moreReview collected in 
partnership with TravelodgeDate of stay: April 2019HelpfulShare</t>
  </si>
  <si>
    <t>Mixed reviewsI stayed here for one night on business. Staff were very welcoming and 
friendly. The room was a little disappointing, as there was no mattress 
cover, and the mattress was stained, there was also a lot of long black 
hairs in the shower cubicle. My colleagues were very pleased with their 
rooms, so I assume it was just an oversight with my room. I would therefore 
give the hotel another chance and return.Read moreDate of stay: July 
2018HelpfulShareResponse from TravelodgeUK, Molly from the Social Media 
Team at Travelodge London Waterloo HotelResponded 14 Aug 2018Thank you for 
your review. We're pleased to hear that the Team demonstrated the high 
level of customer care we aim to provide. However, we apologise that you 
were disappointed with your room, and for the cleanliness issues you 
encountered. We will certainly address this with the Housekeeping Team. 
Thanks again for your review, and we hope to welcome you back to stay with 
us again soon.Read more</t>
  </si>
  <si>
    <t>https://www.tripadvisor.co.uk/Hotel_Review-g186338-d243667-Reviews-or1220-Travelodge_London_Kings_Cross_Royal_Scot-London_England.html#REVIEWS</t>
  </si>
  <si>
    <t>Jan W wrote a review Aug 2018Ipswich, United Kingdom22 contributions10 
helpful votes</t>
  </si>
  <si>
    <t>Curiosity51882269785 wrote a review Apr 20191 contribution</t>
  </si>
  <si>
    <t>Clean Hotel and a Hearty BreakfastWe had a couple of Red Letter days to use and decided to stay overnight 
here. A very nice Travelodge. Pleasant staff, clean rooms and a nice little 
bar. We had a hearty breakfast before we departed. There was a good choice 
of hot food for a full English, cereals and a continental selection which 
was help yourself. I loved the touch of the LaVazza coffee machine in the 
room as I hate instant! Very central to everything we had planned and just 
a 3 minute walk from the tube. Waterloo had loads of nice looking eateries 
too. I think we'll be heading back at some stage.Read moreDate of stay: 
August 2018HelpfulShare</t>
  </si>
  <si>
    <t>Very old and decryptedThe building is really old and dark from the outside, really not enticing. 
The staff are extremely helpful and polite but the rooms are very small and 
very close together, it felt like a long corridor of police cells.Read 
moreReview collected in partnership with TravelodgeDate of stay: April 
2019HelpfulShareResponse from TravelodgeUK, Tilly from The Social Media 
Team at Travelodge London Kings Cross Royal ScotResponded 30 Apr 2019Thank 
you for submitting your review of our London Kings Cross Royal Scot hotel. 
We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</si>
  <si>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Katherine B wrote a review Aug 20182 contributions</t>
  </si>
  <si>
    <t>BrilliantLovely hotel, staff really friendly and helpful, very easy for sightseeing. 
Close to Waterloo station. The rooms were great and air conditioned, very 
quiet. We stayed for breakfast, which was nice, being gluten free the staff 
made sure I had what I needed.Read moreDate of stay: August 2018HelpfulShare</t>
  </si>
  <si>
    <t>italydeci wrote a review Apr 2019Kingston upon Thames, United Kingdom9 
contributions2 helpful votes</t>
  </si>
  <si>
    <t>https://www.tripadvisor.co.uk/Hotel_Review-g186338-d1812157-Reviews-or910-Travelodge_London_Waterloo_Hotel-London_England.html#REVIEWS</t>
  </si>
  <si>
    <t>Staff awesomeI stayed in this hotel more than ones time and everytime is perfect. Dinner 
and breakfast very nice and good value for money . Good location very nice 
room quite and clean .excellent service. I'll came backRead moreReview 
collected in partnership with TravelodgeDate of stay: April 2019HelpfulShare</t>
  </si>
  <si>
    <t>K D wrote a review Aug 2018Pune, India139 contributions29 helpful votes</t>
  </si>
  <si>
    <t>https://www.tripadvisor.co.uk/Hotel_Review-g186338-d243667-Reviews-or1225-Travelodge_London_Kings_Cross_Royal_Scot-London_England.html#REVIEWS</t>
  </si>
  <si>
    <t>An Exceptionally Good No-Frills hotelThough it might not be categorized as Star hotel, the hospitality and 
courteousness is unparalleled for this hotel. Not to mention it's superior 
local. We stayed in family room. The hotel has Air Conditioner, which was a 
super plus in the scorching London heat. Rooms had ensuite bathroom with 
shower, everything you can expect for a family room. Room were spotlessly 
clean and the housekeeping ensured it was returned spotless everyday. The 
front desk staffs ready to help with a smile always. We took wifi and 
breakfast in our package. Wifi worked perfectly fine allthroughout. 
Breakfast had good spread with fruits, Continental choice , juices and hot 
beverages. 5 min walk from Waterloo underground and National Rail station 
and bus stops. Overall this hotel had won my heart. I…Read moreDate of 
stay: August 2018HelpfulShare</t>
  </si>
  <si>
    <t>GavinLynam wrote a review Apr 2019Dublin, Ireland474 contributions76 
helpful votes</t>
  </si>
  <si>
    <t>Perfect for a cheap tripVery very basic but if you just need a bed to sleep in, it’s 10min walk to 
the underground and st pancras station! We were in a twin room (very small 
beds) and had a great nights sleep. Recommend for friends/groups.Read 
moreDate of stay: April 2019HelpfulShareResponse from TravelodgeUK, Ben 
from the Social Media Team at Travelodge London Kings Cross Royal 
ScotResponded 16 Apr 2019Thank you for taking the time to share your 
experience of your stay at our London Kings Cross Royal Scot Travelodge 
with us. We're pleased to learn you enjoyed the location of the hotel and 
that your overall experience was a positive one. Feedback is invaluable and 
our Hotel Managers regularly review their TripAdvisor reviews in order to 
fix any issues raised and pass on feedback to their team. Thank you once 
again and we do hope you will stay with us in the future.Read more</t>
  </si>
  <si>
    <t>1TashaJ wrote a review Aug 2018Brighton, United Kingdom27 contributions7 
helpful votes</t>
  </si>
  <si>
    <t>Laura H wrote a review Apr 20198 contributions2 helpful votes</t>
  </si>
  <si>
    <t>Can't argue for the price!This place is great value for money really when travelling on a budget. As 
it is a good standard of accommodation for the price! With the added extras 
of being in a great location for London and having great staff who are 
friendly and helpful.Read moreDate of stay: August 2018HelpfulShare</t>
  </si>
  <si>
    <t>Excellent serviceFrom arriving the reception team were friendly and helpful. We had 
breakfast in the restaurant the following morning, it was fantastic. It has 
everything you need to start a day of sight seeing. Cereal, croissants, 
full English with unlimited hot drinks and juices. The sausages were 
amazing :-) Staff were around to help assist and clear the tables. 
Excellent. Thanks.Read moreDate of stay: April 2019HelpfulShare</t>
  </si>
  <si>
    <t>Teresa C wrote a review Aug 2018Newmarket, United Kingdom8 contributions3 
helpful votes</t>
  </si>
  <si>
    <t>weekend staystay here every year for the weekend .a short walk from the london eye 
Hotel is great location for central London,the room was clean and 
comfortable, staff were friendly. We were able to leave our bags at 
reception in a locked room before leaving as we wanted to go out and 
explore before going home .Read moreDate of stay: August 2018HelpfulShare</t>
  </si>
  <si>
    <t>Sarah T wrote a review Apr 201924 contributions</t>
  </si>
  <si>
    <t>https://www.tripadvisor.co.uk/Hotel_Review-g186338-d1812157-Reviews-or915-Travelodge_London_Waterloo_Hotel-London_England.html#REVIEWS</t>
  </si>
  <si>
    <t>Very disappointing stayHaving previously stayed at Travelodge hotels I booked this hotel thinking 
that it would be a good hotel to stay in the night before traveling from 
Kings Cross. However, I was mistaken and our stay was very poor. When we 
arrived the staff on the reception were really friendly but we didn't 
realise that you could not check in until 3pm unless you had paid for early 
check in. We had a meal booked for 5pm so this meant that we had to pay an 
extra £10 to get in to our room which was actually already cleaned and 
ready. When getting in to our room we found that it was not very clean 
which I felt was not up to travelodge standard. The mirrors were filthy 
meaning that we had to clean them ourselves before we could use them. I 
made myself a cup of tea with the facilities provided,…Read moreDate of 
stay: April 2019HelpfulShareResponse from TravelodgeUK, Tilly from The 
Social Media Team at Travelodge London Kings Cross Royal ScotResponded 25 
Apr 2019Thank you for taking the time to write a review with regards to our 
London Kings Cross Royal Scot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</si>
  <si>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Long23 wrote a review Aug 2018Leeds, United Kingdom56 contributions37 
helpful votes</t>
  </si>
  <si>
    <t>Simple and straightforwardMe &amp; the kids in London for a night, this place was convenient and 
comparatively cheap. Could have made it more obvious on booking that one of 
the beds was shared, but worked out just fine. Aircon meant we could sleep, 
and free breakfast for the kids was a welcome bonus (that they heartily 
enjoyed).Read moreDate of stay: August 2018HelpfulShare</t>
  </si>
  <si>
    <t>TomOxf wrote a review Aug 201823 contributions3 helpful votes</t>
  </si>
  <si>
    <t>Travel Lodge waterlooOne of the worst experience ever. Booked through exprdia and the 
reservation information was not passed to the hotel accurately. Reserved 7 
rooms for a group only had 6 opon arrival and several we're the wrong bed 
configuration. Talked to travel Lodge 2 days prior to arrival and most 
everything with the reservation was wrong. Many of our members had to 
change rooms the next day because of either wrong bed configuration or 
something was wrong with room.Read moreDate of stay: August 
2018HelpfulShareResponse from TravelodgeUK, Molly from the Social Media 
Team at Travelodge London Waterloo HotelResponded 8 Aug 2018Thank you for 
submitting your review of our London Waterloo Travelodge. We're very sorry 
to hear about your recent experience and would like to hear more about your 
stay. May we kindly request you contact us via our website so our customer 
service team can investigate your visit with the hotel. Thank you again for 
posting your comments and we hope to hear from you soon.Read more</t>
  </si>
  <si>
    <t>https://www.tripadvisor.co.uk/Hotel_Review-g186338-d243667-Reviews-or1230-Travelodge_London_Kings_Cross_Royal_Scot-London_England.html#REVIEWS</t>
  </si>
  <si>
    <t>74sylvia wrote a review Aug 2018Dorset, United Kingdom48 contributions10 
helpful votes</t>
  </si>
  <si>
    <t>dawnwigley1 wrote a review Apr 2019Nottingham, United Kingdom15 
contributions</t>
  </si>
  <si>
    <t>A gemHubby and I recently stayed here for one night. We travelled from home by 
train and wanted a hotel near the station. This one is literally a five 
minute walk, perfect. On entering the hotel we were surprised at how nice 
everything looked (and clean). The receptionist was lovely, very polite and 
helpful. Am sorry I didn’t get her name. We booked a superior double and it 
was all that they said it would be. Large, clean, lovely soft bed, choice 
of pillows. The bathroom was clean and tidy. We unpacked then went to the 
bar for something to eat. Service again was excellent as was our burger n 
chips. Breakfast next morning didn’t disappoint, large well stocked buffet. 
We will definitely use this hotel again next time we are in town. Our 
thanks to all the lovely staff.Read moreDate of stay: August 
2018HelpfulShare</t>
  </si>
  <si>
    <t>clean and efficientneeded a overnight accommodation before using a Eurostar - good location, 
plenty of places to eat / drink. Good breakfast; plenty of hot and cold 
food and staff refreshing it all the time. only 10 minutes from Kings 
CrossRead moreReview collected in partnership with this hotelDate of stay: 
April 2019HelpfulShare</t>
  </si>
  <si>
    <t>muckymother wrote a review Aug 2018Fareham, United Kingdom8 contributions4 
helpful votes</t>
  </si>
  <si>
    <t>Roving41625774767 wrote a review Apr 20192 contributions</t>
  </si>
  <si>
    <t>A really good 3 nightsWe thoroughly enjoyed our stay which included a fine breakfast. The staff 
were always pleasant and most helpful. And the location was very convenient 
for catching a tube or the hop on hop off bus. The rooms were most adequate 
for all our needs.Read moreReview collected in partnership with this 
hotelDate of stay: April 2019HelpfulShare</t>
  </si>
  <si>
    <t>Short London breakFor the price this was a good budget hotel. The hotel has recently been 
refurbished, it looked clean and modern. The family room was large for 
myself, my husband and our 18yr old daughter. Air conditioning was welcome 
as it was one of the hottest weekends of the year. The only negative aspect 
we’re the pillows....they were very hard! Also our room card was de 
activated before we were due to check out, a minor issue which the 
reception staff sorted promptly Breakfast was good value, kept us going 
till dinner!Read moreReview collected in partnership with TravelodgeDate of 
stay: August 2018HelpfulShare</t>
  </si>
  <si>
    <t>bryan521952 wrote a review Aug 2018Bierton, United Kingdom5 contributions1 
helpful vote</t>
  </si>
  <si>
    <t>Great Value Stay in Waterloo TravelodgeJust had one night in the hotel. It is very convenient for Waterloo 
Station. The room was a reasonable size and very comfortable. We had the 
buffet breakfast which was reasonably priced and had a good selection. All 
the staff we met were very friendly and helpful. We would definitely stay 
again.Read moreReview collected in partnership with TravelodgeDate of stay: 
August 2018HelpfulShare</t>
  </si>
  <si>
    <t>John R wrote a review Apr 2019Manchester, England, United Kingdom12 
contributions24 helpful votes</t>
  </si>
  <si>
    <t>https://www.tripadvisor.co.uk/Hotel_Review-g186338-d1812157-Reviews-or920-Travelodge_London_Waterloo_Hotel-London_England.html#REVIEWS</t>
  </si>
  <si>
    <t>If you like an old bathroom .....this is the place for you. Hadn’t stayed here for 18 months and on arrival 
was told that they’d made many improvements. I didn’t find any. The room 
itself was OK but the bathroom was terrible. It was old and didn’t really 
look as clean as I would expect. In fact, the room was so depressing, I 
checked out immediately after breakfast and spent 2 hours sightseeing 
before catching my train home. The following week I stayed at a different 
chain for a similar price and was far far happier.Read moreReview collected 
in partnership with TravelodgeDate of stay: April 2019HelpfulShareResponse 
from TravelodgeUK, Shaf from the Social Media Team. at Travelodge London 
Kings Cross Royal ScotResponded 12 Apr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</si>
  <si>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hughesstephen6 wrote a review Aug 20182 contributions1 helpful vote</t>
  </si>
  <si>
    <t>Travelodge WaterlooGreat Hotel in a convenient location. Only a 5 min walk from Waterloo 
station and 10 min walk to the Southbank. Clean, quiet room with new décor 
(we were on the top floor). Comfy bed, powerful, hot shower and lovely 
quiet and efficient aircon.Read moreReview collected in partnership with 
TravelodgeDate of stay: August 2018HelpfulShare</t>
  </si>
  <si>
    <t>Ian S wrote a review Aug 2018Sevenoaks, United Kingdom58 contributions12 
helpful votes</t>
  </si>
  <si>
    <t>https://www.tripadvisor.co.uk/Hotel_Review-g186338-d243667-Reviews-or1235-Travelodge_London_Kings_Cross_Royal_Scot-London_England.html#REVIEWS</t>
  </si>
  <si>
    <t>Great value in central LondonStayed here recently on a Friday night. Staff were welcoming and the hotel 
was clean and modern. It’s in a great location just a few minutes walk from 
the Southbank. We had a cheap but good value breakfast in the morning.Read 
moreDate of stay: July 2018HelpfulShare</t>
  </si>
  <si>
    <t>Relax58022144625 wrote a review Apr 2019Margate, United Kingdom1 
contribution</t>
  </si>
  <si>
    <t>2 Day Leisure StayHotel room was spacious, clean and the bed was firm and comfortable. The 2 
of us used the hotel as a base to visit various places in London. It was a 
short 10 minute walk from Kings Cross Station. Thoroughly recommend and we 
had a deal on the price for a 2 night stay, so was even better value for 
money.Read moreReview collected in partnership with TravelodgeDate of stay: 
April 2019HelpfulShare</t>
  </si>
  <si>
    <t>Graham W wrote a review Aug 2018Newcastle upon Tyne, United Kingdom1 
contribution</t>
  </si>
  <si>
    <t>Travelodge Waterloo - RefreshedStayed at Waterloo for a recent business trip and while I have stayed there 
several times before this is the first time I have stayed there since a 
room refurbishment and have to say it was the best stay yet. With 
Travelodge you know what you're going to get, decent priced but minimal 
rooms but following a recent room refurbishment the room now looks a lot 
better with a modern feel which is nice to see. The bathroom is still of 
the functional but efficient variety but the main room décor is far better 
and relaxing. Will definitely visit there again.Read moreReview collected 
in partnership with TravelodgeDate of stay: August 2018HelpfulShare</t>
  </si>
  <si>
    <t>Amanda C wrote a review Aug 2018Blackpool, United Kingdom37 contributions7 
helpful votes</t>
  </si>
  <si>
    <t>Fantastic family stayThis is a great place to stay close to Waterloo station and underground 
Short walk to the eye and river Thames The hotel was in a great location 
and rooms had the benefit of air conditioning we ate breakfast twice which 
was great value as kids under 15 ate free could benefit from a bit more 
choice only had scrambled egg , bacon, sausage ,tomatoes ,beans and hash 
browns on the hot section but did have fruit ,yougurts , toast croissant 
etc We also ate dinner there a couple of nights the half roast chicken with 
lemon and herb is gorgeous as we’re the pizzas I was a little worried as 
it’s very close to an ambulance station but we didn’t hear a thing from our 
rooms Rooms clean and well maintained freshened up daily with clean towels 
, tea coffe etc beds made too ( I made the…Read moreDate of stay: July 
20181 Helpful voteHelpfulShare</t>
  </si>
  <si>
    <t>https://www.tripadvisor.co.uk/Hotel_Review-g186338-d1812157-Reviews-or925-Travelodge_London_Waterloo_Hotel-London_England.html#REVIEWS</t>
  </si>
  <si>
    <t>wheelodublin wrote a review Apr 2019Dublin, Ireland8 contributions4 helpful 
votes</t>
  </si>
  <si>
    <t>Francesca B wrote a review Aug 20181 contribution</t>
  </si>
  <si>
    <t>Lovely StayStaff were lovely. A little bit of a language barrier with some. Menu 
wasn't bad. Could have been a better selection of draught beers. Manager on 
duty ( Joad ) was extremely helpful when we arrived too early.Read 
moreReview collected in partnership with this hotelDate of stay: April 
2019HelpfulShare</t>
  </si>
  <si>
    <t>a nice surpriseeverything was perfect compared with the price the breakfast was well 
served and full the hotel is quiet and the location is very conforable... 
It is very close to Big Bang tower clock in London and well served by 
public transportation the hall and the bar is very confortable tooRead 
moreDate of stay: July 2018HelpfulShare</t>
  </si>
  <si>
    <t>Wander51337200419 wrote a review Apr 2019London, United Kingdom1 
contribution1 helpful vote</t>
  </si>
  <si>
    <t>451richardjohnson wrote a review Aug 2018Lincoln, United Kingdom1 
contribution</t>
  </si>
  <si>
    <t>Complete nightmareTerrible hotel with dirty rooms marks on the walls furniture scratched up. 
Unprofessional and rude foreign staff. Booked for 2 nights left in the 
morning of the 1st night. Stay clear of this hell like hotel.Read 
moreReview collected in partnership with TravelodgeDate of stay: March 
2019HelpfulShareResponse from TravelodgeUK, Molly from the Social Media 
Team at Travelodge London Kings Cross Royal ScotResponded 10 Apr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</si>
  <si>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4 day stayStaff excellent, all being extremely friendly Food excellent, enjoyed the 
selection of food available fir dinner &amp; thought £12 for 2 courses 
excellent value Room very good though a set of drawers would have been 
good, as only an open rail with 6 hangers on Well positionedRead moreReview 
collected in partnership with TravelodgeDate of stay: July 2018HelpfulShare</t>
  </si>
  <si>
    <t>Kaawiss wrote a review Apr 2019Lecco, Italy9 contributions</t>
  </si>
  <si>
    <t>https://www.tripadvisor.co.uk/Hotel_Review-g186338-d1812157-Reviews-or575</t>
  </si>
  <si>
    <t>ABSOLUTELY GREAT!I stayed on Monday 8 April for a job interview and everything was just 
great. I have been welcomed by Bella who checked me in and explained 
everything. After an hour I went down for dinner and at reception the 
assistant manager Joao asked about my room and afterwards we had a 
conversation at reception with Bella and the other receptionist Damy. He is 
the best hotel manager I have met so far, very caring about his staff and 
quite friendly and charming. Dinner was delicious and served by bar/kitchen 
staff in a very professional way and a friendly smile. The room was 
spotless and smelt nice, but the staff makes this hotel. At breakfast 
everything was refilled and staff happy to help. Keep it up guys, you are 
FANTASTIC!Read moreDate of stay: April 2019HelpfulShare</t>
  </si>
  <si>
    <t>Oliver K wrote a review Aug 20185 contributions1 helpful vote</t>
  </si>
  <si>
    <t>Business tripStayed here on a few occasions and have always found the hotel to be clean 
and efficient. The check in was quick and efficient and The rooms are clean 
and have everything you need for a few nights away. Would recommend the 
location, it's close to all the main attractions etc.Read moreDate of stay: 
August 2018HelpfulShare</t>
  </si>
  <si>
    <t>https://www.tripadvisor.co.uk/Hotel_Review-g186338-d243667-Reviews-or1240-Travelodge_London_Kings_Cross_Royal_Scot-London_England.html#REVIEWS</t>
  </si>
  <si>
    <t>peterfU2551VZ wrote a review Aug 2018Birmingham, United Kingdom2 
contributions</t>
  </si>
  <si>
    <t>poyul salsero wrote a review Apr 2019Sheffield, United Kingdom13 
contributions2 helpful votes</t>
  </si>
  <si>
    <t>Great refurbished and central location TravelodgeThis Travelodge is a 10min walk from Waterloo station and ideally situated 
if you are sightseeing or going to see a show. Rooms are all newly 
refurbished and have temperature control and a tv. Can’t grumble for a 
central London location. Lift is a little noisy and we did need a bulb 
changing in our room which after asking did not get done. Breakfast area is 
hot especially with hot plates and toasters. If the air con was on this 
would have been better. Overall best Travelodge stayed in London so far as 
others are severely outdated and grubby.Read moreReview collected in 
partnership with TravelodgeDate of stay: July 2018HelpfulShare</t>
  </si>
  <si>
    <t>nice on the surfacesmall room furthest from the lifts. used to be a single with a single bed 
but now a double bed, with a single headboard and light switches behind the 
pillow. Bedsite light did not work and there was no bedside table. Wash 
basin was cracked and there was no bathmat so used a towel. Tiles were not 
none slip and I did! Breakfast - mushrooms were soggy and the egg choice 
was scrambled or nothing. Rather than replenish items at the breakfast bar 
they remove the trays and bring back full, it was only at the end I 
realised I could have had hash browns too. I told them all this and they 
still wanted me to submit a review so I have! Everything else was fine.Read 
moreReview collected in partnership with this hotelDate of stay: March 
2019HelpfulShareResponse from TravelodgeUK, Molly from the Social Media 
Team at Travelodge London Kings Cross Royal ScotResponded 10 Apr 2019Thank 
you for your review. We are sorry to hear that the bedside light was not 
working during your stay and the basin in the bathroom was cracked. We will 
certainly log this with our Maintenance Team. We are also sorry to learn of 
your disappointment with the food at our Breakfast Buffet. We hope to 
provide an unlimited and varied selection in our Buffet, and we apologise 
if there was a delay in replenishing the food. We will certainly pass your 
comments on to the Team in attempt to improve the service we provide. Thank 
you for taking the time to leave your comments, we hope to welcome you back 
to stay with us again in the near future.Read more</t>
  </si>
  <si>
    <t>leavethecatalone wrote a review Apr 2019Saxmundham, United Kingdom43 
contributions5 helpful votes</t>
  </si>
  <si>
    <t>https://www.tripadvisor.co.uk/Hotel_Review-g186338-d1812157-Reviews-or930-Travelodge_London_Waterloo_Hotel-London_England.html#REVIEWS</t>
  </si>
  <si>
    <t>mariabF6533EF wrote a review Aug 2018Lowestoft, United Kingdom9 
contributions1 helpful vote</t>
  </si>
  <si>
    <t>OkStayed here for one night. Room ok, a little noisy in the morning, clean 
enough. Bathroom tired but functional. TV constantly loses signal. Communal 
areas looked ok although we didn’t use them. Staff were friendly and 
helpful, especially Miguel. Reasonably priced.Read moreDate of stay: April 
2019HelpfulShareResponse from TravelodgeUK, Tilly from The Social Media 
Team at Travelodge London Kings Cross Royal ScotResponded 11 Apr 2019Thank 
you for your review of our London Kings Cross Royal Scot hotel. We're 
pleased to learn that you enjoyed your overall stay and we will pass your 
comments to the hotel team. We hope to welcome you back in the near 
future.Read more</t>
  </si>
  <si>
    <t>Flossieboop wrote a review Apr 20191 contribution</t>
  </si>
  <si>
    <t>Great Location, Clean and ComfortableHotel is great location for central London, and near train station as well, 
room was clean and comfortable, staff were friendly. We were able to leave 
our bags at reception in a locked room before and after our check-in due to 
times we were arriving / leaving and wanted to go out and explore. We 
didn't eat / drink at the hotel as we were out and about so much. But it 
did look to have improved from when we last visted 12 months earlier.Read 
moreReview collected in partnership with TravelodgeDate of stay: July 
2018HelpfulShare</t>
  </si>
  <si>
    <t>Frustrated wrote a review Jul 2018Lichfield, United Kingdom50 
contributions31 helpful votes</t>
  </si>
  <si>
    <t>Disgusting roomsWhen we first walked in we asked if our room was ready, we were told that 
it was but to get in early we have to pay a £10 early check in fee... 
Nothing mentioned about that anywhere!when we got to our room, the most 
noticeable thing was that each mirror was absolutely filthy! I had to wipe 
the one in the bathroom down myself just to be able to use it. The kettle 
hadn't been emptied for a while, as it was full stagnant water. There was a 
distinct smell of cigarette smoke throughout the room. Just outside of our 
window was a lovely view of a dirty nappy, boxes and boxes or discarded 
cigarette packets, bones, cigarette butts, plastic bags, empty cans etc. 
The shower head you had to hold in your hand just to get it to reach you, 
as it wouldn't stay up in the holder. When I pulled…Read moreDate of stay: 
April 2019HelpfulShareResponse from TravelodgeUK, Tilly from The Social 
Media Team at Travelodge London Kings Cross Royal ScotResponded 10 Apr 
2019Thank you for taking the time to review our London Kings Cross Royal 
Scot.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</si>
  <si>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Accommodation great, cafe not so good!We stayed for one night whilst visiting the Merlin attractions by County 
Hall. The hotel is a short walk from Waterloo station so was in an ideal 
location for our visit. The property is either new or has been newly 
refurbished as it all looks clean and fresh. Our room and bathroom were 
clean and fresh too. With the recent temperatures, air conditioning was 
very welcome and we all slept well. We would definitely stay here again but 
look for an alternative for dinner as the time it took for our food to 
arrive was unacceptable when you have two tired and hungry kids - we were 
there for over two hours! That said, the food was good as was breakfast 
though it was very crowded.Read moreReview collected in partnership with 
TravelodgeDate of stay: July 2018HelpfulShare</t>
  </si>
  <si>
    <t>Culture39901322161 wrote a review Apr 2019Nottinghamshire, United Kingdom1 
contribution</t>
  </si>
  <si>
    <t>Helen S wrote a review Jul 2018Kidderminster, United Kingdom258 
contributions30 helpful votes</t>
  </si>
  <si>
    <t>Run downVery poor room. The bath was filthy, didn't want to attempt using the 
kettle as that didn't look inviting. Carpet was worn, tired and dirty and 
one of the beds weren't used as the springs were everywhereRead moreReview 
collected in partnership with this hotelDate of stay: April 
2019HelpfulShareResponse from TravelodgeUK, Tilly from The Social Media 
Team at Travelodge London Kings Cross Royal ScotResponded 10 Apr 2019Thank 
you for submitting your review of our London Kings Cross Royal Scot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</si>
  <si>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Better after refurbishmentIf this was to be rated against other hotels then it wouldn’t be worthy of 
a four rating but rated against other Travelodge establishments it is 
better than others. Have stayed here before and it wasn’t very good, but 
now it’s had some modernisation and a refurbishment it is much better.Read 
moreDate of stay: July 2018HelpfulShare</t>
  </si>
  <si>
    <t>DrSW wrote a review Apr 20191 contribution</t>
  </si>
  <si>
    <t>Lovely staff, great location, decent price, but shabbyThis travelodge is definitely my go-to place for when I’m working in 
London. The cost is acceptable (it averages at about £490 a working week 
for me), and the location is perfect. The downside is it is definitely a 
bit shabby and almost every room I’ve stayed in has some small problems 
(broken light, missing bath plug, curtains that don’t quite close because 
the hooks are broken, mouldy patch on a carpet, tv hanging at a jaunty 
angle). If you’re pretty pragmatic about minor problems (the beds are fine, 
the hotel generally isn’t too noisy, staff are very good at arranging 
swapped rooms for anything more pressing), then it’s reasonable value for 
city centre accommodation. The general feel is it’s just all needing a bit 
of a spruce up. The up side has got to be the staff. They are…Read moreDate 
of stay: April 2019HelpfulShare</t>
  </si>
  <si>
    <t>https://www.tripadvisor.co.uk/Hotel_Review-g186338-d243667-Reviews-or1245-Travelodge_London_Kings_Cross_Royal_Scot-London_England.html#REVIEWS</t>
  </si>
  <si>
    <t>Karen G wrote a review Apr 2019Greenock, United Kingdom21 contributions7 
helpful votes</t>
  </si>
  <si>
    <t>https://www.tripadvisor.co.uk/Hotel_Review-g186338-d1812157-Reviews-or935-Travelodge_London_Waterloo_Hotel-London_England.html#REVIEWS</t>
  </si>
  <si>
    <t>Yearly London tripWe have stayed here before always happily with no issues that we couldn't 
live with ..same this time ..clean room and surprisingly fantastic shower!! 
Bed as comfortable as ever ..furniture still outdated but suited needs 
....the windows I love as I can sleep with them open to the world without 
the weather getting in:) ...but without a doubt the reason to come back is 
the staff . 100% on the ball and smiling especially samara in the dining 
area . No matter what time she is always welcoming.. smiling ..on the ball 
updating about menus etc. And she always remembers you!! .. do not let this 
girl go! And again we will be back :)Read moreDate of stay: April 
2019HelpfulShare</t>
  </si>
  <si>
    <t>MarkySmithy wrote a review Jul 2018Mansfield, United Kingdom4 contributions</t>
  </si>
  <si>
    <t>dtommasi66 wrote a review Apr 2019Johannesburg, South Africa8 
contributions2 helpful votes</t>
  </si>
  <si>
    <t>Very clean hotel with friendly and helpful staffAn excellent, clean and bright hotel to stay in, only 5 to 10 minutes walk 
from all the infamous London attractions such as the London Eye, London 
Dungeons, Shrek Adventure, Sea Life, River Cruises etc.Read moreReview 
collected in partnership with TravelodgeDate of stay: July 2018HelpfulShare</t>
  </si>
  <si>
    <t>Utilitarian at best!We arrived early after a very long flight and had to pay for an early check 
in. Seeing s the room was ready it would have been nice to have been 
offered the early check in without feeling that it was a commercial 
transaction! We were given a room in the basement part of the hotel so our 
view was atrocious and we had a pavement directly outside our window so 
passers by could look down into the room. The room and bathroom were very 
clean and the linen was crisp and white. Beds were tiny but comfy!! 
Bathroom was very small for two people to navigate and we never had hot 
water, it was always luke warm at best. So a nice hot shower after a long 
cold day sightseeing was never an option. Breakfast spread was good, well 
presented, fresh and tasty. The staff is super friendly and…Read moreDate 
of stay: March 2019HelpfulShare</t>
  </si>
  <si>
    <t>ragman1960 wrote a review Jul 2018Dukinfield, United Kingdom367 
contributions47 helpful votes</t>
  </si>
  <si>
    <t>Jess_98x wrote a review Apr 2019Newcastle upon Tyne, United Kingdom2 
contributions6 helpful votes</t>
  </si>
  <si>
    <t>Comfortable room,nice breakfast.Decided to have a 3 day stay in London.This hotel was near famous 
places,Buckingham palace,London eye etc and fitted the bill.Just in walking 
distance of the tube and great for everything.Comfortable room and a nice 
breakfast at a good price and very helpful staff made for a great 
weekend,thanks to everybody who helped make our stay enjoyable.Read 
moreDate of stay: July 2018HelpfulShare</t>
  </si>
  <si>
    <t>Jo R wrote a review Jul 20181 contribution</t>
  </si>
  <si>
    <t>A Bad StayI arrived at the hotel quiet late got into my room. My room was very cold 
even with the heater on. The pillows were so hard! My window was also 
broken and I could hear everything outside so I did not sleep well at all!! 
Very unpleased stay. Staff however were very friendly at check in.Read 
moreReview collected in partnership with this hotelDate of stay: April 
2019HelpfulShareResponse from TravelodgeUK, Molly from the Social Media 
Team at Travelodge London Kings Cross Royal ScotResponded 8 Apr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</si>
  <si>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Really friendly and helpful staffIn London for a two night break with my daughter. Staff really friendly and 
helpful. Hotel and room clean and tidy. Breakfast really good. Also had 
supper there one evening, which was also very good. Short walk away from 
Waterloo station.Read moreDate of stay: July 2018HelpfulShare</t>
  </si>
  <si>
    <t>Annabelle wrote a review Apr 2019Lincolnshire, United Kingdom10 
contributions</t>
  </si>
  <si>
    <t>TrishaMidlands wrote a review Jul 2018Midlands78 contributions39 helpful 
votes</t>
  </si>
  <si>
    <t>Nice stayOverall price was good for the quality of the rooms and the great location 
was very convenient. The breakfast was very nice and we were greeted by a 
friendly Zain,who was very welcoming and polite. Would come and stay here 
again.Read moreDate of stay: April 2019HelpfulShare</t>
  </si>
  <si>
    <t>Superb valueStayed one night 27 July . Lovely staff , room basic but very clean . Good 
central location . Couldn’t fault it for the money . Would stay here again 
without hesitation. Would recommend to budge conscious travellers looking 
for a safe location with 24 hour reception.Read moreDate of stay: July 
2018HelpfulShare</t>
  </si>
  <si>
    <t>https://www.tripadvisor.co.uk/Hotel_Review-g186338-d243667-Reviews-or1250-Travelodge_London_Kings_Cross_Royal_Scot-London_England.html#REVIEWS</t>
  </si>
  <si>
    <t>https://www.tripadvisor.co.uk/Hotel_Review-g186338-d1812157-Reviews-or940-Travelodge_London_Waterloo_Hotel-London_England.html#REVIEWS</t>
  </si>
  <si>
    <t>Anu wrote a review Apr 20191 contribution</t>
  </si>
  <si>
    <t>Michael G wrote a review Jul 2018Lymington, United Kingdom9 contributions1 
helpful vote</t>
  </si>
  <si>
    <t>Nice hotel and friendly staffClean and nice place conveniently close to King's Cross station. Friendly 
staff, especially Arslan in the lobby was very helpful and kind enough to 
get me an early check-in after my long flight to London.Read moreDate of 
stay: April 2019HelpfulShare</t>
  </si>
  <si>
    <t>two night staythis hotel was perfect for our visit close to waterloo station for the 
tube, getting around was very easy as most busses seemed to start from here 
as well. service at the hotel was more than adequate friendly staff, the 
room was clean, breakfast was fine help yourself as often as you required. 
as we chose a very hot period air con was very welcome in our room , we 
would definitely use this hotel again, tip when you exit waterloo main 
station head towards platforms 1-2-3 opposite is exit and escalator down to 
Waterloo RoadRead moreDate of stay: July 2018HelpfulShare</t>
  </si>
  <si>
    <t>CardiffRjm3 wrote a review Apr 2019Cardiff2 contributions1 helpful vote</t>
  </si>
  <si>
    <t>Friendliest staff everAlthough this is a very basic hotel it is made better by the friendliest 
staff. Small rooms and slow food all overshadowed by a warm welcome and 
helpful, smiley staff team without exception. Thank you for a lovely 
stay.Read moreDate of stay: April 2019HelpfulShare</t>
  </si>
  <si>
    <t>Lindsay T wrote a review Apr 2019Leicester, United Kingdom50 
contributions23 helpful votes</t>
  </si>
  <si>
    <t>Sunseekers186377 wrote a review Jul 2018Stafford, United Kingdom14 
contributions28 helpful votes</t>
  </si>
  <si>
    <t>Good, basic accommodation at a very reasonable price.Stayed overnight when in London for a business trip. Price was good and 
accommodation, although basic, was adequate. Hotel is 10 minutes walk from 
Kings Cross St Pancras and there is daytime only access to the Underground 
even closer. Staff were very friendly and room was clean and comfortable. I 
found the road outside a bit noisy but I live in a quiet village and this 
IS central London so it is probably not that noisy relatively speaking.Read 
moreReview collected in partnership with this hotelDate of stay: April 
2019HelpfulShare</t>
  </si>
  <si>
    <t>Understaffed?Restaurant and bar seemed understaffed or staffed by untrained people. No 
plates, bowls or glasses for long periods during breakfast.Food was at best 
average. Rest of hotel was value for Money.Pity about restaurant.Read 
moreReview collected in partnership with TravelodgeDate of stay: July 
2018HelpfulShareResponse from TravelodgeUK, Shaf from the Social Media Team 
at Travelodge London Waterloo HotelResponded 29 Jul 2018Thank you for 
reviewing our London Waterloo Travelodge. We're really sorry to hear you 
felt the restaurant was not up to standards with its service and we will 
ensure to pass your comments on to the Hotel Manager. Once again thank you 
for your review.Read more</t>
  </si>
  <si>
    <t>Celeste O wrote a review Apr 20191 contribution</t>
  </si>
  <si>
    <t>davidwilds58 wrote a review Jul 2018Newark-on-Trent, United Kingdom5 
contributions2 helpful votes</t>
  </si>
  <si>
    <t>COMFORTABLE STAY!We stayed here during July this year, I found the reception staff and the 
staff cleaning and tidying rooms very friendly and helpful. comfortable new 
beds and the Air Con was worth its weight in gold!!Read moreReview 
collected in partnership with TravelodgeDate of stay: July 2018HelpfulShare</t>
  </si>
  <si>
    <t>Heating not working, teeny tiny beds and not very well maintainWhen I arrived to the hotel all my windows were open and the room was super 
cold. The heating was not working and i needed to use the duvet from the 
second bed to be able to fight the cold. All the furniture is old and is 
not well maintained. My stay was not enjoyable at all. Will not repeat.Read 
moreReview collected in partnership with TravelodgeDate of stay: April 
2019HelpfulShareResponse from TravelodgeUK, Tilly from The Social Media 
Team at Travelodge London Kings Cross Royal ScotResponded 7 Apr 2019Many 
thanks for submitting your review of our London Kings Cross Royal Scot 
hotel. We understand that your overall experience was not exceptional and 
we do apologise for this. We'll be sure to pass your valuable feedback 
directly to our colleagues in our hotel as this is the best way for us to 
improve the service we offer. Thank you again for your review.Read more</t>
  </si>
  <si>
    <t>100Philip wrote a review Jul 2018Aintree, United Kingdom51 contributions36 
helpful votes</t>
  </si>
  <si>
    <t>KAHotelstayer wrote a review Apr 20192 contributions1 helpful vote</t>
  </si>
  <si>
    <t>Best nights sleepGreat room. It was at perfect temperature the moment I stepped in it - that 
is a great detail. The reception process was quick and very efficient. 
Pleasant staff all round. At breakfast the staff were friendly and 
helpful.Read moreReview collected in partnership with TravelodgeDate of 
stay: July 2018HelpfulShare</t>
  </si>
  <si>
    <t>Abusive staff. False investigation by Travelodge.I was verbally abused by the security guard ( told to f*** off, asked what 
my f***ing problem was, called a prostitute and he tried to throw we out). 
Its a police matter now as manager refused to deal with it and travelodge 
said they were investigating..then offered me a refund despite it was my 
friends booking! So clearly there was no investigation. The security is a 
thug, the manager took no action. Be warned...stay at travelodge and if the 
staff dont lile your face expecy verbal and physical abuse.Read moreDate of 
stay: March 20191 Helpful vote1 RepostHelpfulShareResponse from 
TravelodgeUK, Molly from the Social Media Team at Travelodge London Kings 
Cross Royal ScotResponded 4 Apr 2019Thank you for your review. We are very 
concerned to hear of your experience. We understand that you have already 
contacted our Priority Team, who will undertake a full investigation and be 
in touch with you directly. Thank you again for submitting your review.Read 
more</t>
  </si>
  <si>
    <t>https://www.tripadvisor.co.uk/Hotel_Review-g186338-d1812157-Reviews-or945-Travelodge_London_Waterloo_Hotel-London_England.html#REVIEWS</t>
  </si>
  <si>
    <t>raymondj386 wrote a review Jul 20188 contributions4 helpful votes</t>
  </si>
  <si>
    <t>https://www.tripadvisor.co.uk/Hotel_Review-g186338-d243667-Reviews-or1255-Travelodge_London_Kings_Cross_Royal_Scot-London_England.html#REVIEWS</t>
  </si>
  <si>
    <t>Gary M wrote a review Apr 2019Canvey Island, United Kingdom40 
contributions15 helpful votes</t>
  </si>
  <si>
    <t>Enjoyable stay but under-staffedrestaurant on Sunday evening staffed by one person only, some people 
waiting a long for orders to be taken and food to be brought to the table. 
Breakfast time also affected with crockery and food not timely replenished 
leaving empty containers and no plates.Read moreDate of stay: July 
2018HelpfulShareResponse from TravelodgeUK, Molly from the Social Media 
Team at Travelodge London Waterloo HotelResponded 25 Jul 2018Thank you for 
taking the time to write a review. We wish for our customers to enjoy their 
experience in our café so we are sorry to hear that you were not positively 
impressed by your last stay in our hotel. We aim to provide a high level of 
service from our staff in our bar cafes and we do apologise that you did 
not receive this on this occasion. We will make the most of your comments 
to continue improving the service we offer and we hope to welcome you again 
in the near future.Read more</t>
  </si>
  <si>
    <t>seriously_fussy wrote a review Jul 201852 contributions21 helpful votes</t>
  </si>
  <si>
    <t>Small but great serviceRooms smaller than expected but bed soft and comfortable. Only down side 
could not book early morning call as I needed to get a 5.40 euro train. Bar 
staff were very friendly and put up with a lot of banter from residenceRead 
moreDate of stay: April 2019HelpfulShareResponse from TravelodgeUK, Molly 
from the Social Media Team at Travelodge London Kings Cross Royal 
ScotResponded 5 Apr 2019Thank you for your review. It is our aim to provide 
our guests with a comfortable and relaxing environment so we are delighted 
to hear that you found the bed to be comfortable, we hope this aided in 
providing you a good night's sleep. We're also pleased to hear that the 
Team were able to make your stay more enjoyable. We hope to consistently 
demonstrate a high level of sincere customer care, and we are pleased to 
hear that this was achieved throughout your stay. However, we are sorry if 
you were unable to book an early morning call. Thanks again for taking the 
time to submit your review, we hope to welcome you back to stay with us 
again in the near future.Read more</t>
  </si>
  <si>
    <t>Camper65599680267 wrote a review Apr 20191 contribution</t>
  </si>
  <si>
    <t>One of the better Travelodge hotelsI have stayed at this hotel on business on a number of occasions and the 
usual Travelodge standards apply. A basic but clean room with good aircon 
and a very comfortable bed. The location is very good; just a short walk to 
the station and close to lots of bars and restaurants. The hotel bar is 
very good - and all the staff very friendly and helpful. This hotel is 
better than other Travelodges i have stayed in largely because of location, 
the bar/restaurant and the high quality staff. So recommended. The usual 
Travelodge style with a bit extra!Read moreDate of stay: July 20181 Helpful 
voteHelpfulShareResponse from TravelodgeUK, Charley from the Social Media 
Team at Travelodge London Waterloo HotelResponded 13 Aug 2018Thank you for 
taking the time to review our London Waterloo Hotel. We're pleased to hear 
that you had an overall positive experience during your stay. It's great to 
read that you enjoyed the location of the hotel as well as the staff that 
were working. It's also lovely to hear that you found the room to be 
comfortable and the aircon to be useful in this heat. Thank you for taking 
the time to share your experience.Read more</t>
  </si>
  <si>
    <t>A real regret and disappointment! Smelling moldy, stained sheets, 
everything damaged.I booked this room without reading any comments because it is a branch of 
Travelodge but it was the biggest mistake. First problem we had that we 
used an international card to pay during online booking. During check in, 
staff told us that we had to make payment again because they didn't receive 
our first payment. We showed him our bill but he and hotel manager 
guaranteed that after our stay our first payment will be returned. We paid 
second time. Besides all the problems about room and must we haven't 
received the return of our payment and I am struggling now with customee 
services by email to get one of our payments' return. It is a real 
disappointment and regret!Read moreReview collected in partnership with 
TravelodgeDate of stay: February 2019HelpfulShareResponse from 
TravelodgeUK, Tilly from The Social Media Team at Travelodge London Kings 
Cross Royal ScotResponded 7 Apr 2019Thank you for your feedback of our 
London Kings Cross Royal Scot hotel. We are really sorry to hear of your 
experience. Please accept our sincerest apologies and we will pass your 
comments onto the hotel as this does not reflect Travelodge standards. If 
you wish to contact us directly to give us more feedback, please be aware 
that you can always contact our Customer Services team with your review. 
Thank you again for your feedback.Read more</t>
  </si>
  <si>
    <t>https://www.tripadvisor.co.uk/Hotel_Review-g186338-d1812157-Reviews-or950-Travelodge_London_Waterloo_Hotel-London_England.html#REVIEWS</t>
  </si>
  <si>
    <t>eliza2355 wrote a review Apr 2019Norwich, United Kingdom88 contributions79 
helpful votes</t>
  </si>
  <si>
    <t>khmp2018 wrote a review Jul 2018Edinburgh, United Kingdom36 contributions8 
helpful votes</t>
  </si>
  <si>
    <t>Stayed here many timesPerfect place for us to stay when visiting London We find this and very 
friendly and accommodating hotel. Near to King's Cross and Islington We 
found the staff so helpful and gave us good information when asking for 
buses Haleema Arescan and Samara were the 3 members of staff that looked 
after us well The rooms were spotless and beds comfy We will return soon 
.Read moreDate of stay: March 2019HelpfulShare</t>
  </si>
  <si>
    <t>Amazingly spacious room with a view in central LondonMy husband, two children and I stayed here for two nights while in London 
to see Harry Potter and the Cursed Child in the West End; we chose the 
hotel because it had the best prices in central London. We were amazed with 
the amount of space we had in our room! My daughter did cartwheels between 
the beds! Plus, we had a view of the London Eye from our window, and saw 
the Shard from a window in the corridor. The room was very clean and 
air-conditioned and we were very comfortable in our beds. The hotel is just 
a short walk from Waterloo Station and we ate at the nearby Wahaca 
restaurant, which was surprisingly quiet for central London, and we enjoyed 
ourselves very much. I would gladly stay there again.Read moreDate of stay: 
July 2018HelpfulShare</t>
  </si>
  <si>
    <t>https://www.tripadvisor.co.uk/Hotel_Review-g186338-d243667-Reviews-or1260-Travelodge_London_Kings_Cross_Royal_Scot-London_England.html#REVIEWS</t>
  </si>
  <si>
    <t>SevernWomble wrote a review Jul 201827 contributions9 helpful votes</t>
  </si>
  <si>
    <t>Andrew J wrote a review Apr 2019Liverpool, United Kingdom2 contributions</t>
  </si>
  <si>
    <t>Exceeded expectationsClean and airy on a hot day in central London, this hotel was perfect for 
our needs, with the added bonus of very friendly and helpful reception 
staff to greet us. Had a room on the 8th floor, with a view of the Shard. 
Slept like a baby - couldn't recommend highly enoughRead moreReview 
collected in partnership with TravelodgeDate of stay: July 2018HelpfulShare</t>
  </si>
  <si>
    <t>Kim1983scolly wrote a review Jul 2018Royton, United Kingdom13 
contributions11 helpful votes</t>
  </si>
  <si>
    <t>Such a welcoming placeA really welcoming hotel in an ideal location plenty of bars restaurants 
and takeaways locally and King Cross tube station is only a short walk away 
for getting around central London and beyond. Martin the hotel manager and 
all the staff in the hotel are so welcoming and friendly nothing is to much 
trouble for them they are always willing to go that extra mile to help you 
one member of staff in particular is Remy if there is anything that you 
need from them or need to know he is the person to see nothing is to much 
trouble at all for him. I always stay at this hotel when I visit 
London.Read moreDate of stay: March 2019HelpfulShare</t>
  </si>
  <si>
    <t>sillers s wrote a review Apr 2019Harrogate, United Kingdom8 contributions1 
helpful vote</t>
  </si>
  <si>
    <t>Poor serviceVisited London on July 20th and stayed here for 4 nights with my boyfriend 
and daughter. Room was the typical travel lodge style, just what I expected 
really. I wasn't too impressed with the service in the restaurant, very 
slow and looked as though they just weren't managing. Saw a few people 
complaining. I was left waiting to order for about 20 mins so I eventually 
got up and went to the bar to ask if I was supposed to order there, I felt 
as though I was being an inconvenience by asking as the guy looked at me 
and said yeah yeah I will be there soon I'm just busy and short staffed, so 
I apologised and said sorry I just wasn't sure what I was supposed to do as 
I was waiting a while. I then saw a few more people complaining about the 
wait. I think the staff could do with having…Read moreDate of stay: July 
2018HelpfulShareResponse from TravelodgeUK, Tilly from the Social Media 
Team at Travelodge London Waterloo HotelResponded 26 Jul 2018Thank you for 
taking the time to write a review about our London Waterloo Hotel . We wish 
for our customers to enjoy their experience in our café so we are sorry to 
hear that you were not positively impressed by your last stay in our hotel. 
We aim to provide a high level of service from our staff in our bar cafes 
and we do apologise that you did not receive this on this occasion. We are 
pleased to hear you were happy with your room We will make the most of your 
comments to continue improving the service we offer and we hope to welcome 
you again in the near future.Read more</t>
  </si>
  <si>
    <t>Great Overnight Stay in Central LondonCracking night stop over location easy access to bars and restaurants in 
Kings Cross and also handy for Tube Station to get around London the check 
in process at the hotel was simple and quickand on site bar / restaurant 
was a good location to chill and eat and drinkRead moreReview collected in 
partnership with this hotelDate of stay: March 2019HelpfulShare</t>
  </si>
  <si>
    <t>mummyrocks_12 wrote a review Jul 2018Atlanta, Georgia11 contributions4 
helpful votes</t>
  </si>
  <si>
    <t>Journey14127681074 wrote a review Apr 20191 contribution</t>
  </si>
  <si>
    <t>Great family hotelStayed here with just me and my 3 kids. Spacious room and great breakfast. 
Great value and super close to Waterloo. The staff were exceptionally 
helpful and let me leave my bag there after I had checked out so I could 
walk around London and then come back and get it before the train from 
waterlooRead moreReview collected in partnership with this hotelDate of 
stay: June 2018HelpfulShare</t>
  </si>
  <si>
    <t>Good hotel for a shortstay London.Nice staying in a good located hotel. Friendly people with good tips! Our 
room was good and clean. Near Kings cross st. Pancras station (10 min 
walking). Also lost of facilities like restaurants and pubs nearby.Read 
moreReview collected in partnership with this hotelDate of stay: March 
2019HelpfulShareResponse from TravelodgeUK, Molly from the Social Media 
Team at Travelodge London Kings Cross Royal ScotResponded 3 Apr 2019Thank 
you for your review. We are delighted to hear that you were impressed with 
your stay at our London Kings Cross Royal Scot Hotel. It is our aim to 
provide an enjoyable stay to all of our guests, and feedback like yours is 
always a pleasure to receive. Thanks again for taking the time to submit 
your review, we hope to welcome you back to stay with us again in the near 
future.Read more</t>
  </si>
  <si>
    <t>J Z wrote a review Jul 2018Edogawa, Japan72 contributions26 helpful votes</t>
  </si>
  <si>
    <t>Fearless22995973643 wrote a review Apr 20191 contribution</t>
  </si>
  <si>
    <t>Nice place to stay in WaterlooThis newly refurbished Travelodge was pleasant, comfortable and provided us 
good value for a 5-day family stay. The staff were the best, friendly, and 
helpful. The location was convenient to transportation also.Read moreDate 
of stay: June 2018HelpfulShare</t>
  </si>
  <si>
    <t>Much improved from previous visitThe downstairs facilities have had recent improvements and benefit the 
hotel greatly. Rooms are a little tired but given the reasonable location 
to Kings Cross and price it does the job for a short stay.Read moreReview 
collected in partnership with TravelodgeDate of stay: March 2019HelpfulShare</t>
  </si>
  <si>
    <t>https://www.tripadvisor.co.uk/Hotel_Review-g186338-d1812157-Reviews-or955-Travelodge_London_Waterloo_Hotel-London_England.html#REVIEWS</t>
  </si>
  <si>
    <t>yorkshirelasses2018 wrote a review Jul 2018North Yorkshire, United 
Kingdom26 contributions7 helpful votes</t>
  </si>
  <si>
    <t>Weekend break in LondonExcellent hotel, very friendly and helpful staff who went the extra mile to 
make our stay perfect, from check in at reception,when returning late at 
night after a heavy downpour and again at breakfast the next morning. Well 
done!!Read moreReview collected in partnership with this hotelDate of stay: 
July 2018HelpfulShare</t>
  </si>
  <si>
    <t>https://www.tripadvisor.co.uk/Hotel_Review-g186338-d243667-Reviews-or1265-Travelodge_London_Kings_Cross_Royal_Scot-London_England.html#REVIEWS</t>
  </si>
  <si>
    <t>Mr Solo wrote a review Apr 2019Shrewsbury, United Kingdom3 contributions4 
helpful votes</t>
  </si>
  <si>
    <t>Hotel ok just the areaGood value, central position for heading into West End, having stayed at 
this hotel previously, have noticed the area outside going down hill at 
lot, lots of rubbish all over the street etc, and on the road, the hotel 
itself was clean, my room not much of a view, but costing was good so no 
problem.Read moreReview collected in partnership with TravelodgeDate of 
stay: April 2019HelpfulShare</t>
  </si>
  <si>
    <t>Di P wrote a review Jul 2018Cardiff, United Kingdom22 contributions20 
helpful votes</t>
  </si>
  <si>
    <t>Perfect base for our London tripWe found this hotel perfect as a base for visiting London to go to a couple 
of shows and do some general sightseeing. Lambeth North tube station is 
only a 5 minute walk away and gets you via the Bakerloo line to all popular 
areas of London. The hotel itself was clean and confortable and we 
particularly like being able to get a drink at the bar after an evening 
out.Read moreReview collected in partnership with this hotelDate of stay: 
July 2018HelpfulShare</t>
  </si>
  <si>
    <t>Philip F wrote a review Apr 20191 contribution</t>
  </si>
  <si>
    <t>Beth J wrote a review Jul 201824 contributions12 helpful votes</t>
  </si>
  <si>
    <t>2 night stayWe stay at Travelodge quite often and find them all of the same good 
standard. This one at Kings Cross had its own bar and restaurant which we 
used. The prices were competitive and the food was good. The only complaint 
is that all of the TV functions were blocked. We couldn't access the TV 
listings, timer settings or any other functionsRead moreDate of stay: March 
2019HelpfulShare</t>
  </si>
  <si>
    <t>Clean but not quietThe room was clean and bathroom was big and spacious. Cleaners were always 
in and out making sure the room was clean and tidy. Very annoying when you 
are trying to sleep and people are being noisy in the corridors outside 
your room. I do not know if this was guests or staff so I am unsure. 
Overall I would stay here again due to cleanliness and nice staff on the 
front desk.Read moreDate of stay: July 2018HelpfulShare</t>
  </si>
  <si>
    <t>FionaK93 wrote a review Apr 2019Dundee, United Kingdom2 contributions</t>
  </si>
  <si>
    <t>suefree7 wrote a review Jul 2018Cardiff, United Kingdom7 contributions4 
helpful votes</t>
  </si>
  <si>
    <t>Good value for money, great locationClean was tidy and well turned out. Staff were very helpful, and took 
interest in each individual customer. Location was great, easy links into 
the centre of London. Views from the 6th floor of the London skyline were 
great.Read moreReview collected in partnership with TravelodgeDate of stay: 
March 2019HelpfulShare</t>
  </si>
  <si>
    <t>https://www.tripadvisor.co.uk/Hotel_Review-g186338-d1812157-Reviews-or580</t>
  </si>
  <si>
    <t>Travel05698646155 wrote a review Apr 20191 contribution</t>
  </si>
  <si>
    <t>Great VisitWhat a change this Travelodge was from our previous one! We had lovely 
interaction from the receptionist who advised us on train times etc that we 
need to get to Twickenham that evening for a concert. We were on the 8th 
floor, and there were 2 lifts, however only 1 was working when we were 
there and as its such a big hotel it really needed the 2, but this was a 
minor issue but worth mentioning. The room was stunning and this was a 
standard room not a superoom, large L shape with bathroom with a shower, 
and large flat screen tv, desk and chair, beautiful large double bed, tea, 
coffee etc and the most important factor for me in the heatwave was it had 
air-con which was working beautifully. It also had usb ports by the sides 
of the bed, fantastic for charging phones, tablets etc…Read moreDate of 
stay: July 20181 Helpful voteHelpfulShare</t>
  </si>
  <si>
    <t>Beds way too SmallIf you are a bigger than average person then DO NOT book a Twin Room, the 
beds are tiny. Either book a double, or book elsewhere. Other than the beds 
and probably a need for an upgrade, the hotel is not bad and is in a good 
location.Read moreReview collected in partnership with TravelodgeDate of 
stay: March 2019HelpfulShareResponse from TravelodgeUK, Ben from the Social 
Media Team at Travelodge London Kings Cross Royal ScotResponded 2 Apr 
2019Thank you for taking the time to write a review about our London Kings 
Cross Royal Scot hotel. We are pleased to hear that you liked the hotels 
location however we are sorry to learn of your disappointment with the 
single beds you were provided with during your stay.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</si>
  <si>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https://www.tripadvisor.co.uk/Hotel_Review-g186338-d1812157-Reviews-or960-Travelodge_London_Waterloo_Hotel-London_England.html#REVIEWS</t>
  </si>
  <si>
    <t>Ray C wrote a review Jul 20183 contributions3 helpful votes</t>
  </si>
  <si>
    <t>https://www.tripadvisor.co.uk/Hotel_Review-g186338-d243667-Reviews-or1270-Travelodge_London_Kings_Cross_Royal_Scot-London_England.html#REVIEWS</t>
  </si>
  <si>
    <t>seafarer20162016 wrote a review Apr 2019Stourbridge, United Kingdom153 
contributions33 helpful votes</t>
  </si>
  <si>
    <t>Handy Hotel in LondonWe booked the hotel for just one night as we were off to the Hyde Park BST 
concert. It was easy to find, just a few minutes walk from Waterloo 
Station. The hotel is clean and tidy, if a bit corporate in it's layout. 
Pleasant staff and very nice bar and restaurant area. Our room was clean 
and tidy with a/c and coffee machine. The bed was comfortable but the down 
side was the pillows. We both found them to be hard and lumpy, not very 
comfy at all. Apart form the pillows, the hotel was nice and suited our 
purpose.Read moreReview collected in partnership with TravelodgeDate of 
stay: July 2018HelpfulShare</t>
  </si>
  <si>
    <t>Mothers day theatre breakKings Cross Travelodge What you would expect old building some room refurb 
still being upgraded Bathroom a bit disappointing bed very hard but also 
prob tired awaiting usual euro standard Tea coffee etc help yourself top up 
from reception good Great location for getting about on the tube Friendly 
staff Good breakfastRead moreDate of stay: April 2019HelpfulShare</t>
  </si>
  <si>
    <t>Sadie B wrote a review Apr 2019Leeds, United Kingdom11 contributions13 
helpful votes</t>
  </si>
  <si>
    <t>zoeh1968 wrote a review Jul 2018Basingstoke, United Kingdom19 
contributions5 helpful votes</t>
  </si>
  <si>
    <t>Lovely staff and nice facilitiesI stayed here with my mother for a four day weekend whilst attending a 
convention in Greenwich. The location is a 15 minute walk (because my 
mother is slow) from the train station with plenty of food and drink 
options around and transport links everywhere in London. The staff were 
wonderful and went out of their way to assist us with anything we needed - 
we did not have our room cleaned but we did not put out the sign asking for 
this to be done so it was not a problem - it was clean and tidy when we got 
here and had no complaints to start with at all. The tv worked fine with 
all the channels we needed as we didn’t really spend a lot of time in the 
hotel. The lifts are quick and efficient, the breakfast was lovely - it’s 
obviously not 5* accommodation but it’s more than lovely…Read moreDate of 
stay: April 2019HelpfulShare</t>
  </si>
  <si>
    <t>Exeeded expectationsI stayed for 1 night and was just looking for the best value in the area. 
Travelodge has a reputation for being cheap, but of course London prices 
are not! Therefore, I was still not expecting a great deal. However, I was 
met with friendly reception staff who accommodated my request for a quiet 
room at the rear of the hotel. Room was of a good size, comfy bed, good 
shower (bathroom on the small side but for 1 person absolutely fine). Air 
con was a god send in this hot spell, very quiet and kept the room cool as 
it should! 5 mins from Waterloo station it was in the perfect location. I 
would thoroughly recommend.Read moreReview collected in partnership with 
TravelodgeDate of stay: July 2018HelpfulShare</t>
  </si>
  <si>
    <t>Val27 wrote a review Jul 2018Kennesaw, Georgia14 contributions17 helpful 
votes</t>
  </si>
  <si>
    <t>Curious32030417224 wrote a review Mar 20191 contribution</t>
  </si>
  <si>
    <t>Better than expectedRoom was modern and spacious enough! Bed comfortable, USB ports at bedsides 
for convenient device charging. Air conditioning worked and the room had a 
small window we could open, larger part of the window was good for natural 
light. There is a really nice lobby/lounge with food and drink. Breakfast 
was standard, kids eat free with the £9 adult breakfast, making it 
reasonable. They clean up right quickly, making you feel slightly rushed 
but no biggie at 10am;) There is a dispenser in the shower with soap so I 
would recommend bringing your own shampoo and conditioner. They have hair 
dryers at the lobby if you need one. Staff very friendly and responsive. 
Easy to get to from Waterloo station, clearly identifiable. Cab driver told 
me that the fish and chips place next door is the…Read moreDate of stay: 
July 20181 Helpful voteHelpfulShare</t>
  </si>
  <si>
    <t>sarajanec2017 wrote a review Jul 2018Nailsworth4 contributions</t>
  </si>
  <si>
    <t>Poor value for moneyPaid an astronomical price to stop here for two nights. I stop in various 
travelogues up and down the country and find them to be good value on the 
whole. How ever, I would avoid this one! The hotel it's self is extremely 
dreary and dated, over than the reception area and bar which is quite fresh 
and modern. On the first morning of my stay I came out the shower to be 
greeted by 3 cockroaches running across the bathroom, there was also 2 plug 
sockets that didn't work in the room. I complained at the reception, and 
was offered another room and a complimentary breakfast, which I took. The 
staff handled the situation brilliantly, but there wasn't a manager 
available to discuss the fact that I paid over the odds for one night, and 
to encounter this, I would off at least expected a…Read moreReview 
collected in partnership with TravelodgeDate of stay: March 
2019HelpfulShareResponse from TravelodgeUK, James from the Social media 
Team at Travelodge London Kings Cross Royal ScotResponded 31 Mar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</si>
  <si>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Pleasantly surprisedLovely big room, comfortable king size bed and plenty of pillows. Could do 
with more milk in room for coffee/tea. Air-conditioning was wonderful as 
30°C outside. Only negative was 1 lift was out of order so only 1 working 
lift.Read moreReview collected in partnership with this hotelDate of stay: 
July 2018HelpfulShare</t>
  </si>
  <si>
    <t>Surayya1989 wrote a review Mar 201938 contributions15 helpful votes</t>
  </si>
  <si>
    <t>https://www.tripadvisor.co.uk/Hotel_Review-g186338-d1812157-Reviews-or965-Travelodge_London_Waterloo_Hotel-London_England.html#REVIEWS</t>
  </si>
  <si>
    <t>Lovely short stayLovely hotel,lovely friendly staff and amazing breakfast. We really enjoyed 
our stay and will be back soon.would highly recommend this hotel. Thankyou 
to travel lodge London royal scott for the amazing customer service.Read 
moreReview collected in partnership with TravelodgeDate of stay: March 
2019HelpfulShare</t>
  </si>
  <si>
    <t>https://www.tripadvisor.co.uk/Hotel_Review-g186338-d243667-Reviews-or1275-Travelodge_London_Kings_Cross_Royal_Scot-London_England.html#REVIEWS</t>
  </si>
  <si>
    <t>Zoe S wrote a review Jul 2018Southampton, United Kingdom125 
contributions100 helpful votes</t>
  </si>
  <si>
    <t>Eliza C wrote a review Mar 2019London, United Kingdom4 contributions4 
helpful votes</t>
  </si>
  <si>
    <t>Helpful staffAtalanta went out of his way to be so helpful and make my day so much 
better Although busy, there were enough staff around to look after all 
customers and ensure everything ran smoothly Customer service with a smile 
can be rare but not hereRead moreDate of stay: March 2019HelpfulShare</t>
  </si>
  <si>
    <t>SuperRoomWe booked to stay here as we were attending a concert at Wembley Stadium. 
It was an ideal location for tube/rail transport. We paid a little extra 
and got a SuperRoom. It was very much worth the extra money. Large room, 
tea/coffee/hot chocolate/kit kats provided. Nice comfortable bed with a 
selection of pillows, great shower and effective air conditioning unit. We 
watched the England Vs Panama game here as there was a board in reception 
advertising that they were showing it. We asked for the sound to be turned 
on on the TV and we were told this was not possible and they didn't know 
how to do it!? The kick on the teeth was when there was a big screen 
showing the game in another area of the hotel which staff failed to even 
tell anybody!! I would stay again purely for location.…Read moreDate of 
stay: June 2018HelpfulShare</t>
  </si>
  <si>
    <t>BillybunterBoy wrote a review Mar 2019Huddersfield, United Kingdom8 
contributions3 helpful votes</t>
  </si>
  <si>
    <t>Really friendly atmosphereGreat staff,couldn't do enough for you, room clean and tidy, bathroom 
needed decorating. Comfortable night with not too much external noise. 
breakfast fine.extra coffee and milk for the room available free of 
chargeRead moreReview collected in partnership with TravelodgeDate of stay: 
March 2019HelpfulShare</t>
  </si>
  <si>
    <t>raymond b wrote a review Mar 2019York, United Kingdom10 contributions1 
helpful vote</t>
  </si>
  <si>
    <t>mariocW3071BV wrote a review Jul 2018Jesi, Italy7 contributions3 helpful 
votes</t>
  </si>
  <si>
    <t>Not so Royal,Royal ScotNot really very good value for money,situated in quite a shabby area of 
Kings Cross,I didn't find the breakfast value for money, much better to use 
the local cafes and coffee shops.Although as stated a ten minute walk from 
the station,it could be quite intimidating later in the evening.Read 
moreReview collected in partnership with TravelodgeDate of stay: March 
2019HelpfulShareResponse from TravelodgeUK, Molly from the Social Media 
Team at Travelodge London Kings Cross Royal ScotResponded 31 Mar 2019Thank 
you for your review. We apologise if you were disappointed with the 
surroundings of the Hotel, and you felt this was not of good value. We are 
also sorry that you did not feel the breakfast provided was of good value 
for money. Thanks again for taking the time to submit your review, we hope 
to welcome you back to stay with us again in the near future.Read more</t>
  </si>
  <si>
    <t>the bestI highly recommend this hotel for 3 reasons Cleaning courtesy location I 
think it is enough to be guests of this structure located centrally 5 
minutes from Waterloo Station and subway but it is very spacious and very 
clean rooms with the courtesy of the staff at any time of day that advise 
the stay. very good priceRead moreReview collected in partnership with 
TravelodgeDate of stay: July 2018HelpfulShare</t>
  </si>
  <si>
    <t>FrankieCully wrote a review Mar 2019Glasgow, United Kingdom343 
contributions57 helpful votes</t>
  </si>
  <si>
    <t>https://www.tripadvisor.co.uk/Hotel_Review-g186338-d1812157-Reviews-or970-Travelodge_London_Waterloo_Hotel-London_England.html#REVIEWS</t>
  </si>
  <si>
    <t>FineRoom was clean and functional. Place to put suitcases if you arrive early. 
Sneaky extra payment with no explanation. Some staff were better than 
others. Some very friendly and helpful and others not so much.Read moreDate 
of stay: March 2019HelpfulShareResponse from TravelodgeUK, Molly from the 
Social Media Team at Travelodge London Kings Cross Royal ScotResponded 31 
Mar 2019Thank you for your review. We're pleased to hear that you found 
your room to be clean and equipped with all the necessary facilities to 
ensure you a comfortable stay. We do charge a £10.00 fee for an early check 
in, which entitles you to check in from 12 midday. We hope to demonstrate a 
high level of sincere customer care, and we are pleased to hear that some 
members of the Team were friendly and helpful, however we apologise if this 
was not consistent throughout the Team. Thanks again for taking the time to 
submit your review, we hope to welcome you back to stay with us again in 
the near future.Read more</t>
  </si>
  <si>
    <t>Bilesy wrote a review Jul 2018Broadstone, United Kingdom85 contributions8 
helpful votes</t>
  </si>
  <si>
    <t>Peter B wrote a review Mar 2019Edinburgh, United Kingdom77 contributions47 
helpful votes</t>
  </si>
  <si>
    <t>Brilliant locationHave stayed at this hotel a number of times now due to its great location. 
Arriving in to Waterloo station it’s just a 5-10 minute walk to the hotel. 
From there easy walking to the Southbank, National Theatre, London Eye, 
Globe, Oxo Tower and over the bridge to theatre land, Covent Garden and 
beyond. Buses and tube all close by. The hotel has been recently 
refurbished and is bright and clean. We had a twin/accessible room so lots 
of space and a wet room with shower. Big fluffy towels and plenty of hot 
water. Tea/coffee making. Comfy beds and pillows. Air con was a dream as 
outdoor temps hitting 30 degrees! Staff were really friendly and helpful. 
Able to leave our luggage for the day following check out. Great view of 
the London Eye from 8th floor room. Really quiet too…Read moreDate of stay: 
July 20181 Helpful voteHelpfulShare</t>
  </si>
  <si>
    <t>London tripThis was our 2nd visit to this particular travelodge. Excellent value for 
money and great location for Kings Cross station. Very helpful staff and 
very well maintained hotel. Breakfast was very good value for money.Read 
moreReview collected in partnership with TravelodgeDate of stay: March 
2019HelpfulShare</t>
  </si>
  <si>
    <t>https://www.tripadvisor.co.uk/Hotel_Review-g186338-d243667-Reviews-or1280-Travelodge_London_Kings_Cross_Royal_Scot-London_England.html#REVIEWS</t>
  </si>
  <si>
    <t>lorraine n wrote a review Jul 2018Bristol, United Kingdom21 contributions13 
helpful votes</t>
  </si>
  <si>
    <t>Maura D wrote a review Mar 2019Dublin, Ireland26 contributions11 helpful 
votes</t>
  </si>
  <si>
    <t>London PRIDE visitWat can I say, the best Travelodge I have ever visited, spotless gorgeous 
rooms with coffee machines in a quiet area. Excellent evening meal with a 
really homely friendly feel. The best part of the experience was the hotel 
staff, extremely friendly and sociable but with a professional touch. 
Special thanks to Jay, Aaliyah and Edna, u r all wonderful xxxx We will 
definitely stay again thank uRead moreDate of stay: July 2018HelpfulShare</t>
  </si>
  <si>
    <t>Kings Cross Road TravelodgeMy room was clean and functional. The person at the checkout seemed totally 
disinterested in dealing with me once he had told me I could not check in 
until 3.00 p.m. Would use the hotel again for its convenient situation.Read 
moreDate of stay: March 2019HelpfulShareResponse from TravelodgeUK, Tilly 
from The Social Media Team at Travelodge London Kings Cross Royal 
ScotResponded 31 Mar 2019Thank you for your review of our London Kings 
Cross Royal Scot hotel. We're so sorry to hear of your experience with the 
reception team and we would like to reassure you that your comments have 
been passed to the hotel manager to ensure all team members are retrained 
in Customer Care. Please accept our sincerest apologies for the service you 
received. We are pleased that you were happy with your room. We would like 
to thank you for taking the time to inform us of your experience as this 
will aid us making the necessary improvements and hope to welcome you back 
soonRead more</t>
  </si>
  <si>
    <t>Climber21690487013 wrote a review Mar 2019Leicester, United Kingdom1 
contribution</t>
  </si>
  <si>
    <t>https://www.tripadvisor.co.uk/Hotel_Review-g186338-d1812157-Reviews-or975-Travelodge_London_Waterloo_Hotel-London_England.html#REVIEWS</t>
  </si>
  <si>
    <t>Handy Business StayThe rooms are looking a bit jaded, but they are clean and everything works. 
Breakfast choice is just about adequate, but the staff are fun, friendly 
and helpful. Thanks Haleema for brightening my day after a long journey. 
Great value for money in a handy central position.Read moreReview collected 
in partnership with TravelodgeDate of stay: March 2019HelpfulShareResponse 
from TravelodgeUK, James from the Social Media Team at Travelodge London 
Kings Cross Royal ScotResponded 29 Mar 2019Thank you for reviewing our 
Travelodge London Kings Cross Royal Scot Hotel. We're happy to hear that 
you were pleased with the cleanliness of the hotel during this stay as well 
as the breakfast offered at the hotel and the service offered by the team 
but we are very sorry you felt the hotel had some wear and tear. Please 
rest assured the hotel managers check Tripadvisor reviews of their hotels 
so your comments will be reviewed by the hotel's team. Thank you again for 
leaving this review and we do hope that you choose to stay with us again in 
the future.Read more</t>
  </si>
  <si>
    <t>Hannah M wrote a review Jul 2018Ipswich, United Kingdom80 contributions34 
helpful votes</t>
  </si>
  <si>
    <t>Compass32281598727 wrote a review Mar 20191 contribution</t>
  </si>
  <si>
    <t>Nice refurbished comfortable roomsMy boyfriend and I had booked a weekend in London and opted to stay near 
Waterloo station as we were going to Twickenham on the Sunday for rugby and 
there was a direct train from Waterloo. The hotel is on the opposite side 
of the road to the station and about a 10 minute walk. The hotel had 
recently been refurbished and was clean and tidy. As it was a very hot bank 
holiday weekend I was hoping there was going to be a fan in the room but 
was very pleasantly surprised to find there was air conditioning in the 
room. Our room was on the 8th floor and could see the Shard. As with 
Travelodges they are basic but this was very comfortable, clean and tidy 
and fresh after a refurbishment. Would definitely considering staying on 
this location again, there are bars and…Read moreDate of stay: May 
2018HelpfulShare</t>
  </si>
  <si>
    <t>JoanIngram wrote a review Jul 2018Dundee, United Kingdom5 contributions3 
helpful votes</t>
  </si>
  <si>
    <t>Poor Quality HotelMy 21st Birthday was spent in here in London which was slightly ruined by 
the state of the rooms. The rooms were very old fashioned and poorly 
maintained. The windows did not shut properly so you could hear the outside 
noise and a strong draft. This was the case in 2 out of 3 bedrooms booked. 
If this wasn’t bad enough the electricity did not work in the room so there 
was no heating, no TV and no electricity to charge our phone etc and took 
up to an hour for someone to fix this! We were told we would be refunded 
for the poor service but have still not yet received anything.Read 
moreReview collected in partnership with TravelodgeDate of stay: March 
2019HelpfulShareResponse from TravelodgeUK, James from the Social Media 
Team at Travelodge London Kings Cross Royal ScotResponded 29 Mar 2019Thank 
you for reviewing our Travelodge London Kings Cross Royal Scot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</si>
  <si>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270joanna wrote a review Mar 2019Norwich, United Kingdom2 contributions</t>
  </si>
  <si>
    <t>Large, clean, quiet room. Great air con. Lovely staff.This is a lower budget hotel which is reasonably priced. The rooms are 
large and clean. Although the hotel was very busy my room was exceptionally 
quiet. The air conditioning was fabulous given the heatwave while I was 
there. Hairdryer available free on request at reception as I forgot mine. 
Kettle worked very well. Staff at reception were lovely...warm, friendly 
and welcoming. This hotel is in an excellent location for most of the 
tourist attractions and a 5 minute walk from Waterloo Station. The shower 
wasn't very powerful and was always warm rather than hot.Read moreReview 
collected in partnership with TravelodgeDate of stay: July 2018HelpfulShare</t>
  </si>
  <si>
    <t>rolandjwallis wrote a review Jul 2018Bognor Regis, United Kingdom1 
contribution</t>
  </si>
  <si>
    <t>Good for basic comfort and short staysStayed for 2 nights as I was on a course nearby. Staff were friendly. Room 
was basic but fine for the stay, however there was a large damp area on the 
ceiling above the bed. Staff had reported complaints of the food, chips 
were burnt and very standardised meal, limited choice.Read moreReview 
collected in partnership with TravelodgeDate of stay: March 
2019HelpfulShareResponse from TravelodgeUK, Ben from the Social Media Team 
at Travelodge London Kings Cross Royal ScotResponded 28 Mar 2019Thank you 
for taking the time to write a review about our London Kings Cross Royal 
Scot hotel. We're pleased to learn that our hotel team were friendly 
throughout your recent stay with us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</si>
  <si>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London city breakA few nights in London at great location for Bakerloo and Jubilee 
underground connections. The room with air conditioning given the recent 
hot weather was excellent. Staff were great. Close to the Imperial War 
Museum.Read moreReview collected in partnership with this hotelDate of 
stay: June 2018HelpfulShare</t>
  </si>
  <si>
    <t>martin talbot wrote a review Jul 20185 contributions2 helpful votes</t>
  </si>
  <si>
    <t>Travelodge Excellence!I use Travelodge regularly during the summer and this (whilst admittedly 
recently refurbished) was an excellent stay. The room was spotless, fresh 
and airy (given it was a very hot day in London), the bar area bright and 
welcoming. All of the staff that I encountered were friendly and all 
understood customer service (which isn't always the case in hotel chains!) 
I would recommend this hotel to anyone who is staying in central london as 
it is convenient for everything, even more so if you are using the travel 
hub at Waterloo as it is only a short walk away.Read moreReview collected 
in partnership with this hotelDate of stay: June 2018HelpfulShare</t>
  </si>
  <si>
    <t>https://www.tripadvisor.co.uk/Hotel_Review-g186338-d243667-Reviews-or1285-Travelodge_London_Kings_Cross_Royal_Scot-London_England.html#REVIEWS</t>
  </si>
  <si>
    <t>llmmartinez wrote a review Jul 20181 contribution</t>
  </si>
  <si>
    <t>VisitorEastYorkshire wrote a review Mar 2019East Yorkshire27 
contributions15 helpful votes</t>
  </si>
  <si>
    <t>Hotel next to the underground. Very clean and the staff 5*****Great location. Very good breakfast with a very good variety. Staff very 
helpfull. Room clean and spacious. we could leave the luggadge before check 
in and check out wich is very nice to continue our London visitRead 
moreReview collected in partnership with TravelodgeDate of stay: July 
2018HelpfulShare</t>
  </si>
  <si>
    <t>Clean tidy quiet and friendly staff.The hotel is what you would expect from a travelodge. No complaints. The 
staff were friendly and the room was comfortable and clean. Couldn't ask 
for anything more. About 7 minutes walk from King's Cross. Would certainly 
stay again.Read moreDate of stay: March 2019HelpfulShareResponse from 
TravelodgeUK, Ben from the Social Media Team at Travelodge London Kings 
Cross Royal ScotResponded 28 Mar 2019We are committed to providing our 
guests with the best experience possible whilst staying with us and we are 
pleased to hear of your positive feedback with regards to your stay at 
London Kings Cross Royal Scot Travelodge. We're thrilled to learn your room 
was clean and comfortable and you found our hotel to be an ideal location 
for your needs. We can assure you we will be passing on your comments to 
the team at the hotel and we do hope you stay with us in the future.Read 
more</t>
  </si>
  <si>
    <t>https://www.tripadvisor.co.uk/Hotel_Review-g186338-d1812157-Reviews-or980-Travelodge_London_Waterloo_Hotel-London_England.html#REVIEWS</t>
  </si>
  <si>
    <t>David B wrote a review Mar 2019Stockport, United Kingdom33 contributions21 
helpful votes</t>
  </si>
  <si>
    <t>overnight london satyClean and tidy, welcoming staff, comfy rooms, good breakfast. location a 
little scruffy, but not hotel's fault. Good view from room. Bar open when 
we got back late from concert, but receptionist was needing to double up on 
bar as well, so a bit of a wait.Read moreReview collected in partnership 
with TravelodgeDate of stay: March 2019HelpfulShareResponse from 
TravelodgeUK, Ben from the Social Media Team at Travelodge London Kings 
Cross Royal ScotResponded 28 Mar 2019It's reassuring that our London Kings 
Cross Royal Scot Travelodge provided you with a great stay. Your feedback 
is really important and detailed comments like yours will help us improve 
our guest experience. We are really pleased that you enjoyed the 
cleanliness of your room and that you received a high level of service from 
our helpful hotel team. We will be sure to pass your kind comments to the 
hotel and we hope that there will be another occasion to welcome you as our 
guest. May we thank you again for reviewing your stay.Read more</t>
  </si>
  <si>
    <t>Tasha P wrote a review Mar 20191 contribution</t>
  </si>
  <si>
    <t>travellingbug21 wrote a review Jul 2018London58 contributions13 helpful 
votes</t>
  </si>
  <si>
    <t>Good location, but needs refurbishmentCost, location and staff were great, but the hotel does feel run down. In 
our room we had paint/wallpaper coming away, a dirty and difficult to 
close/open window and a plug socket that didn't work. We had the light 
breakfast, which was great value for money and is a decent choice if you 
don't fancy a cooked breakfast. If you need somewhere cheap to spend the 
night, this place is absolutely fine, but I wouldn't recommend for a 
long-term stay.Read moreReview collected in partnership with TravelodgeDate 
of stay: March 2019HelpfulShareResponse from TravelodgeUK, Ben from the 
Social Media Team at Travelodge London Kings Cross Royal ScotResponded 28 
Mar 2019Thank you for taking the time to share your experience of your stay 
at our London Kings Cross Royal Scot Travelodge with us. We're pleased to 
learn you enjoyed the location of the hotel, you found the team to be great 
and the breakfast good value.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</si>
  <si>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Great break in LondonThe hotel was in a great location close to Waterloo station and the London 
Eye. It has recently been refurbished and both the hotel and room were 
clean and well presented. The staff at check in were friendly even though 
dealing with a couple of abusive people who were having a problem with 
their key cards. Would stay here again.Read moreReview collected in 
partnership with TravelodgeDate of stay: July 2018HelpfulShare</t>
  </si>
  <si>
    <t>enewell1 wrote a review Mar 2019Sheffield, United Kingdom8 contributions3 
helpful votes</t>
  </si>
  <si>
    <t>https://www.tripadvisor.co.uk/Hotel_Review-g186338-d1812157-Reviews-or985-Travelodge_London_Waterloo_Hotel-London_England.html#REVIEWS</t>
  </si>
  <si>
    <t>Pleasant stayEnjoyable stay. Simple and clean. Very nice helpful receptionist Remy. Good 
breakfast. Nice sausages. Very good value. This is the second time I’ve 
stayed and will go again as it’s in a good position for visiting London on 
the trainRead moreDate of stay: March 2019HelpfulShareResponse from 
TravelodgeUK, James from the Social Media Team at Travelodge London Kings 
Cross Royal ScotResponded 26 Mar 2019Thank you for reviewing our Travelodge 
London Kings Cross Royal Scot Hotel. We are very happy to hear that you 
enjoyed this stay with us. Please rest assured that the hotel's management 
team do check up on reviews of their hotels so your comments have been 
passed on. Once again we'd like to thank you for leaving this lovely review 
and we do hope that you stay with us again!Read more</t>
  </si>
  <si>
    <t>https://www.tripadvisor.co.uk/Hotel_Review-g186338-d243667-Reviews-or1290-Travelodge_London_Kings_Cross_Royal_Scot-London_England.html#REVIEWS</t>
  </si>
  <si>
    <t>Shane L wrote a review Mar 20198 contributions4 helpful votes</t>
  </si>
  <si>
    <t>24hr Bar and Comfy Beds!!Highly recommend this hotel for anyone staying in London. 5 min walk from 
King's Cross Station. The rooms are spacious. Showers are decent! Staff 
were helpful. We didn't have breakfast in the hotel so I can't comment on 
that. Great selection in the 24hr bar! The only small problem was that only 
2 devices per room can connect to the WiFi (if you pay for it). It's not 
ideal but it didn't impact our holiday.Read moreReview collected in 
partnership with this hotelDate of stay: March 2019HelpfulShareResponse 
from TravelodgeUK, James from the Social Media Team at Travelodge London 
Kings Cross Royal ScotResponded 26 Mar 2019Thank you for reviewing our 
Travelodge London Kings Cross Royal Scot Hotel. We are very happy to hear 
that you enjoyed this stay with us although we are sorry to hear you 
weren't pleased with our WiFi policies. Please rest assured that the 
hotel's management team do check up on reviews of their hotels so your 
comments have been passed on. Once again we'd like to thank you for leaving 
this lovely review and we do hope that you stay with us again!Read more</t>
  </si>
  <si>
    <t>Frengoesto_- wrote a review Jun 2018Puglia, Italy86 contributions22 helpful 
votes</t>
  </si>
  <si>
    <t>GoPlaces06700368417 wrote a review Mar 20192 contributions</t>
  </si>
  <si>
    <t>worth the moneyIt was the first time at Travelodge. I always spent my stays in London at 
Premier Inn. Travelodge London Waterloo has been a nice surprise. Very good 
position and staff, nice continental breakfast. Just the lack of bath mat. 
It was unsafe exiting from the shower with wet feet. I will choose this 
hotel again.Read moreDate of stay: June 2018HelpfulShare</t>
  </si>
  <si>
    <t>A good place to stay in LondonThe Kings Cross Travelodge is conveniently located to a major travel hub, 
and its rates are reasonable. I have several comments. Service in the 
restaurant can be slow at times. On one occasion I waited forty-five 
minutes for my order to arrive, and I noticed that other customers were 
getting impatient. A shortage of staff appeared to be the cause of the 
problem. Also, some of the desk clerks were not proficient in English, 
leading to some misunderstandings. Other than that, I recommend this hotel 
for travelers looking for a reasonably priced hotel in a busy part of 
London. Good breakfast buffet.Read moreReview collected in partnership with 
this hotelDate of stay: March 2019HelpfulShareResponse from TravelodgeUK, 
James from the Social Media Team at Travelodge London Kings Cross Royal 
ScotResponded 26 Mar 2019Thank you for reviewing our Travelodge London 
Kings Cross Royal Scot Hotel. We are very happy to hear that you enjoyed 
this stay with us. Please rest assured that the hotel's management team do 
check up on reviews of their hotels so your comments have been passed on. 
Once again we'd like to thank you for leaving this lovely review and we do 
hope that you stay with us again!Read more</t>
  </si>
  <si>
    <t>francesk250 wrote a review Jun 20182 contributions2 helpful votes</t>
  </si>
  <si>
    <t>PW-26 wrote a review Mar 2019Gillingham, United Kingdom15 contributions</t>
  </si>
  <si>
    <t>Excellent air-conditioning!Big positive was effective, easily controllable air-conditioning. I stayed 
during the heat-wave of late June 2018, so this was key. Room very quiet, 
though (2nd floor) looking out over Waterloo Road. Bathroom nicely 
refurbished too, though cramped. Big negative: Checkout is 11, so why was I 
interrupted at 9.45 am by cleaners? This was - is - an intrusion.Read 
moreReview collected in partnership with TravelodgeDate of stay: June 20181 
Helpful voteHelpfulShare</t>
  </si>
  <si>
    <t>teequu wrote a review Jun 2018Brisbane, Australia26 contributions5 helpful 
votes</t>
  </si>
  <si>
    <t>Great hotel central to everythingThis was a great hotel which was close to the Waterloo Train Station to 
make it easy to get around everywhere. Also really close to the London Eye. 
Would definitely stay again and recommend to others (and have already told 
a few friends this is the only place to stay). The breakfast buffet was 
also pretty good.Read moreDate of stay: May 2018HelpfulShare</t>
  </si>
  <si>
    <t>Needs updatingAt 1st we were given room 288 which is right in the far corner of the 
building, up in the left along a long corridor and then down some stairs. 
The room is on the ground floor and the windows do not lock so we asked to 
move for our safety and the safety of our belongings. The manager Joao 
moved us to room 326 which was in a better location, so we were grateful 
for that. I have stayed here before and last time they are decorating the 
lift area. The rooms need decorating and new furniture. As always with 
Travelodge the bed was very comfortable but the rooms are dated and we had 
a bedside table with a missing drawer and I dated bathroom (although it was 
clean). We only stayed for 1 night so it isn't too bad.Read moreReview 
collected in partnership with this hotelDate of stay: March 
2019HelpfulShareResponse from TravelodgeUK, Ben from the Social Media Team 
at Travelodge London Kings Cross Royal ScotResponded 26 Mar 2019Thank you 
for taking the time to write a review about our London Kings Cross Royal 
Scot hotel. We are pleased to hear that you found the hotel team to be 
helpful and the bed was comfortable however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</si>
  <si>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https://www.tripadvisor.co.uk/Hotel_Review-g186338-d1812157-Reviews-or990-Travelodge_London_Waterloo_Hotel-London_England.html#REVIEWS</t>
  </si>
  <si>
    <t>Fearless12159094429 wrote a review Mar 20191 contribution</t>
  </si>
  <si>
    <t>normanandsue9 wrote a review Jun 20181 contribution</t>
  </si>
  <si>
    <t>Great Location, lovely helpful staffI stayed in both a double room where the bed was brilliant and super comfy, 
and then changed to a twin when I was joined by my friend. The twin beds 
are not at all comfy and very narrow. I would recommend a double room.Read 
moreReview collected in partnership with TravelodgeDate of stay: March 
2019HelpfulShare</t>
  </si>
  <si>
    <t>my stay at travel lodge london waterlooas always good, staff helpful and very polite would recommend it any person 
well placed to visit any part of London, 5 mins from train station, cant 
praise it enough and the staff there custom care policy they all 
believe.Read moreReview collected in partnership with this hotelDate of 
stay: June 2018HelpfulShare</t>
  </si>
  <si>
    <t>https://www.tripadvisor.co.uk/Hotel_Review-g186338-d243667-Reviews-or1295-Travelodge_London_Kings_Cross_Royal_Scot-London_England.html#REVIEWS</t>
  </si>
  <si>
    <t>GDub71 wrote a review Jun 20181 contribution</t>
  </si>
  <si>
    <t>Great value! Location OK.The four of us stayed in a Family SuperRoom. Two comfortable cot-type beds 
for my teenagers in addition to the double. Room was a decent size although 
bathroom is pretty small. Hotel was clean, staff was very nice and helpful. 
Have to pay for wifi, but only two devices per room, which was 
inconvenient. Breakfast had a good variety of hot and cold foods. Location 
of hotel is in a light commercial district, and nearest tube stations are 
within a 7-10 minutes walk.Read moreReview collected in partnership with 
this hotelDate of stay: June 2018HelpfulShare</t>
  </si>
  <si>
    <t>HIlary P wrote a review Jun 2018Glasgow, United Kingdom6 contributions3 
helpful votes</t>
  </si>
  <si>
    <t>Sue C wrote a review Mar 2019Stockton on the Forest, United Kingdom4 
contributions1 helpful vote</t>
  </si>
  <si>
    <t>HamiltonWe stayed here for a weekend primarily to see the musical Hamilton. The 
hotel was clean the air conditioning worked the staff were all very helpful 
and polite. Our room had a great view of the London eye and the some of St 
Paul’s. Very central location for many tourist attractions. The area was 
quiet too. Lots of places to eat nearby and a small Tesco and Sainsbury’s. 
The hotel had a bar and restaurant which was open 24 hours. All in all a 
great place to stay for excellent value.Read moreReview collected in 
partnership with this hotelDate of stay: June 2018HelpfulShare</t>
  </si>
  <si>
    <t>Mamoo M wrote a review Jun 2018Sheffield, United Kingdom44 contributions4 
helpful votes</t>
  </si>
  <si>
    <t>ExcelletThe whole experience staying there was amazing, the breakfast team , could 
not do enough , specially Wendy she was amazing, calm, collective and 
professional. Location was great, easy to great to get around, not far from 
the tube station at waterloo.Read moreDate of stay: June 2018HelpfulShare</t>
  </si>
  <si>
    <t>https://www.tripadvisor.co.uk/Hotel_Review-g186338-d1812157-Reviews-or585</t>
  </si>
  <si>
    <t>Hoping for something a little moreWe stayed in room 335, which was dated to say the least. On making a cuppa 
on the day of our arrival, the milk must have been sat there a long time as 
it left bits floating in our cups. The bathroom was so small that you could 
hardly turn around in there. We had a twin room but the beds were pushed 
together so we had to try and separate them . We quickly pushed them back 
together again, once we saw what was underneath on the floor! No one came 
to clean our room on the two day stay but not sure whether that was 
supposed to happen; probably not. The food was dismal (not breakfast as we 
decided to eat elsewhere). Went to the bar quite a few times during our 
stay and I was amused to find that the two same drinks I ordered on 
numerous occasions, I was charged different amounts…Read moreDate of stay: 
March 2019HelpfulShareResponse from TravelodgeUK, Ben from the Social Media 
Team at Travelodge London Kings Cross Royal ScotResponded 25 Mar 2019Thank 
you for taking the time to write a review about our London Kings Cross 
Royal Scot hotel. We are pleased to hear that you liked the hotels location 
however we are sorry to learn of your disappointment with the room you were 
provided during your stay and the service received. This hotel is currently 
in the process of being upgraded to ensure we are able to provide all our 
guests with a positive experience. We are also sorry to learn that you were 
not made aware of our room cleaning process and we would like to apologise 
if you therefore felt the room was not the best value for money on this 
occasion.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</si>
  <si>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https://www.tripadvisor.co.uk/Hotel_Review-g186338-d1812157-Reviews-or995-Travelodge_London_Waterloo_Hotel-London_England.html#REVIEWS</t>
  </si>
  <si>
    <t>margaretmcgeady wrote a review Jun 20181 contribution</t>
  </si>
  <si>
    <t>Fantastic experienceOur trip was wonderful and would definitely go back again the location was 
great and value for money great I had taken my young nieces and we had a 
fantastic time and couldn’t have picked a better hotel the family room was 
greatRead moreReview collected in partnership with TravelodgeDate of stay: 
June 2018HelpfulShare</t>
  </si>
  <si>
    <t>Sherpa49754123842 wrote a review Mar 2019Liverpool, United Kingdom1 
contribution</t>
  </si>
  <si>
    <t>graingers123 wrote a review Jun 20181 contribution</t>
  </si>
  <si>
    <t>Travelodge kingscross royal scotThis hotel was in an excellent location just 10 mins walk from Euston and 
kings cross train stations,we found it to be very clean and comfortable 
with very helpful friendly staff, would recommend the breakfast option 
excellent value with plenty of choice.Read moreReview collected in 
partnership with this hotelDate of stay: March 2019HelpfulShare</t>
  </si>
  <si>
    <t>Very good stayVery good stay had a small problem with toilet when we arrived it wouldn't 
flush they changed our room immediately very good service the bed was very 
comfortable but pillow was a little hard. Very cleanRead moreReview 
collected in partnership with TravelodgeDate of stay: June 2018HelpfulShare</t>
  </si>
  <si>
    <t>Ryan wrote a review Jun 2018Greater Newcastle, Australia4 contributions1 
helpful vote</t>
  </si>
  <si>
    <t>https://www.tripadvisor.co.uk/Hotel_Review-g186338-d243667-Reviews-or1300-Travelodge_London_Kings_Cross_Royal_Scot-London_England.html#REVIEWS</t>
  </si>
  <si>
    <t>Great LocationStayed here for 4 night with a friend and was really good for what we paid! 
Short walk to many restaurants and bars and close to Waterloo station. 
Right on a main road, so was super easy to get an Uber or cab within a 
minute. Rooms clean with comfortable beds.Read moreDate of stay: February 
2018HelpfulShare</t>
  </si>
  <si>
    <t>Silverfox wrote a review Mar 2019Edinburgh, United Kingdom22 contributions4 
helpful votes</t>
  </si>
  <si>
    <t>lucymhoward001 wrote a review Jun 2018Bromsgrove, United Kingdom1 
contribution</t>
  </si>
  <si>
    <t>Great location for station.Good value and good location. Need to book in advance to get best rates. 
Used to think travellodge was too basic but happy with this one. Bathroom 
could do with an upgrade. Needed to pay £10 to check in before 3pm.Read 
moreDate of stay: March 2019HelpfulShare</t>
  </si>
  <si>
    <t>ExcellentClean and comfortable hotel, location is brilliant for sightseeing. I have 
stayed here ever since it first opened, usually visit london a couple of 
times a year. Find this hotel very convenient. Staff are always lovely and 
rooms clean and extremely comfortable.Read moreReview collected in 
partnership with TravelodgeDate of stay: May 2018HelpfulShare</t>
  </si>
  <si>
    <t>charles wrote a review Mar 20192 contributions</t>
  </si>
  <si>
    <t>Pongo67 wrote a review Jun 2018Wiltshire, United Kingdom13 contributions3 
helpful votes</t>
  </si>
  <si>
    <t>Great location and fantastic staff.Just wanted to write a short note of thanks to the Royal Scot. I have now 
stayed numerous times over the past few months and as well as being the 
perfect location for my visits into London all the Staff are great in 
particularly Remy who always seems to be on duty when I check in. Well done 
to everyone.Read moreDate of stay: March 2019HelpfulShare</t>
  </si>
  <si>
    <t>Ann wrote a review Mar 2019Paphos, Cyprus3 contributions1 helpful vote</t>
  </si>
  <si>
    <t>Great stay.Always stay here as it’s in a great location. A big thank you to Mel on 
reception who moved us to a different room when we checked in at noon on 
23/6. She did this without fuss and was very helpfull. Great customer 
service. Room was clean and cool. Look forward to a return visit hopefully 
soon.Read moreDate of stay: June 2018HelpfulShare</t>
  </si>
  <si>
    <t>Travelodge London Kings Cross Royal ScotA conveniently located hotel right in the heart of London, with easy access 
to tube, buses and trains (apart from quite heavy traffic build-up during 
rush hour). The room was clean and reasonably comfortable. It was cleaned 
every day if requested. A good base for a trip to London.Read moreReview 
collected in partnership with TravelodgeDate of stay: March 2019HelpfulShare</t>
  </si>
  <si>
    <t>https://www.tripadvisor.co.uk/Hotel_Review-g186338-d1812157-Reviews-or1000-Travelodge_London_Waterloo_Hotel-London_England.html#REVIEWS</t>
  </si>
  <si>
    <t>Global760041 wrote a review Mar 20191 contribution</t>
  </si>
  <si>
    <t>ozzieguy65 wrote a review Jun 2018Leeds, United Kingdom31 contributions9 
helpful votes</t>
  </si>
  <si>
    <t>Very welcoming, friendly and helpful staffChecked in at around midnight. The staff were genuinely friendly and 
welcoming and very helpful. I would say that they are the strength of this 
hotel. The room was clean and comfortable and we enjoyed a good nights' 
sleep. The breakfast experience was relaxed and leisurely and there was a 
plentiful supply of food, which was of a reasonable quality. Again, the 
staff were first rate, Would stay here again,Read moreDate of stay: March 
2019HelpfulShare</t>
  </si>
  <si>
    <t>better than everOvernight stay in a very clean updated twin room. All that you would want 
for a stay over with courteous staff. Close to Waterloo station and the Old 
Vic theatre. Nice open park close and if not eating in good food to 
find.Read moreDate of stay: June 2018HelpfulShare</t>
  </si>
  <si>
    <t>ianharry2015 wrote a review Mar 2019Newark-on-Trent, United Kingdom16 
contributions9 helpful votes</t>
  </si>
  <si>
    <t>Jackie L wrote a review Jun 20181 contribution</t>
  </si>
  <si>
    <t>Friendly warm serviceThought it a bit excessively priced but actually..... well placed near 
kings cross, good pub and an excellent Vietnamese restaurant across the 
road, warm and friendly reception staff and an easy check in- room ok- 
breakfast brilliant and bag holding service fantastic... overall absolutely 
excellent and a better experience than many supposed higher class hotels on 
LondonRead moreDate of stay: March 2019HelpfulShare</t>
  </si>
  <si>
    <t>Hen weekendWe were very happy with the position of the hotel being close to Waterloo 
Station. It was bright, clean and modern. The rooms are spacious and beds 
very comfy, with tea/coffee making facilities . The staff and Calvin were 
very friendly and helpful, we left our bags there all day whilst 
sightseeingRead moreDate of stay: June 2018HelpfulShare</t>
  </si>
  <si>
    <t>Lauren C wrote a review Jun 20185 contributions1 helpful vote</t>
  </si>
  <si>
    <t>https://www.tripadvisor.co.uk/Hotel_Review-g186338-d243667-Reviews-or1305-Travelodge_London_Kings_Cross_Royal_Scot-London_England.html#REVIEWS</t>
  </si>
  <si>
    <t>Lovely staff would defiantly stay here againMe and my partner have just come back from a lovely weekend in London, we 
picked this hotel as we were close to Waterloo train and tube station which 
we needed to get the ascot (which was amazing) it was about an 8 minute 
walk, but the staff were so lovely here, very friendly and helpful, and the 
hotel room we stayed in number 23 was spotless, and great for what we 
needed for the weekend, would defiantly stay again.Read moreDate of stay: 
June 2018HelpfulShare</t>
  </si>
  <si>
    <t>AKS1 wrote a review Jun 2018Newcastle upon Tyne, United Kingdom90 
contributions28 helpful votes</t>
  </si>
  <si>
    <t>Climber58501353399 wrote a review Mar 2019London, United Kingdom1 
contribution</t>
  </si>
  <si>
    <t>Good location and refreshed done up hotelGreat location as I was attending an event at south bank. Basic but 
comfortable refurbished room. Clean and tidy, was in ground floor no noise 
to speak of. Refreshed breakfast area too.. breakfast good and varied ... I 
would stay again if in that part of London ... I think only slight problem 
with the stay was that after breakfast headed to room around 11 and key 
card had stopped working so couldn’t get in to get bag. Happened to a lot 
of guests that morning and although check out was 12 the cards had been 
deactivated from 11 “for security” supposedly?!?! So a bit of an 
inconvenience trundling back and forth to reception but hopefully something 
they’ve now rectified ... other than that a good stayRead moreDate of stay: 
May 2018HelpfulShare</t>
  </si>
  <si>
    <t>Disappointing after a promising front of house areaOk, but rooms in need of updating. Real lack of maintenance also, doors 
slam loudly causing the wooden frames to loosen and compromise the security 
of the room. Had to change room from the one allocated, due to this issue. 
Can’t fault the staff, however in dealing with this issue.Read moreReview 
collected in partnership with this hotelDate of stay: March 2019HelpfulShare</t>
  </si>
  <si>
    <t>Corri S wrote a review Jun 2018Wishaw, United Kingdom1 contribution</t>
  </si>
  <si>
    <t>Sarah H wrote a review Mar 2019Benfleet, United Kingdom40 contributions18 
helpful votes</t>
  </si>
  <si>
    <t>Quick visitHotel was very well situated with Waterloo station 5 minute walk away and 
10 minutes takes you onto the Southbank. Staff were pleasant and helpful 
when required. Bar staff were especially good &amp; happy hour is very good 
pointRead moreReview collected in partnership with this hotelDate of stay: 
June 2018HelpfulShare</t>
  </si>
  <si>
    <t>No. Just no.Long queues for checking in as staff could not work the system, tried to 
amend our booking to add wifi and was nearly charged £37. Stayed in a twin 
room and they were the smallest twin beds ever. Dripping tap in the 
bathroom. Why do you have security on the toilets in the bar area and on 
the front door? Would not recommend at all.Read moreDate of stay: March 
2019HelpfulShareResponse from TravelodgeUK, Tilly from The Social Media 
Team at Travelodge London Kings Cross Royal ScotResponded 22 Mar 2019Thank 
you for taking the time to review our London Kings Cross Royal Scot hotel.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</si>
  <si>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https://www.tripadvisor.co.uk/Hotel_Review-g186338-d1812157-Reviews-or1005-Travelodge_London_Waterloo_Hotel-London_England.html#REVIEWS</t>
  </si>
  <si>
    <t>Explore58196938355 wrote a review Mar 20191 contribution</t>
  </si>
  <si>
    <t>room for improvementbe aware when you make a mistake in your saver rate booking it is 
impossible to have this corrected on return to my room at mid night I was 
asked to move to another room since the fire alarm did not work in my room, 
in my opinion this should be checked when a room is empty to avoid nightly 
packing and unpacking trips, I was further not happy with the compensation 
of one free breakfast for this hassle. the wifi is not very goodRead 
moreReview collected in partnership with this hotelDate of stay: March 
2019HelpfulShareResponse from TravelodgeUK, Tilly from The Social Media 
Team at Travelodge London Kings Cross Royal ScotResponded 22 Mar 2019Thank 
you for your feedback about our London Kings Cross Royal Scot and we will 
be sure to pass it to the hotel team to help improve the service that we 
offer. We hope to welcome you back soonRead more</t>
  </si>
  <si>
    <t>angel392016 wrote a review Mar 2019Kingston-upon-Hull, United Kingdom446 
contributions94 helpful votes</t>
  </si>
  <si>
    <t>43elizabeth wrote a review Jun 2018Glasgow, United Kingdom3 contributions1 
helpful vote</t>
  </si>
  <si>
    <t>2nd visit and just as good.This was our 2nd time staying at this hotel and it was just as good as the 
first. All staff friendly and helpful. Rooms basic but everything you need 
for the little time you spend in them. Reasonably priced bar and all you 
can eat breakfast is great value and will set you up for the day! I prefer 
this hotel to the travelodge which is closer to King's Cross, it worth the 
extra few mins walk. Will definitely stay againRead moreDate of stay: March 
2019HelpfulShare</t>
  </si>
  <si>
    <t>Great locationClean friendly staff and great location ever thing you need in room and 
plenty of free coffee and tea in room which extras can be found at 
reception cold fruit water in jugs free round reception Could not faultRead 
moreReview collected in partnership with TravelodgeDate of stay: June 
2018HelpfulShare</t>
  </si>
  <si>
    <t>Alex C wrote a review Jun 2018Liverpool, England, United Kingdom36 
contributions19 helpful votes</t>
  </si>
  <si>
    <t>https://www.tripadvisor.co.uk/Hotel_Review-g186338-d243667-Reviews-or1310-Travelodge_London_Kings_Cross_Royal_Scot-London_England.html#REVIEWS</t>
  </si>
  <si>
    <t>OkishThe hotel itself is nice clean and in a good location, the staff are ok but 
you will find some aren’t helpful and can be rude and abrupt, breakfast 
doesn’t start til 8 so if u have a early train don’t pay for breakfast as 
you won’t get itRead moreDate of stay: June 2018HelpfulShareResponse from 
TravelodgeUK, Tilly from the Social Media Team at Travelodge London 
Waterloo HotelResponded 25 Jun 2018Thank you for your comments about our 
London Waterloo Hotel. We are very sorry to hear that you were not given 
the best Customer Service by some of our team members, but we are very 
pleased to hear that you found the hotel to be cleaned to our high 
standards, to be in a good location and some of our team members provided 
good Customer Service. We will be sure to pass your comments onto the hotel 
team and we hope to welcome you back again soonRead more</t>
  </si>
  <si>
    <t>Sarah H wrote a review Jun 2018Gillingham, United Kingdom78 contributions60 
helpful votes</t>
  </si>
  <si>
    <t>Codruta wrote a review Mar 2019Hatfield, United Kingdom6 contributions1 
helpful vote</t>
  </si>
  <si>
    <t>Night staffThis is our 2nd stay at this Travelodge and sadly it will probably be our 
last. We booked to stay here again after a positive experience staying here 
on a weeknight after a concert, so we decided to book again. The hotel and 
room was very clean and the staff were all helpful and polite, but we feel 
really sorry for the night staff. Last night, the 2 poor lads working the 
night shift were rushed off their feet having to run the bar (which even at 
1am still had 30 thirsty people in) all drinking and ordering food from the 
night menu. These chaps stayed polite the whole time to their customers, 
however the customers were all starting to get fed up with waiting ages to 
be served, food taking over an hour to be cooked (yes there were 4 
different people questioning where their…Read moreDate of stay: June 20182 
Helpful votesHelpfulShareResponse from TravelodgeUK, Niki from The Social 
Media Team at Travelodge London Waterloo HotelResponded 24 Jun 2018Thank 
you for taking the time to review our London Waterloo hotel. We're pleased 
that you found your room to be clean and comfortable during your stay with 
us. We are sorry to learn that the service provided at the hotel was not up 
to our usual high standard due to a shortage of staff that evening. We will 
be sure to pass your feedback onto the hotel manager and we hope to have 
the chance to welcome you back again soon.Read more</t>
  </si>
  <si>
    <t>Good location to visit londonI had a overnight stay here , the location is very good for central London, 
the room was clean and the bed very comfortable, staff was very friendly, 
especially Arslan who help Me with all the local information I needed 
.Breakfast was average, but still Lots of options available there.Read 
moreDate of stay: March 2019HelpfulShare</t>
  </si>
  <si>
    <t>Mick H wrote a review Jun 201828 contributions10 helpful votes</t>
  </si>
  <si>
    <t>Travelodge WaterlooGreat location, handy for rail and tube links. Great array of 
bars/restaurants within walking distance. Love the new super rooms, with 
waterfall showers and pod coffee machine in the good sized, nicely 
decorated rooms.Read moreDate of stay: May 20181 Helpful voteHelpfulShare</t>
  </si>
  <si>
    <t>Sheila P wrote a review Mar 2019Norwich, United Kingdom19 contributions6 
helpful votes</t>
  </si>
  <si>
    <t>https://www.tripadvisor.co.uk/Hotel_Review-g186338-d1812157-Reviews-or1010-Travelodge_London_Waterloo_Hotel-London_England.html#REVIEWS</t>
  </si>
  <si>
    <t>Noisy!Comfortable and clean hotel. Only problem guests arriving back to their 
rooms all night/morning and having no respect for anyone trying to sleep. 
Hallways very noisy until 4 or 5 a.m. during our stay. Also lorry 
collecting empty beer casks in the courtyard very early in the morning.Read 
moreReview collected in partnership with TravelodgeDate of stay: March 
2019HelpfulShareResponse from TravelodgeUK, James from the Social Media 
Team at Travelodge London Kings Cross Royal ScotResponded 21 Mar 2019Thank 
you for reviewing our Travelodge London Kings Cross Royal Scot Hotel. We're 
happy to hear that you were pleased with the comfort of your room during 
this stay but we are very sorry to hear of the issues experienced with 
internal and external noise. Please rest assured the hotel managers check 
Tripadvisor reviews of their hotels so your comments will be reviewed by 
the hotel's team. Thank you again for leaving this review and we do hope 
that you choose to stay with us again in the future.Read more</t>
  </si>
  <si>
    <t>ash1982_9 wrote a review Jun 2018portsmouth uk29 contributions</t>
  </si>
  <si>
    <t>Excellent stayRoom was ready when we got there early rooms clean and done out well staff 
all helpful and friendly and they have a 24 hour bar and have lite food 
menu from midnight the breakfast was the best I’ve had in a travelodge all 
freshRead moreReview collected in partnership with this hotelDate of stay: 
June 2018HelpfulShare</t>
  </si>
  <si>
    <t>https://www.tripadvisor.co.uk/Hotel_Review-g186338-d243667-Reviews-or1315-Travelodge_London_Kings_Cross_Royal_Scot-London_England.html#REVIEWS</t>
  </si>
  <si>
    <t>Vlismas wrote a review Jun 20184 contributions</t>
  </si>
  <si>
    <t>Colette R wrote a review Mar 2019Liverpool, United Kingdom7 contributions8 
helpful votes</t>
  </si>
  <si>
    <t>MsHotel recently refurbished. Very convenient location. Polite, 
accommodating, cheerful staff. Clean, comfortable rooms. Slept well. 
Unlimited breakfast was mainly tasty, except for dry', bland veggie 
sausage, and orange, coagulated, dry, (reconstituted?), scrambled egg. 
Fruit salad, yoghurt and pastries were great. Reliable internet. Good 
shower. Effective air conditioning.Read moreDate of stay: June 
2018HelpfulShare</t>
  </si>
  <si>
    <t>Pleasant surprise in room!Chose Royal Scot as it is close to St Pancras station and we were returning 
from a trip to Paris. On arrival at hotel we were greeted by a lovely 
receptionist with the biggest smile called Bella. She listened to our tale 
of an horrendous journey from Paris (due to 4hr queuing time at French 
customs) and said she would give us a nice room. Curious as to what that 
meant (aren't all Travelodge rooms 'basically' the same) we were pleasantly 
surprised by the decor and furnishings as we entered. Proper wardrobes with 
bedside tables and headboard all matching in a walnut type of veneer. 
Although the walls were a simple creamy colour the addition of lining paper 
softened the look and to top it all they had art deco style cornicing! I 
thought we had strayed into a different hotel! After…Read moreReview 
collected in partnership with this hotelDate of stay: March 2019HelpfulShare</t>
  </si>
  <si>
    <t>thepostie2010 wrote a review Jun 2018Barnstaple, United Kingdom753 
contributions266 helpful votes</t>
  </si>
  <si>
    <t>Stay somewhere elseStayed here before so I knew the hotel hasn't been upgraded since the 70s 
(apart from the reception). Rooms are old, there's wood everywhere and the 
bathroom was the size of a wardrobe. I could cope with all of that if they 
hadn't put me in a ridiculous room - stated when booking on business so 
they put me in a room below street level so I get the road and footpath 
noise along with the party next door. Admittedly they did speak to next 
door about the booming music, but with paper thin walls and God knows how 
many people in a room - talking, laughing and shouting kept me up until 
3am. The hotel wasn't full, they could have moved me - but no why would 
travelodge do that? I booked a double room and got two single beds - 
fantastic! Spend an extra £20 and stay somewhere else, it…Read moreDate of 
stay: March 2019HelpfulShare</t>
  </si>
  <si>
    <t>The revamp really delivers.It is our regular base for London visits. My previous reviews having been 
taken down following their revamp it is worthy of a new, positive, review. 
The staff are keen to please and do just that. Polite and efficient they 
are a great plus for this particular location just south of Waterloo 
station. If you like walking this hotel is in easy striking distance of all 
the main central London favourites. Hyde Park is only a 35 minute stroll 
but all public transport links are almost on the door-stop. The rooms are 
not large but more than adequate for a couple of nights stay. Beds are 
amazing-a great nights sleep and despite its central London location the 
noise at night is at remarkably low levels. Housekeeping services are good 
and beds made every day, unless you indicate otherwise.…Read moreDate of 
stay: June 2018HelpfulShare</t>
  </si>
  <si>
    <t>Steve40_12 wrote a review Mar 2019Worcester, United Kingdom172 
contributions67 helpful votes</t>
  </si>
  <si>
    <t>mabel1348 wrote a review Jun 2018London, United Kingdom130 contributions104 
helpful votes</t>
  </si>
  <si>
    <t>Very good staffStayed 2 nights in a SuperRoom over the weekend. Staff could not do enough. 
they were really helpful. Room was bit cramped for the extra money but it 
was clean and had everything it was supposed to have, Coffee machine, nice 
shower and fancy lighting. Was just very small. Had an issue with very loud 
music from room next door that went on and on and on but staff dealt with 
it before we could even complain which I thought was really good. there is 
a weird smell in the corridor of the 7th floor - could not work out what it 
was but it did not cause a problem in the room. Overall great location and 
clean functional room with fab staff so would stay againRead moreDate of 
stay: June 2018HelpfulShare</t>
  </si>
  <si>
    <t>Really terribleMy son and I booked this hotel for one night as it was convenient for our 
early morning Eurostar from Kings cross station. The room was really small 
with lights over each of the beds that were actually sitting directly on 
top of the pillows so you could bang your head. We stayed in a twin room. 
It was disgusting ! The window was open and the room cold, I think the 
window was open to try and ventilate the room and mask the musky smell of 
mould. The mould was all along the ceiling coving all across the width of 
the room. It was all around the window and was to be honest a health 
hazard. The bathroom was in a state with the toilet roll holder broken and 
again mould on the ceiling and on parts of the tiles. We did go straight 
down and tell reception they gave us a complimentary…Read moreDate of stay: 
February 2019HelpfulShare</t>
  </si>
  <si>
    <t>https://www.tripadvisor.co.uk/Hotel_Review-g186338-d1812157-Reviews-or1015-Travelodge_London_Waterloo_Hotel-London_England.html#REVIEWS</t>
  </si>
  <si>
    <t>Discover32723784180 wrote a review Mar 2019Southampton, United Kingdom1 
contribution</t>
  </si>
  <si>
    <t>857Chris wrote a review Jun 2018Newton Abbot, United Kingdom31 
contributions9 helpful votes</t>
  </si>
  <si>
    <t>Overnight stopThis Travelodge is amazing. From the minute we arrived we were looked 
after. The manager was so lovely, he changed our room for us as we wanted a 
twin not a double. They have recently had an update and the rooms are 
fabulous. Loving the iron and ironing board. Hair dryer and Coffee machine 
in the room. The only thing still missing is a phone to call reception. The 
beds were comfortable and the room was very clean. We will certainly be 
staying again.Read moreDate of stay: June 2018HelpfulShare</t>
  </si>
  <si>
    <t>Review Travellodge for London Kings crossOverall review based on value for money: Room comfort: 3.5/5 Breakfast: 4/5 
Staff: 3.8/5 So overall, between 3 and 4 for the money paid for a Saturday 
night stay. Can be improved: - needs upgrade of rooms - staff should be 
more professional at reception - breakfast was good standardRead moreReview 
collected in partnership with this hotelDate of stay: March 
2019HelpfulShareResponse from TravelodgeUK, Shaf from the Social Media 
Team. at Travelodge London Kings Cross Royal ScotResponded 20 Mar 2019Thank 
you for reviewing our London Kings Cross Royal Scot Travelodge. We are 
pleased to see some of the positive comments and thank you for bringing 
this to our attention. We do apologise you feel the hotel team were not 
professional on reception. Travelodge are always reviewing our hotels for 
refurbishments and we will ensure to pass this on to the relevant 
department. Feedback is invaluable and our Hotel Managers regularly review 
their TripAdvisor reviews in order to fix any issues raised and pass on 
feedback to their team. Thank you once again and we do hope you will stay 
with us in the future.Read more</t>
  </si>
  <si>
    <t>RusticHedgeRow wrote a review Jun 2018Gloucestershire25 contributions9 
helpful votes</t>
  </si>
  <si>
    <t>Sergio D wrote a review Mar 2019London, United Kingdom2 contributions</t>
  </si>
  <si>
    <t>Convenient for Waterloo and Elephant &amp; CastleThe hotel has been given a refresh and it is nice and clean. I tried one of 
the new Super rooms, which have a coffee machine, a small round table, an 
additional chair and, more importantly have air conditioning, which the 
standard rooms do not. I didn't each supper there and given the ghastly 
meal I had elsewhere I wish I had opted for their simple fare. My ratings 
are in the context of this being a Travelodge - basic but done well, with 
comfortable beds.Read moreReview collected in partnership with 
TravelodgeDate of stay: June 2018HelpfulShare</t>
  </si>
  <si>
    <t>Clean rooms, friendly staff.Had a great overnight stay, very close to the station as travelling with 
Eurostar in the morning so this was a perfect place to stay. Rooms are 
clean and the staff are friendly. Was greeted by the manager Arslan, he 
welcomed us and made us feel very welcome and gave us some great advice on 
what we should do for the evening and also places to eat. Will definitely 
be returning back here as it beat all my expectations.Read moreDate of 
stay: March 2019HelpfulShare</t>
  </si>
  <si>
    <t>Nigel C wrote a review Jun 201811 contributions15 helpful votes</t>
  </si>
  <si>
    <t>A welcome upgrade from previous Travelodge styleRefurbished to a high standard, spotlessly clean, very comfortable new beds 
with a choice of soft or hard pillows, air conditioning, and rooms are 
glazed to minimise external noise. This hotel is very close to rail and 
underground (Waterloo Station) , and comes with excellent, helpful and 
knowledgeable staff. Breakfast here is of a very high standard, that 
includes numerous vegetarian / vegan options.Read moreDate of stay: June 
2018HelpfulShare</t>
  </si>
  <si>
    <t>https://www.tripadvisor.co.uk/Hotel_Review-g186338-d243667-Reviews-or1320-Travelodge_London_Kings_Cross_Royal_Scot-London_England.html#REVIEWS</t>
  </si>
  <si>
    <t>Anne W wrote a review Jun 2018Southampton, United Kingdom113 
contributions21 helpful votes</t>
  </si>
  <si>
    <t>marian wrote a review Mar 20194 contributions</t>
  </si>
  <si>
    <t>Very handy hotel for any London tripsRecently refurbished the hotel is better than ever. Handy, clean with 
friendly staff. A regular place to stay when in London and handy for any 
area. Close to Waterloo station with plenty bus and tube links.Read 
moreDate of stay: April 2018HelpfulShare</t>
  </si>
  <si>
    <t>My Stay at Travelodge London Kings Cross Royal ScotI found the hotel very clean and comfortable. The staff were very helpful 
and friendly. The food was good and a wide variety available. The hotel was 
near the bus and train stops. I was very pleased and very comfortable 
there.Read moreDate of stay: March 2019HelpfulShare</t>
  </si>
  <si>
    <t>tysmith27 wrote a review Jun 2018ipswich27 contributions10 helpful votes</t>
  </si>
  <si>
    <t>Dreamer787405 wrote a review Mar 2019Worle, United Kingdom2 contributions1 
helpful vote</t>
  </si>
  <si>
    <t>Perfect for the EurostarHad a 1 night stay in this hotel, rooms were clean well presented, Food was 
available at extra cost, not bad for London prices overall, Breakfast 
Buffet was very good but a little dear (£8.99) and the bonus the hotel is a 
10 min walk to St Pancras &amp; Kings Cross Stations ideal for the Eurostar and 
services to the North of EnglandRead moreReview collected in partnership 
with this hotelDate of stay: March 2019HelpfulShare</t>
  </si>
  <si>
    <t>Good location.Great location, friendly staff. Rooms are clean but small. The main put off 
was the strong smell of sewage throughout the corridors. The first time we 
visited it was there but this second stay was even worse. The drains need 
to be sorted. It's like being abroad. This has put us off returning.Read 
moreDate of stay: June 2018HelpfulShareResponse from TravelodgeUK, Charley 
from the Social Media Team at Travelodge London Waterloo HotelResponded 21 
Jun 2018Thank you for taking the time to review our Travelodge London 
Waterloo Hotel. We are so happy to hear that you were pleased with the 
location of the Hotel and that your stay with us was positive overall. We 
are sorry, however, to hear of the drainage issues that you experienced. 
This information is really useful to us in improving our hotels. Please 
rest assured we will pass your helpful comments to the hotel and management 
team, thank you for your review and we hope to welcome you back to our 
hotel soon.Read more</t>
  </si>
  <si>
    <t>tonyhannant wrote a review Mar 2019Thorne37 contributions18 helpful votes</t>
  </si>
  <si>
    <t>https://www.tripadvisor.co.uk/Hotel_Review-g186338-d1812157-Reviews-or1020-Travelodge_London_Waterloo_Hotel-London_England.html#REVIEWS</t>
  </si>
  <si>
    <t>excellent value hotelTravelodge London Kings Cross Royal Scot is an excellent hotel near to 
Kings Cross rail station, first class rooms and staff,highly 
recommended.The hotel is not overpriced like most of the other hotels in 
the area,Drinks reasonably priced and the breakfast was nice with plenty of 
choice.Read moreReview collected in partnership with this hotelDate of 
stay: March 2019HelpfulShare</t>
  </si>
  <si>
    <t>_emily_cons wrote a review Jun 2018Nottinghamshire, United Kingdom1 
contribution1 helpful vote</t>
  </si>
  <si>
    <t>James T wrote a review Mar 20191 contribution</t>
  </si>
  <si>
    <t>What a difference a year makesMy husband, myself and our eight friends have stayed in this hotel every 
year for the last 7 years but last year we had to make formal complaints as 
it was awful. Due to receiving a refund voucher we had to make a booking 
for this year but we were not looking forward to our stay. However, it was 
brilliant! The whole hotel had been refurbished and was spotless but more 
than that we could not get over the change in attitude of the staff - they 
couldn't do enough for us. I would not hesitate to recommend this hotel and 
will definitely be booking again for next year.Read moreDate of stay: May 
20181 Helpful voteHelpfulShare</t>
  </si>
  <si>
    <t>Stephen B wrote a review Jun 201813 contributions1 helpful vote</t>
  </si>
  <si>
    <t>Short breakClean room. Nice shower. Friendly welcome. Breakfast decent. Twin beds 
available and comfortable if a bit narrow. Dated and dingy decor to the 
corridors. Very bright and functional dining area. Shame nowhere cosy to 
sit and relax with a drink. Good value overall for London.Read moreReview 
collected in partnership with this hotelDate of stay: March 
2019HelpfulShareResponse from TravelodgeUK, Tilly from The Social Media 
Team at Travelodge London Kings Cross Royal ScotResponded 22 Mar 2019Thank 
you for your feedback of our London Kings Cross Royal Scot hotel. We're 
pleased to learn that you enjoyed the majority of your stay and we will be 
sure to pass this to the hotel team. We hope to welcome you back to one of 
our hotels in the near futureRead more</t>
  </si>
  <si>
    <t>Awesome staff and great locationAll aspects of the hotel as expected. Food good, rooms clean and great 
location. What made this one that extra bit special was the staff. Malakay 
and Marco entertained and chatted with us well into the early hours and 
nothing was a problem for them. Thanks you all made the stay that extra bit 
special.Read moreDate of stay: June 2018HelpfulShare</t>
  </si>
  <si>
    <t>https://www.tripadvisor.co.uk/Hotel_Review-g186338-d243667-Reviews-or1325-Travelodge_London_Kings_Cross_Royal_Scot-London_England.html#REVIEWS</t>
  </si>
  <si>
    <t>ahmedosman062018 wrote a review Jun 2018Portsmouth, United Kingdom1 
contribution1 helpful vote</t>
  </si>
  <si>
    <t>Jesterladd wrote a review Mar 2019Horsham, United Kingdom3 contributions</t>
  </si>
  <si>
    <t>https://www.tripadvisor.co.uk/Hotel_Review-g186338-d1812157-Reviews-or590</t>
  </si>
  <si>
    <t>London stayExcellent hotel location, a short walk to London Waterloo station as well 
as some local bus routes to central Lond. Very friendly and helpful staff, 
clean and tidy hotel throughout. Would definitely recommend it and would go 
back to stay there again.Read moreReview collected in partnership with 
TravelodgeDate of stay: June 2018HelpfulShare</t>
  </si>
  <si>
    <t>Hotel StayIt was affordable (I booked in advance), clean and the check in staff were 
friendly. It is close to Kings Cross and St Pancras station. Walking into 
the Holborn area was straight forward. What more could I want.Read 
moreReview collected in partnership with this hotelDate of stay: March 
2019HelpfulShare</t>
  </si>
  <si>
    <t>TeamDavisHarris wrote a review Jun 2018Bruton, United Kingdom5 
contributions1 helpful vote</t>
  </si>
  <si>
    <t>John S wrote a review Mar 20196 contributions3 helpful votes</t>
  </si>
  <si>
    <t>Pleasantly surprised!The room was booked some time ago so got a good price (for London) for 
Family Room 110 on first floor. Plenty big enough for 3 adults...toss a 
coin for the single beds but they were perfectly adequate. Spotlessly 
clean, great shower, quiet, air con and nice view. Without exception the 
staff were polite,helpful and smiley! Breakfast was extra but set us up for 
the day....would definitely use again. Great location, easy 10 minute walk 
from Waterloo Station.Read moreDate of stay: June 2018HelpfulShare</t>
  </si>
  <si>
    <t>7 out of 8We were on a trip to see a Theatre performance. Although the staff tried to 
assist one of our party of 8 couldn't eat in the hotel due to the lack of 
Gluten free options on any of the menus. We'll look elswhere on our next 
trip.Read moreReview collected in partnership with TravelodgeDate of stay: 
March 2019HelpfulShare</t>
  </si>
  <si>
    <t>https://www.tripadvisor.co.uk/Hotel_Review-g186338-d1812157-Reviews-or1025-Travelodge_London_Waterloo_Hotel-London_England.html#REVIEWS</t>
  </si>
  <si>
    <t>Mike H wrote a review Jun 2018Chorley, United Kingdom147 contributions37 
helpful votes</t>
  </si>
  <si>
    <t>Yizhong Z wrote a review Mar 20191 contribution</t>
  </si>
  <si>
    <t>Well located budget hotelGood location and one of the better Travelodges I have stayed in. Clean and 
tidy, friendly reception and breakfast reasonable too. Not sure why 
Travelodges only offer free WiFi for 30 minutes. That does feel a bit 
stingy.Read moreDate of stay: June 2018HelpfulShareResponse from 
TravelodgeUK, Tilly from the Social Media Team at Travelodge London 
Waterloo HotelResponded 19 Jun 2018Thank you for your review of our London 
Waterloo Hotel. We are mostly grateful for your positive feedback. It is 
really appreciated. We are sorry to hear about your disappointment of the 
limited free offer of 30 minutes WiFi. We have taken your comments on board 
and passed them to the relevant department and we do hope that this issue 
will not affect your opinion of Travelodge. Thank you again for your 
review, we will be sure to pass your comments onto the hotel team and we 
hope to welcome you back to one of our hotels in the future.Read more</t>
  </si>
  <si>
    <t>ExcellentVery Nice with great value, now the service has improved a lot and the 
price is very good for short business stay. If offers nice tea and coffee 
and the towers and bed sheet are very clean. It is recommended for 
everyone.Read moreReview collected in partnership with TravelodgeDate of 
stay: March 2019HelpfulShare</t>
  </si>
  <si>
    <t>LSC0760 wrote a review Jun 2018Nottinghamshire, United Kingdom1 
contribution2 helpful votes</t>
  </si>
  <si>
    <t>https://www.tripadvisor.co.uk/Hotel_Review-g186338-d243667-Reviews-or1330-Travelodge_London_Kings_Cross_Royal_Scot-London_England.html#REVIEWS</t>
  </si>
  <si>
    <t>Best Travelodge in LondonUsed to stay regularly on business and recently returned. Nicely 
refurbished, clean and comfortable rooms and good breakfast. Best thing 
about this hotel is the exceptionally friendly and welcoming staff - 
nothing is too much trouble. A special mention to Lovely Hilina on 
reception, very helpful indeed!Read moreDate of stay: June 2018HelpfulShare</t>
  </si>
  <si>
    <t>GRR52 wrote a review Jun 2018Glasgow, United Kingdom77 contributions42 
helpful votes</t>
  </si>
  <si>
    <t>Piter Z wrote a review Mar 2019London, United Kingdom1 contribution</t>
  </si>
  <si>
    <t>Great Night StayStayed for one night, good location 5 min walk from waterloo rail station - 
good reception and friendly staff - nice little bar and seating area, room 
very clean - had a room at the rear of the hotel, very quiet which was 
great, restaurant basic but good, food was basic but good, best chicken 
i've had in a while - breakfast was good, plentiful and the usual 
selection, well worth the it - oh and air con Good stayRead moreDate of 
stay: June 2018HelpfulShare</t>
  </si>
  <si>
    <t>Extremely helpful staffExtremely good stay . Remy is the best in there . Always with a nice smile 
and very professional . Good location bar and breakfast . Good value for 
money ! I would recommend to everyone ! Very close to kings crossRead 
moreDate of stay: March 2019HelpfulShare</t>
  </si>
  <si>
    <t>helenwhiley87 wrote a review Mar 20195 contributions</t>
  </si>
  <si>
    <t>Great value for moneyGreat location, only 10 mins walk to kings cross. 24 hour bar! Comfy bed 
however my room was off in the lift lobby so continuously heard the lift 
all night/Morning. Staff were extremely friendly and helpful.Read moreDate 
of stay: March 2019HelpfulShare</t>
  </si>
  <si>
    <t>Helen P wrote a review Mar 2019Southampton, United Kingdom9 contributions9 
helpful votes</t>
  </si>
  <si>
    <t>https://www.tripadvisor.co.uk/Hotel_Review-g186338-d1812157-Reviews-or1030-Travelodge_London_Waterloo_Hotel-London_England.html#REVIEWS</t>
  </si>
  <si>
    <t>One to Avoid- unless you like noise and more!The staff were friendly on checking in and I had a bite to eat in the very 
noisy “restaurant”. The food was average and then I gathered my belongings 
and ventured off to my room. I’m not sure if I have ever stayed in a 
Travelodge before but I have stayed in Premier Inns so thought the standard 
would be similar. This had been arranged for me by the company I have only 
just joined and on entering my room I can only say that I was not 
impressed. Quite frankly it filled me with dread and then I saw the 
bathroom which was dire. The toilet pan was cracked, there was staining 
above the shower. An old fashioned fire alarm bell was attached to the wall 
and I felt as though I had entered some run down hotel. The room itself was 
cold and noisy and despite turning the heater up it never…Read moreDate of 
stay: March 20191 Helpful voteHelpfulShareResponse from TravelodgeUK, Molly 
from the Social Media Team at Travelodge London Kings Cross Royal 
ScotResponded 15 Mar 2019Thank you for taking the time to review our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</si>
  <si>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LowtonTravellers wrote a review Jun 2018Manchester, England129 
contributions67 helpful votes</t>
  </si>
  <si>
    <t>Best Travelodge Stay yetThis has to be the best Travelodge we’ve stayed at. Hotel very 
accommodating with our bags before we could check in (which other 
travelodges don’t do). The superior room very comfortable with a never 
ending supply of coffee pods and air conditioning. What makes this a cut 
above others are the staff. Shout outs to Bruno on the bar and the ladies 
in the restaurant for a genuinely friendly service from people who seem to 
care. Location 10 mins walk to Waterloo station and 20 min walk to London 
Eye means your not far from anything. Also a few nice looking pubs and 
restaurants around (and great fish and chip place next door). You cant do 
much better than here to stay in London at the price!Read moreDate of stay: 
June 20181 Helpful voteHelpfulShare</t>
  </si>
  <si>
    <t>https://www.tripadvisor.co.uk/Hotel_Review-g186338-d243667-Reviews-or1335-Travelodge_London_Kings_Cross_Royal_Scot-London_England.html#REVIEWS</t>
  </si>
  <si>
    <t>MLOfficial92 wrote a review Jun 2018Wroxall, United Kingdom22 
contributions3 helpful votes</t>
  </si>
  <si>
    <t>petraw980 wrote a review Mar 2019Barcelona, Spain8 contributions4 helpful 
votes</t>
  </si>
  <si>
    <t>Best Stay Yet! Truly Wonderful.I stayed the weekend at Waterloo Travelodge and I have to say it was 
absolutely stunning service. I checked in just after 3 on the Friday, and 
was asked whether I'd like a room on the higher or lower floors, it was 
nice to have the choice. The service from the staff was brilliant - 5 stars 
purely for them, The assistant manager had a great sense of humour along 
with the reception and bar/cafe staff - I'll admit I didn't eat in the cafe 
as I ate elsewhere, purely because I was out exploring. On my last night, I 
asked to add the late check out option and it was no hassle at all, again 
this came with such a friendly reaction from the receptionist.I certainly 
will be back. In terms of picky feedback, that could maybe be looked at in 
future. Bigger bin bags for the bins under the…Read moreDate of stay: June 
2018HelpfulShare</t>
  </si>
  <si>
    <t>r0bertt28 wrote a review Jun 2018Portsmouth, United Kingdom8 contributions2 
helpful votes</t>
  </si>
  <si>
    <t>You don’t even get what you pay for, do not recommendWe stayed for 4 night, we had to move rooms 3 times because something was 
wrong/broken in each room. The place was ridiculously hot, not joking is 
was at least 35 degree in our first room and a silly cheap fan that did 
nothing. It was not liveable. We paid extra to get the breakfast, 3 out of 
4 mornings we barley got any food or non. Understaffed, no cups, plates, 
cutlery, NO FOOD!! No drinks no nothing really. We sat there for about an 
hour waiting, place just got more and more packed. We showed our 
disappointment of this and asked if we can some back later for breakfast 
and we could but we didn’t even get a sorry for the inconvenience. I wrote 
a email to the hotel complaining after our stay and they said they 
willprocess my complaint, 4 months later I still didn’t hear from…Read 
moreDate of stay: July 2018HelpfulShareResponse from TravelodgeUK, Molly 
from the Social Media Team at Travelodge London Kings Cross Royal 
ScotResponded 15 Mar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</si>
  <si>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Basic but clean and close to stationGood place to stay if on budget and for short trip. Rooms are basic with 
not much hanging space for people on long break. Room was clean comfort was 
fine but lacked amenities like hairdryer safe fridge Room was located away 
from lifts and noise and was fine for a couple of daysRead moreReview 
collected in partnership with TravelodgeDate of stay: June 2018HelpfulShare</t>
  </si>
  <si>
    <t>Paradise284948 wrote a review Mar 20191 contribution</t>
  </si>
  <si>
    <t>GMT2164 wrote a review Jun 2018Dorchester, United Kingdom11 contributions4 
helpful votes</t>
  </si>
  <si>
    <t>Ideally situated for our visit to LondonVery good value. Within walking distance from St.Pancras station. No.390 
bus from the station took us to Victoria bus/railway station and our bus 
pass issued by Notre.C.C. was accepted so bus travel was free on all lonLon 
red buses.Read moreReview collected in partnership with this hotelDate of 
stay: March 2019HelpfulShare</t>
  </si>
  <si>
    <t>Great locationI stayed here on recommendation from colleagues and I was not disappointed. 
I did decide to pay for a 'super' room and I was on the 7th floor. It 
wasn't a great view but it is just a room to stay in and it was only for 
one night. I had tea making facilities and complimentary kit kat bars in my 
room. The bed was comfortable, although I did turn the air con off because 
I was unable to get to sleep. There was fresh iced drinking water at 
reception which was really welcome. The whole hotel was clean and well 
maintained.Read moreReview collected in partnership with TravelodgeDate of 
stay: June 2018HelpfulShare</t>
  </si>
  <si>
    <t>Denise C wrote a review Mar 2019Telford, United Kingdom31 contributions23 
helpful votes</t>
  </si>
  <si>
    <t>"Chuffed" of TelfordI am becoming a fan of Travelodge. You get what you pay for - but rooms are 
clean - beds comfortable - shower hot and powerful. Didn't have breakfast 
but it looked very good value and the restaurant was full. Staff very 
friendly and helpfulRead moreReview collected in partnership with 
TravelodgeDate of stay: March 2019HelpfulShare</t>
  </si>
  <si>
    <t>https://www.tripadvisor.co.uk/Hotel_Review-g186338-d1812157-Reviews-or1035-Travelodge_London_Waterloo_Hotel-London_England.html#REVIEWS</t>
  </si>
  <si>
    <t>rosemary828 wrote a review Jun 2018London, United Kingdom1 contribution</t>
  </si>
  <si>
    <t>Good hotel Good locationOur value room was very basic but clean. The staff were extremely helpful 
and welcoming. The breakfast was good and a good price. Service was 
continuous. The location is good for trains, the tube and buses.Read 
moreReview collected in partnership with TravelodgeDate of stay: June 
2018HelpfulShare</t>
  </si>
  <si>
    <t>https://www.tripadvisor.co.uk/Hotel_Review-g186338-d243667-Reviews-or1340-Travelodge_London_Kings_Cross_Royal_Scot-London_England.html#REVIEWS</t>
  </si>
  <si>
    <t>Dave M wrote a review Jun 20181 contribution</t>
  </si>
  <si>
    <t>Rhian wrote a review Mar 20196 contributions</t>
  </si>
  <si>
    <t>Nice place to stay, central location for budget priceNice place to stay, very spacey and you can see it has recently had some 
money spent on it. All staff we encountered were very nice and plesant. 
Receptionist was very helpful. My only gripe was that when we split the 
beds in our twin room (712) we found a dried pool of blood on the floor 
between the beds and some old chocolate sweets. Bit disgusting really. 
Planned another visit already to a different Travel Lodge location, 
hopefully the cleanliness of this one is a bit better.Read moreReview 
collected in partnership with TravelodgeDate of stay: June 
2018HelpfulShareResponse from TravelodgeUK, Niki from The Social Media Team 
at Travelodge London Waterloo HotelResponded 12 Jun 2018Thank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</si>
  <si>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Great value Central London hotel with friendly staffI stay at this hotel frequently for work and am always happy with the big 
rooms and comfortable beds at a great price for the location. Staff are 
always welcoming and greet you with a smile no matter how busy they are, 
especially Remy - great customer service!Read moreDate of stay: March 
2019HelpfulShare</t>
  </si>
  <si>
    <t>Barry M wrote a review Jun 2018Southampton, United Kingdom11 contributions5 
helpful votes</t>
  </si>
  <si>
    <t>Extraordinary396141 wrote a review Mar 201929 contributions3 helpful votes</t>
  </si>
  <si>
    <t>Fantastic stayI would recommend this travel lodge to all staff very friendly great 
breakfast and the manager had time to talk to you and go out of his way to 
help if needed we arrived on the Friday and stayed until Sunday but our 
trip was made so pleasant that we would have loved to have stayed longer 
what a great travel lodge best we have ever stayed at .Read moreReview 
collected in partnership with TravelodgeDate of stay: June 2018HelpfulShare</t>
  </si>
  <si>
    <t>caroworcester wrote a review Jun 2018Worcestershire, United Kingdom65 
contributions24 helpful votes</t>
  </si>
  <si>
    <t>Fantastic staffOur room failed to meet the mark- no soap, bath mat or even bedside tables. 
We raised this with Remy who was working reception, who within minutes 
sorted by moving our room. All the other staff were happy and welcoming 
tooRead moreReview collected in partnership with this hotelDate of stay: 
March 2019HelpfulShare</t>
  </si>
  <si>
    <t>Getaway32711187975 wrote a review Mar 2019Halesowen, United Kingdom1 
contribution</t>
  </si>
  <si>
    <t>Thanks Hyacinth and all the staff for your friendliness and help...This hotel is close to the tube and well placed for the Southbank and 
Central London. It is always immaculately clean and the staff are cheery 
and friendly. We find it good value for money. There are plenty of 
restaurants locally and the Old/Young Vic are steps away. We keep 
returning! We stayed in a super room this time but the budget rooms are 
just as good.Read moreDate of stay: June 2018HelpfulShare</t>
  </si>
  <si>
    <t>Anthony2511 wrote a review Jun 2018London, United Kingdom57 contributions18 
helpful votes</t>
  </si>
  <si>
    <t>UncleanRoom 102 was unclean. The carpet was coming away round the edges of the 
room as though it had not been fitted properly. The curtain which were at 
high level would not close as had come off the track Mould around the 
window We would have been better staying in youth hostel Not recomendedRead 
moreReview collected in partnership with this hotelDate of stay: March 
2019HelpfulShareResponse from TravelodgeUK, Ben from the Social Media Team 
at Travelodge London Kings Cross Royal ScotResponded 19 Mar 2019Thank you 
for taking the time to write a review about our London Kings Cross Royal 
Scot hotel.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</si>
  <si>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Shocking check in process and serviceFour friends and I arrived at 1.30pm but advised we were unable to check in 
until 2pm without paying a fee. We decided to leave our bags and return 
later to check in. We arrived back at the hotel at 11pm, given our room 
keys and had a few drinks at the bar. At 2am we decided to retire to our 
rooms to find that for one of the rooms for 3 people we were given a room 
key for a room with a single guy already occupying the room. He wasn't best 
pleased to be woken at 2am. We returned to the check in desk and offered an 
upgrade to find that when we arrived at the room it was a twin room with no 
bed for the third guest. We once again returned to the check in desk to 
finally be given 2 available rooms only after suggesting the rooms were 
unavailable and having to put up with a…Read moreDate of stay: June 20181 
Helpful voteHelpfulShareResponse from TravelodgeUK, Ben from the Social 
Media Team at Travelodge London Waterloo HotelResponded 11 Jun 2018Thank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</si>
  <si>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emilyjaynepenny wrote a review Mar 2019Cornwall, UK4 contributions4 helpful 
votes</t>
  </si>
  <si>
    <t>https://www.tripadvisor.co.uk/Hotel_Review-g186338-d1812157-Reviews-or1040-Travelodge_London_Waterloo_Hotel-London_England.html#REVIEWS</t>
  </si>
  <si>
    <t>Stolen items - do NOT stay here!Having stayed in hundreds of hotels in my life, I have never been 
unfortunate enough to be the victim of theft, however - staying at London 
Central Kings Cross Royal Scot provided the first. I stayed here for one 
night on 8th March 2019 for a work event. Upon leaving the hotel at 
approximately 10am, my colleague and I realised that we had left our 
evening dresses in the wardrobe in our room. We contacted the hotel 
immediately (no mean feat, given the fact that it costs a small fortune to 
call Travelodge - and there is no direct dial for the hotel), via email, 
and was yesterday given the blase response that "no such items have been 
found", and that the room had been searched upon our leaving, of course 
cementing the fact that the Housekeeping team, or indeed, someone else who 
had…Read moreDate of stay: March 20192 Helpful votesHelpfulShareResponse 
from TravelodgeUK, Ben from the Social Media Team at Travelodge London 
Kings Cross Royal ScotResponded 13 Mar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</si>
  <si>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cuddleybear wrote a review Jun 2018Dorking10 contributions3 helpful votes</t>
  </si>
  <si>
    <t>Not one miserable member of staff!!!Stayed here with a friend for one night as we were going to a show. I've 
got to say I've never experienced a travelodge like this. Every single 
member of staff was friendly and welcoming. The hotel was bright and 
spotless. Great service even at gone midnight. The assistant manager went 
above and beyond at breakfast to satisfy a guest. I definitely recommend a 
stay here.Read moreDate of stay: June 2018HelpfulShare</t>
  </si>
  <si>
    <t>https://www.tripadvisor.co.uk/Hotel_Review-g186338-d243667-Reviews-or1345-Travelodge_London_Kings_Cross_Royal_Scot-London_England.html#REVIEWS</t>
  </si>
  <si>
    <t>bmcarter1994 wrote a review Jun 2018Gloucester, United Kingdom1 contribution</t>
  </si>
  <si>
    <t>Amazing5 out of 5 an amazing stay and welcome and staff was amazing. The place was 
clean and the hotel was in a perfect location for a trip to London. Would 
strongly recommend this place to anyone who wants to visit London.Read 
moreDate of stay: June 2018HelpfulShare</t>
  </si>
  <si>
    <t>Lisa C wrote a review Mar 2019Lancaster, United Kingdom62 contributions23 
helpful votes</t>
  </si>
  <si>
    <t>Basic, clean, ok for one night!Stayed here with friend. Price was reasonable for London . About 10 min 
walk from kings cross with cafes, take away and supermarket nearby. Clean &amp; 
basic. Our room was cold and noisy. Our room was next to lift. Shower 
pressure so fierce on turning on- it sprayed me, all towels, and flooded 
floor! Pleasant staff, luggage leave, vending machines, 24 hour bar, 
restaurant.Read moreReview collected in partnership with TravelodgeDate of 
stay: March 2019HelpfulShareResponse from TravelodgeUK, Tilly from The 
Social Media Team at Travelodge London Kings Cross Royal ScotResponded 21 
Mar 2019Thank you for your comments about our London Kings Cross Royal Scot 
hotel. We're pleased that you were happy with your overall stay and we will 
be sure to pass this onto the hotel team. We hope to welcome you back 
soonRead more</t>
  </si>
  <si>
    <t>Selena R wrote a review Mar 20191 contribution</t>
  </si>
  <si>
    <t>emutti92 wrote a review Jun 2018Norfolk, United Kingdom2 contributions</t>
  </si>
  <si>
    <t>Amazing customer serviceRemy on reception was great and they were also kind enough to look after 
our bags during the day while we saw London a bit more! Breakfast was also 
good as it was fresh and hot at 8 am for us although served between 6 and 
10 am. Would come again in the futureRead moreReview collected in 
partnership with this hotelDate of stay: March 2019HelpfulShare</t>
  </si>
  <si>
    <t>Stranded single femaleI'm not from London. I'm not familiar with London and after missing my last 
train home and getting stranded I genuinely started to panic a little. I 
was by myself late at night and with my dog. Google came in handy and I 
found this travel lodge and I'm not going to lie, I'm so happy I did. The 
receptionist - Amy - went above and beyond for me to make me feel safe and 
welcome. Even checking me in at 1:30am. The room was lovely, clean and 
perfect to rest in after an eventful evening. The staff in the morning were 
absolutely lovely as well and I wish I'd of got their names as well to give 
them all the recognition they deserve. Plus, the breakfast was lovely. My 
dog even got to enjoy a sausage! I was so lucky to have found this place 
and couldn't imagine a hotel with better service…Read moreDate of stay: 
June 2018HelpfulShare</t>
  </si>
  <si>
    <t>steve-norf wrote a review Mar 2019Norwich UK94 contributions47 helpful votes</t>
  </si>
  <si>
    <t>As always a clean room and a fair priceThis is a no frils budget hotel that is always a comfortable bed with 
everything we need when we are out all day and only back to come to go to 
sleep. You know what you are getting (and not getting) and we are happy 
with the package offered at the pretty low cost for central London. Its 
fairly near Kings cross Station so easy to get anywhere in london by 
tube.Read moreReview collected in partnership with this hotelDate of stay: 
March 2019HelpfulShare</t>
  </si>
  <si>
    <t>Pioneer02182298892 wrote a review Mar 20191 contribution</t>
  </si>
  <si>
    <t>https://www.tripadvisor.co.uk/Hotel_Review-g186338-d1812157-Reviews-or1045-Travelodge_London_Waterloo_Hotel-London_England.html#REVIEWS</t>
  </si>
  <si>
    <t>Royal Scot at Kings Cross LondonFriendly obliging staff, Large comfortable clean beds and light airy rooms. 
Ideal location for public transport . Good bar and restaurant but breakfast 
was an option for £8.95 which we didn’t have Would recommend it to family 
and friends. We will be returning in the future.Read moreReview collected 
in partnership with this hotelDate of stay: March 2019HelpfulShare</t>
  </si>
  <si>
    <t>https://www.tripadvisor.co.uk/Hotel_Review-g186338-d243667-Reviews-or1350-Travelodge_London_Kings_Cross_Royal_Scot-London_England.html#REVIEWS</t>
  </si>
  <si>
    <t>HayleyMax wrote a review Mar 2019Swinton, United Kingdom8 contributions4 
helpful votes</t>
  </si>
  <si>
    <t>David S wrote a review Jun 2018Glasgow, United Kingdom34 contributions2 
helpful votes</t>
  </si>
  <si>
    <t>Enjoyable Stay March 2019The hotel was very clean and comfortable and in a great location for the 
train and tube. The staff were very helpful and friendly. You weren't 
rushed out of your room when leaving and we would definitely stay here 
again.Read moreReview collected in partnership with TravelodgeDate of stay: 
March 2019HelpfulShare</t>
  </si>
  <si>
    <t>Excellent stay!!!!!!I had an excellent stay in Waterloo travelodge. First off the staff were 
helpful and friendly. The rooms were modern, spacious , good facilities and 
the bar/restaurant area was modern and sleek. He hotel is the perfect 
location, 5mins from Waterloo tube station and 15min walk from the London 
eye. I would recommend this hotel highly and will definitely stay here 
again. One thing i would recommend is that more hairdryers are made 
available as there was none available throughout our stay.Read moreDate of 
stay: June 2018HelpfulShare</t>
  </si>
  <si>
    <t>JBofStortford wrote a review Jun 2018Bishops Stortford, United Kingdom17 
contributions16 helpful votes</t>
  </si>
  <si>
    <t>Wanderer53300979846 wrote a review Mar 20191 contribution</t>
  </si>
  <si>
    <t>Great accommodation for a couple of nights in 'town'Travel Lodge have definitely improved their game of the years, and this 
particular one is no exception. Just up the road from Waterloo station, 
walking distance to a majority of South Bank attractions and venues and the 
staff extremely helpful and polite. Bed really comfy, which is a plus after 
you've been on your feet all day and evening. Well done Travel Lodge 
Waterloo!Read moreDate of stay: September 2017HelpfulShare</t>
  </si>
  <si>
    <t>Clean and welcomingHotel was clean, staff very welcoming and good breakfast but room a little 
tired and in need of some repair with window which did not have a catch but 
fortunately had secondary double glazing. Would stay again.Read moreDate of 
stay: March 2019HelpfulShareResponse from TravelodgeUK, Tilly from The 
Social Media Team at Travelodge London Kings Cross Royal ScotResponded 19 
Mar 2019Thank you for your review of our London Kings Cross Royal Scot 
hotel. We're sorry to hear of your disappointment with the look of your 
room, however we are pleased that you felt the hotel was clean, our hotel 
team were welcoming and you enjoyed the breakfast. We will pass your 
comments to the hotel team and hope to welcome you back soonRead more</t>
  </si>
  <si>
    <t>Esa P wrote a review Jun 20186 contributions</t>
  </si>
  <si>
    <t>Liz wrote a review Mar 20192 contributions</t>
  </si>
  <si>
    <t>Freindly staff, clean hotelStayed 3 nights. I appreciate friendliness and cleanness, easy access to 
underground and railway. Walking distance from City Center. I asked for two 
one person blankets but got two king size blankets instead. They were far 
too big for the bed. Have breakfast somewhere else unless you are British. 
I prefer having a cappuccino and sandwich/croissant somewhere else instead 
of having big tasteless breakfast at the hotel. I had booked and prepaid bf 
for 2 people for 3 mornings. After the first one I cancelled the 2 others. 
As I had paid flexible rate I was told it was allowed, but payment was 
through PayPal. In need to contact PP for reimbursement. I recommend this 
hotel, but next time I will not have breakfast there.Read moreReview 
collected in partnership with TravelodgeDate of stay: June 2018HelpfulShare</t>
  </si>
  <si>
    <t>A good nights sleep and friendly staff!After a stressful day, the Kings Cross Royal Scot was a great place to get 
a good, affordable nights sleep at short notice. It is basic and a bit 
dated but this didnt bother us as the staff were so friendly and they gave 
us such a nice welcome, Thank you so much to Bella and Amirul who were on 
reception for the smooth check in and friendly smiles!!Read moreDate of 
stay: March 2019HelpfulShare</t>
  </si>
  <si>
    <t>DumnoniiNomad wrote a review Jun 2018Exeter, United Kingdom42 
contributions5 helpful votes</t>
  </si>
  <si>
    <t>Weekend breakIf this hotel is anything to go by, Travelodge have turned a corner. In the 
past I have been disappointed by Travelodge Hotels and so booked this one 
with pretty low expectations, however I was happily surprised. We were 
cheerfully greeted and once checked in found that our room was at the end 
of the corridor, to the rear of the building, which really supported a 
quiet night - and so it was. I didn't hear a thing either inside or outside 
all night. Great for a hotel in the capital! We included a full breakfast, 
and it was very well presented. Standard fare, but tasty and being a 
buffet, plenty of it. Eggs were scrambled ... my only criticism, however as 
I didn't ask for an alternative, it's purely an observation. All in all, a 
very good, quiet hotel, conveniently located for the…Read moreDate of stay: 
June 2018HelpfulShare</t>
  </si>
  <si>
    <t>https://www.tripadvisor.co.uk/Hotel_Review-g186338-d243667-Reviews-or1355-Travelodge_London_Kings_Cross_Royal_Scot-London_England.html#REVIEWS</t>
  </si>
  <si>
    <t>Magenta S wrote a review Mar 20191 contribution</t>
  </si>
  <si>
    <t>https://www.tripadvisor.co.uk/Hotel_Review-g186338-d1812157-Reviews-or1050-Travelodge_London_Waterloo_Hotel-London_England.html#REVIEWS</t>
  </si>
  <si>
    <t>excellent valueThe hotel is only 5 minutes walk from Kings Cross and has a late check in 
and check out. The room was clean and comfortable, if a little tired decor 
wise. The value was excellent for central London and i have paid much more 
for much worse.Read moreReview collected in partnership with TravelodgeDate 
of stay: March 2019HelpfulShare</t>
  </si>
  <si>
    <t>sevwaves wrote a review Jun 2018Weymouth, United Kingdom4 contributions2 
helpful votes</t>
  </si>
  <si>
    <t>Perfect Central LocationOur fifth visit to this Travelodge perfect location to walk to most London 
attractions if you like to walk. Only 7 minutes walk from Waterloo station 
everything at this Travelodge is perfect for sightseeing visit . Hotel is 
clean nice rooms friendly staff Paticularly Tebor on Reception nothing is 
too much trouble and he recognised us this visit, having said that always 
found the staff really helpfulRead moreDate of stay: May 2018HelpfulShare</t>
  </si>
  <si>
    <t>Kayleigh H wrote a review Mar 2019Wheathampstead, United Kingdom1 
contribution1 helpful vote</t>
  </si>
  <si>
    <t>https://www.tripadvisor.co.uk/Hotel_Review-g186338-d1812157-Reviews-or595</t>
  </si>
  <si>
    <t>Worst hotelI’ve stayed in a lot of cheap hotels and I never expect much, as you get 
what you pay for. However, this hotel was so so bad! There were no bedside 
cabinets in the room which is a joke! We were woken up all night by 
slamming doors, loud guests and reception knocking on our neighbours door 
at 1am. Yes we are in London but other hotels manage to keep noise levels 
low. I’ve never had that problem at the Covent Garden travel lodge. 
Breakfast was horrible, the mushrooms were dry, the hash browns weren’t 
cooked enough and the only saving grace was that the sausages were nice. To 
add to it all the place was run down and out dated (expected for a cheap 
hotel) and I can honestly say I’ve never stayed anywhere as awful.Read 
moreDate of stay: March 20191 Helpful voteHelpfulShareResponse from 
TravelodgeUK, Ben from the Social Media Team at Travelodge London Kings 
Cross Royal ScotResponded 19 Mar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</si>
  <si>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Andy O wrote a review Mar 2019london6 contributions15 helpful votes</t>
  </si>
  <si>
    <t>Good value in LondonDecor a bit tired but clean and tidy great staff who were very helpful and 
good natured. Key card didn’t work for 1 room - soon fixed. Hotel best 
value I could find in Central London. A short walk from Kings Cross - make 
sure you know where you’re going if you arrive at night and in the 
rain!Read moreReview collected in partnership with this hotelDate of stay: 
March 2019HelpfulShare</t>
  </si>
  <si>
    <t>jessBrighton wrote a review Mar 2019brighton4 contributions9 helpful votes</t>
  </si>
  <si>
    <t>Vanda R wrote a review Jun 2018Wisborough Green, United Kingdom30 
contributions10 helpful votes</t>
  </si>
  <si>
    <t>FineThis hotel is ok. It's clean but very outdated. It could do with a little 
spruce up. The breakfast was good value for money but not that fresh. Staff 
were very friendly. I'd recommend this hotel as a cheap base in Central 
london.Read moreReview collected in partnership with this hotelDate of 
stay: March 2019HelpfulShareResponse from TravelodgeUK, Tilly from The 
Social Media Team at Travelodge London Kings Cross Royal ScotResponded 19 
Mar 2019Thank you for your feedback about our London Kings Cross Royal Scot 
hotel. We're sorry to hear of your disappointment with the overall look of 
the hotel, however we are pleased that the majority of your stay was good. 
We will pass your review to the hotel team and hope to be given the 
opportunity to welcome you back to one of our hotels again soonRead more</t>
  </si>
  <si>
    <t>Absolutely brilliant staff, great hotel and great location!We stayed in one of the family super rooms this weekend and were hugely 
impressed with this hotel. The service, from Ori greeting us at reception 
to every single member of staff we encountered, was outstanding. They could 
not have been more friendly, more helpful or more efficient. The room was 
delightful and really well thought out. The bar and breakfast were both 
really great - again the staff really stood out - and the decor is lovely. 
The only teeny tiny fly in the ointment was that one of the lifts broke 
down while we were there, which meant being on the 7th was a bit of a 
drawback!! Apart from that it was really good. Well done to everyone there 
and thank you.Read moreDate of stay: June 2018HelpfulShare</t>
  </si>
  <si>
    <t>https://www.tripadvisor.co.uk/Hotel_Review-g186338-d243667-Reviews-or1360-Travelodge_London_Kings_Cross_Royal_Scot-London_England.html#REVIEWS</t>
  </si>
  <si>
    <t>master wrote a review Mar 201918 contributions13 helpful votes</t>
  </si>
  <si>
    <t>https://www.tripadvisor.co.uk/Hotel_Review-g186338-d1812157-Reviews-or1055-Travelodge_London_Waterloo_Hotel-London_England.html#REVIEWS</t>
  </si>
  <si>
    <t>Could of been better but glad I got a spotCame here last minute I am surprised I got any space or room. The hotel 
decor could be improved massively and the service was mediocre. Food 
service was quick and I doubt I will be back here. Hopefully I'll be more 
prepared next time. If there's no where to stay travel lodge is the 
place!!Read moreDate of stay: March 2019HelpfulShareResponse from 
TravelodgeUK, Tilly from The Social Media Team at Travelodge London Kings 
Cross Royal ScotResponded 19 Mar 2019Thank you for your comments about our 
London Kings Cross Royal Scot hotel. We are sorry to hear that you were not 
very impressed with your stay and we will pass this to the hotel team. We 
hope to be given the opportunity to welcome you back to one of our hotels 
in the near future.Read more</t>
  </si>
  <si>
    <t>stumpyBirmingham_UK wrote a review Jun 2018Birmingham, UK58 contributions22 
helpful votes</t>
  </si>
  <si>
    <t>Absolutely fineStayed here last week for the first time. Room was clean and fine and more 
importantly the air conditioning worked well. Quiet with no noise from 
outside or other rooms. Breakfast was comprehensive but nothing to write 
home about apart from the coffee which was very good. Floor of the shower 
tray was very slippy so guests should be mindful of this. All in all, 
serves the purpose and close to Waterloo Train StationRead moreDate of 
stay: May 2018HelpfulShareResponse from TravelodgeUK, Shaf from the Social 
Media Team. at Travelodge London Waterloo HotelResponded 10 Jun 2018Many 
thanks for submitting a review about our London Waterloo Travelodge. We're 
really pleased to hear of the positive feedback and thank you for your 
comments on our shower tray which we will look in to. We'll be sure to pass 
your valuable feedback directly to our colleagues in our hotel as this is 
the best way for us to improve the service we offer. Thank you again for 
your review.Read more</t>
  </si>
  <si>
    <t>Zena E wrote a review Jun 2018Tonbridge, United Kingdom420 contributions15 
helpful votes</t>
  </si>
  <si>
    <t>willis29 wrote a review Mar 2019Edinburgh, United Kingdom3 contributions</t>
  </si>
  <si>
    <t>Excellent locationIdeal for Waterloo Station only 5 minutes walk. We were impressed with all 
the staff we met. They were very helpful and extremely friendly. Jay, 
Catalina and Rae especially. Rooms were clean and comfortable and adequate 
for our two night stay. Despite being on the ground floor we never heard 
anything from the outside so had a good nights rest. Breakfast was great 
value and plenty of choices. We have stayed here in the past and will 
defiantly stay again.Read moreDate of stay: June 2018HelpfulShare</t>
  </si>
  <si>
    <t>Damp carpet &amp; single beds.I booked my room well in advance, and was disappointed to find I was given 
a 2 single bed room, as opposed to a double, even though it was clear at 
reception that I was expecting a double bed. The reception didn’t ask me 
how many keys I wanted for the room, instead gave me just one - implying 
they knew I was alone in the room and would have no need for 2 single beds. 
Upon entering the room, the carpet was damp enough to make my socks damp, 
and the cleaner DID NOT make up the bed in the morning!! I was shocked, the 
cleaner did everything else ie. changed the towels and re-stocked the 
tea... but the bed was left un-made.Read moreReview collected in 
partnership with TravelodgeDate of stay: March 2019HelpfulShareResponse 
from TravelodgeUK, Tilly from The Social Media Team at Travelodge London 
Kings Cross Royal ScotResponded 19 Mar 2019Many Thanks for submitting your 
review. We're sorry to hear about your recent stay with us at our London 
Kings Cross Royal Scot hotel and would like to hear more about your 
experience. Please may we kindly request you contact us with your review 
via the website so we can investigate your stay for you. Thank you again 
for posting your comments and we hope to hear from you soon.Read more</t>
  </si>
  <si>
    <t>Miec wrote a review Mar 2019Bristol, United Kingdom158 contributions27 
helpful votes</t>
  </si>
  <si>
    <t>Very disappointingI was very disappointed with the standard of this Travelodge. I have stayed 
at many before but this hotel did not meet the usual standard. The building 
felt dated and run-down and the sound-proofing was terrible. I could hear 
every time my neighbour went to the loo in the adjacent room and was 
disturbed by both street noise and on the 2nd night, rowdy guests staying 
along the corridor. I had 2 nights of poor sleep as a result. The room was 
pretty cramped but the bathroom was the real let down, as it just felt 
grotty. The towel rail was corroded, the paint on the skirting cracked and 
peeling. They hadn't bothered to close the soap dispensers when I arrived, 
which were filthy inside. Disappointing levels of cleanliness and not 
somewhere I would go back to.Read moreDate of stay: March 20191 Helpful 
voteHelpfulShareResponse from TravelodgeUK, Tilly from The Social Media 
Team at Travelodge London Kings Cross Royal ScotResponded 19 Mar 2019Thank 
you for submitting your review of our London Kings Cross Royal Scot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</si>
  <si>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https://www.tripadvisor.co.uk/Hotel_Review-g186338-d243667-Reviews-or1365-Travelodge_London_Kings_Cross_Royal_Scot-London_England.html#REVIEWS</t>
  </si>
  <si>
    <t>lecko60 wrote a review Mar 2019plymouth,england23 contributions7 helpful 
votes</t>
  </si>
  <si>
    <t>Fantastic customer serviceThe hotel is a little dated. Despite this we found it yo be very clean. 
Staff were the most friendly &amp; helpful that I have experienced. Arslan &amp; 
Zain were especially helpful &amp; friendly. Restaurant area was clean &amp; 
breakfast good.Read moreReview collected in partnership with this hotelDate 
of stay: February 2019HelpfulShare</t>
  </si>
  <si>
    <t>Trip40728146674 wrote a review Mar 2019Ripon, United Kingdom2 
contributions1 helpful vote</t>
  </si>
  <si>
    <t>https://www.tripadvisor.co.uk/Hotel_Review-g186338-d1812157-Reviews-or1060-Travelodge_London_Waterloo_Hotel-London_England.html#REVIEWS</t>
  </si>
  <si>
    <t>Business overnight stayStayed one night for business - poor location in Kings Cross, food in 
retaurant expensive and revolting. Room very basic as expected but noisy 
from street and people coming in late on corridor. An extremely bad nights 
sleep will not stay again.Read moreReview collected in partnership with 
this hotelDate of stay: March 20191 Helpful voteHelpfulShareResponse from 
TravelodgeUK, Molly from the Social Media Team at Travelodge London Kings 
Cross Royal ScotResponded 10 Mar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</si>
  <si>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Bess1EastYorkshire wrote a review Jun 2018East Yorkshire8 contributions3 
helpful votes</t>
  </si>
  <si>
    <t>Blanca F wrote a review Mar 20191 contribution1 helpful vote</t>
  </si>
  <si>
    <t>Fantastic!Great hotel. Really up to date, modern and clean room. Just a single night 
stay but very pleasant. It was ideal for my work venue, but I also walked 
down to the Southbank nearby where there were lots of bars and restaurants 
so an ideal location.Read moreDate of stay: May 2018HelpfulShare</t>
  </si>
  <si>
    <t>ALL WAS OKThe hotel is very kind, the staff was genial The location I think is good 
but not is in the center, you must take underground or buses a lot. The 
breakfast is complete. The bed confortable and the room tidy.Read 
moreReview collected in partnership with TravelodgeDate of stay: March 
20191 Helpful voteHelpfulShare</t>
  </si>
  <si>
    <t>scorchio127 wrote a review Jun 2018Nottingham, United Kingdom129 
contributions99 helpful votes</t>
  </si>
  <si>
    <t>Cruiser27288199321 wrote a review Mar 20191 contribution</t>
  </si>
  <si>
    <t>Kit katsMy employer sent me here. I would not have chosen it. It was just a short 
walk from Waterloo station. The bed was comfy, breakfast adequate. USP was 
instead of ordinary biscuits with your tea and coffee in your room, you got 
two kit kats. Admittedly only small ones but what more can you possibly 
want?Read moreDate of stay: June 2018HelpfulShareResponse from 
TravelodgeUK, Tilly from the Social Media Team at Travelodge London 
Waterloo HotelResponded 11 Jun 2018Thank you for your comments about our 
London Waterloo Travelodge We will be sure to pass them onto the hotel team 
and we hope to welcome you back to one of our hotels again soon.Read more</t>
  </si>
  <si>
    <t>judywillmott wrote a review May 20181 contribution</t>
  </si>
  <si>
    <t>TerriblePayed extra for early check in (12pm) arrived at 12:30 was given the key to 
my room to only be told by the cleaner to leave as the room wasn’t ready! 
Then had to wait for a different room after complaining to reception. Also 
paid extra to have the WiFi for 24 hours waste of money as it’s soo bad you 
may as well just use your data. The beds were really hard and the bathroom 
was dirty as well as there being hand prints on the wallsRead moreReview 
collected in partnership with TravelodgeDate of stay: March 
2019HelpfulShareResponse from TravelodgeUK, Shaf from the Social Media 
Team. at Travelodge London Kings Cross Royal ScotResponded 8 Mar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</si>
  <si>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Travel Lodge WaterlooStayed here for a long weekend. Everything worked perfectly. The room was 
clean and tidy as was the bathroom. Reception staff and waiting staff were 
excellent. The breakfast was very good (even for fussy teenagers!). I would 
stay here again if I had occasion to go to London again.Read moreReview 
collected in partnership with TravelodgeDate of stay: May 2018HelpfulShare</t>
  </si>
  <si>
    <t>https://www.tripadvisor.co.uk/Hotel_Review-g186338-d243667-Reviews-or1370-Travelodge_London_Kings_Cross_Royal_Scot-London_England.html#REVIEWS</t>
  </si>
  <si>
    <t>mmosdorn wrote a review May 2018Leicester, United Kingdom1 contribution</t>
  </si>
  <si>
    <t>great value for moneyrooms were clean and bed comfortable, staff was attentive, helpful and 
nice. Hotel walking distance from London Eye as well as bus lines to other 
city destinations. I travelled with a 6 year old and could not have found a 
better placeRead moreReview collected in partnership with TravelodgeDate of 
stay: May 2018HelpfulShare</t>
  </si>
  <si>
    <t>watermummy wrote a review May 2018Southampton, United Kingdom12 
contributions17 helpful votes</t>
  </si>
  <si>
    <t>Laura B wrote a review Mar 2019Co. Louth3 contributions1 helpful vote</t>
  </si>
  <si>
    <t>Great Hotel for a budget stayWe stayed here for 4 nights and I honestly couldn't fault it. It's cheap 
and cheerful and only 10 minutes walk from Kings Cross. The room had 
everything we needed but one small thing when you are travelling with a 
baby a bath would be nice. Samara was an absolute star throughout our stay. 
We ate in the bar on 3 nights and the food was lovely and prices are cheap. 
The desserts were amazing. All the reception staff were fantastic and every 
single staff member that passed us stopped and talked to our baby which was 
a really nice touch. The rooms on the first floor seem like they have been 
renovated recently. Myself and my husband both work in the hotel industry 
and are already planning to come back, I think that says a lot about this 
hotel.Read moreDate of stay: March 2019HelpfulShare</t>
  </si>
  <si>
    <t>No bath good locationThis was our first trip to a travel lodge. We usually stay in premier inns 
so we are used to a basic hotel. This hotel has been refurbished and is a 
great location for Waterloo and the underground which is only a 5min walk 
away and Just 15 mins to Southbank and London eye etc. My main issue was 
how small the room was ( although we spent little time in the room other 
than to sleep) there was only one tiny window which looked directly onto 
flats. There was no voile at window so we had to keep the blackout curtains 
shut when dressing etc. The bathroom is tiny. Just a shower loo and tiny 
sink. No bath which was not noted on website. no hairdryer in room. You can 
borrow one from reception but the mirror has no plug socket near it so you 
can’t see to dry hair. The bedside table is…Read moreDate of stay: May 
2018HelpfulShareResponse from TravelodgeUK, Ben from the Social Media Team 
at Travelodge London Waterloo HotelResponded 7 Jun 2018Thank you for 
reviewing your stay with us at our London Waterloo hotel. We're pleased to 
learn you enjoyed the location of the hotel and you found your room to be 
good value for the location. We are sorry to learn that you found your room 
to be too small and were unhappy with the breakfast. Feedback is invaluable 
and a copy of your comments will be forwarded to the Hotel Manager. Thank 
you once again and we do hope you will stay with us in the future.Read more</t>
  </si>
  <si>
    <t>AwayTooMuch wrote a review Mar 2019Bradford82 contributions12 helpful votes</t>
  </si>
  <si>
    <t>https://www.tripadvisor.co.uk/Hotel_Review-g186338-d1812157-Reviews-or1065-Travelodge_London_Waterloo_Hotel-London_England.html#REVIEWS</t>
  </si>
  <si>
    <t>Good price and fairly decent locationWe often stay in the Kings Cross Central Travelodge but for this recent 
trip, it was coming out very expensive so we opted for this location which 
was a 5-10 minute walk from Central. The reception area was very open and 
bright, the bar and breakfast area looked nice and bright and although we 
did not eat there, it always seemed to be well attended by other guests, 
particularly at breakfast time. The rooms are in serious need of renovation 
- I think the building may have been an old hotel as the decor has a real 
1920s hotel feel about it. We were in room 312 and the wardrobe was 
damaged, the bathroom looked a little grubby and there was a screw sticking 
out of the floor that I almost cut my foot on a few times. However, there 
was a bath (a big one) which is always a plus after a…Read moreDate of 
stay: March 2019HelpfulShare</t>
  </si>
  <si>
    <t>Jan K wrote a review May 2018Norfolk, United Kingdom7 contributions1 
helpful vote</t>
  </si>
  <si>
    <t>Good reasonably priced hotel in central LondonWe had a good stay at Travelodge over the Bank Holiday weekend. The staff 
were all friendly and helpful. During the first night the fan in the shower 
room made a noise, so we raised this with reception staff the following 
day. This was sorted out immediately and we were moved to a different room 
nearby without any bother.Read moreReview collected in partnership with 
TravelodgeDate of stay: May 2018HelpfulShare</t>
  </si>
  <si>
    <t>GrannyAllen wrote a review Mar 2019Cornwall, Uk158 contributions56 helpful 
votes</t>
  </si>
  <si>
    <t>Unacceptable roomStayed here for one night. Room on the 5th floor appeared to be long 
overdue an update! Torn wallpaper, stained carpet (vomit/blood??), curtains 
hanging from track, panel missing in window pane, plumbing poor. The only 
good thing was that the bed linen was clean. By contrast, the ground floor 
reception area was immaculate. Suitcase storage also unacceptable with 
potential for unscrupulous visitors to help themselves to other guests 
luggage as retrieval unsupervised by reception staff.Read moreDate of stay: 
March 2019HelpfulShareResponse from TravelodgeUK, Molly from the Social 
Media Team at Travelodge London Kings Cross Royal ScotResponded 7 Mar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</si>
  <si>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Jane P wrote a review May 2018Swansea, United Kingdom122 contributions6 
helpful votes</t>
  </si>
  <si>
    <t>Marion's daughter wrote a review Mar 20192 contributions</t>
  </si>
  <si>
    <t>Nice hotel but some issuesI stayed in this Travelodge for one night in order to take part in a 10K 
race in London. I chose it for its reasonable price and the fact that it 
was just two tube stops from the event. The hotel is newly refurbished and 
the room was clean and tidy. I did not have breakfast there or use the bar 
café so can't comment on that. However the issue I have is that only one of 
two lifts was working, there was no obvious staircase and the lift seemed 
to refuse to stop on the first floor on the way down. I ended up having to 
use what appeared to be a back stairs fire escape to get to the ground 
floor. Also I had booked a late checkout at 2pm but on returning to the 
hotel at 12.30pm my key card wouldn't work and I had to return to reception 
to have it changed. I didn't find the staff…Read moreDate of stay: May 
2018HelpfulShare</t>
  </si>
  <si>
    <t>Recent trip to LondonThe most approachable staff ever, left my train tickets in my room on day 
of departure and was given lots of support by Arslan and another member of 
staff (unfortunately didn't get her name) but did find the tickets! Room 
adequately furnished and clean, more tea and coffee available at reception 
without having to ask, an enjoyable visitRead moreDate of stay: March 
2019HelpfulShare</t>
  </si>
  <si>
    <t>Ray C wrote a review May 2018Newbury, United Kingdom118 contributions49 
helpful votes</t>
  </si>
  <si>
    <t>Mary C wrote a review Mar 20191 contribution</t>
  </si>
  <si>
    <t>Royal ScotClean and comfortable room with everything that we needed. Staff were very 
friendly and professional.Location very convenient to Kings Cross. 
Breakfast was very good, with fresh fruit salad, yoghurts, cereals and good 
coffee.Read moreReview collected in partnership with TravelodgeDate of 
stay: March 2019HelpfulShare</t>
  </si>
  <si>
    <t>Pros and cons.On the face of it, this is a good place to stay. It’s a great location, 
it’s been recently refurbished, it’s spotlessly clean, has great beds and 
it’s good value for money. However, our stay wasn’t without (fairly minor) 
niggles. Firstly, not long after we arrived, one of the two lifts broke 
down and remained that way for the entire weekend. I know it’s a bank 
holiday weekend but I’d still expect Travelodge to throw money at the 
problem to get it resolved. The other gripe I had is that they only provide 
two bath towels for a double room, no hand towels. We had to ask for extra 
towels; we got one and that wasn’t replaced when the room was cleaned the 
next morning. I’m sorry, but it’s something so basic that there’s just no 
excuse. And finally, not something that can be…Read moreDate of stay: May 
2018HelpfulShareResponse from TravelodgeUK, Joe from the Social Media Team 
at Travelodge London Waterloo HotelResponded 30 May 2018We would like to 
thank you for taking the time to advise of your recent stay at our London 
Waterloo hotel. We're glad to hear that your stay was made special by the 
location and that your room was serviced to our high level standard. 
However, we're sorry about your disappointment regarding the lift and 
towels provided within your room. It is only through feedback such as yours 
that we are able to maintain and indeed, where necessary improve upon the 
service that we provide to our valued guests. We were disappointed to read 
of your experience during your stay with us. Whilst an apology will 
regrettably not alter the outcome of your experience on this occasion, we 
do thank you for taking the time to share your experience so these issues 
can be resolved to ensure that this does not repeat for other guests. Once 
again, thank you for your review and we hope this does not deter you from 
staying with us again in the future.Read more</t>
  </si>
  <si>
    <t>https://www.tripadvisor.co.uk/Hotel_Review-g186338-d243667-Reviews-or1375-Travelodge_London_Kings_Cross_Royal_Scot-London_England.html#REVIEWS</t>
  </si>
  <si>
    <t>bjabjabja wrote a review May 20188 contributions2 helpful votes</t>
  </si>
  <si>
    <t>amyd1232015 wrote a review Mar 2019Yorkshire, United Kingdom1 contribution</t>
  </si>
  <si>
    <t>NormalA normal Travelodge experience, good price, standard refurbished room and 
clean. Helpful and polite staff. Good location just a short walk from 
Waterloo or Southwark stations. Not much more to say about it really. Only 
quibble I have, and this applies to all Travelodges, is that the bed could 
be more firmly fixed. It moves quite a lot if you are at all energetic in 
it.Read moreReview collected in partnership with this hotelDate of stay: 
May 2018HelpfulShare</t>
  </si>
  <si>
    <t>Noisy - stay in a hostel!We were kept awake by drilling above our room between 11.30pm and 3.30am. I 
went and told reception at 2am and was told all I could do was move hotels. 
As we were meant to be up at 4am for the Eurostar anyway, and I didn’t 
fancy walking around a pretty dodgy area of kings cross at 2am - I had to 
settle for no sleep. Shower cap over fire alarm throughout our whole stay 
as well - only realised when leaving. Considering a fire alarm had gone off 
as well earlier in evening - very worrying this had not been picked up! 
Would not stay at this Travelodge again. Have stayed in quieter 
hostels!Read moreReview collected in partnership with TravelodgeDate of 
stay: February 2019HelpfulShareResponse from TravelodgeUK, Molly from the 
Social Media Team at Travelodge London Kings Cross Royal ScotResponded 6 
Mar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</si>
  <si>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https://www.tripadvisor.co.uk/Hotel_Review-g186338-d1812157-Reviews-or1070-Travelodge_London_Waterloo_Hotel-London_England.html#REVIEWS</t>
  </si>
  <si>
    <t>Trail58353536502 wrote a review Mar 20191 contribution</t>
  </si>
  <si>
    <t>rafalozanog wrote a review May 2018Madrid, Spain1 contribution</t>
  </si>
  <si>
    <t>goodHotel staff are very kind and patient, breakfast is good, my daughter likes 
it. It is very quiet in the night ,and the transportation is very 
convenient, it’s a very good choice，we will come here next time.Read 
moreReview collected in partnership with this hotelDate of stay: February 
2019HelpfulShare</t>
  </si>
  <si>
    <t>Good location.Very good location, big clean room, very comfortable bed and pillow. 
Friendly staff even though they didn’t want to heat the leftover pizza I 
got for dinner when I returned at night. Very close to the underground and 
railway station. Near some bars of the area and Vauxhall’s pubs.Read 
moreReview collected in partnership with TravelodgeDate of stay: May 
2018HelpfulShare</t>
  </si>
  <si>
    <t>Jayne Y wrote a review Mar 2019Middlesbrough, United Kingdom7 
contributions1 helpful vote</t>
  </si>
  <si>
    <t>N9461ZLphilh wrote a review May 2018Birmingham 4 contributions1 helpful vote</t>
  </si>
  <si>
    <t>Kings cross stayLoved our 3 night stay in this hotel was close to train station lovely 
breakfast area and cheap hours at the bar 2 kopperberg for £8 great deal 
breakfast was gawgess everything u wanted from fruit to baconRead 
moreReview collected in partnership with this hotelDate of stay: February 
2019HelpfulShare</t>
  </si>
  <si>
    <t>Anthony S wrote a review Mar 2019Yorkshire, United Kingdom38 
contributions13 helpful votes</t>
  </si>
  <si>
    <t>Good value for money &amp; locationStayed for 1 night, staff friendly &amp; helpful, room basic but clean, 
comfortable bed, good location close to the station, only really used the 
hotel to sleep in, out the rest of the time, breakfast was Ok, would stay 
here again.Read moreReview collected in partnership with TravelodgeDate of 
stay: May 2018HelpfulShareResponse from TravelodgeUK, Niki from The Social 
Media Team at Travelodge London Waterloo HotelResponded 29 May 2018Thank 
you for reviewing your stay with us at our London Waterloo hotel. It is our 
aim to offer our guests a comfortable and relaxing environment that is 
perfect for getting a great night’s sleep. That is why we’re quite thrilled 
to hear that the comfort of your bed and the high standards of cleanliness 
helped achieved this for your time with us. We’ll be happy to provide your 
comments to the hotel as this is the best way to help give the best service 
possible to our guests and we can’t wait to welcome you back soon.Read more</t>
  </si>
  <si>
    <t>lisayeomans2013 wrote a review May 2018Portsmouth, United Kingdom2 
contributions1 helpful vote</t>
  </si>
  <si>
    <t>Improving, but great location anywayThis Travelodge has been undergoing renovation for a long time and at least 
the lifts were better. The room was also a little better and was clean (as 
was the bathroom). We did not eat in. Check-in was helped by the cheerful 
Bella. we stayed here because of the location and price - very good for 
LondonRead moreReview collected in partnership with this hotelDate of stay: 
February 2019HelpfulShare</t>
  </si>
  <si>
    <t>Bo Peters Cycle King. wrote a review Mar 20191 contribution</t>
  </si>
  <si>
    <t>A great place to stayThe staff were really friendly and helpful. They made us feel welcome. The 
beds were really comfortable. The food was amazing. The hotel overall was 
really nice and clean. Would recommend it to anyone to stay there when 
visiting London.Read moreDate of stay: May 2018HelpfulShare</t>
  </si>
  <si>
    <t>Excellence that will surprise!From what I saw between the moment I checked in to departing were Arslan &amp; 
Bella cycling through the day by bringing smiles to their work, to guests 
and offering complete unparalleled assistance in a manner that was light 
and friendly. These guys act as host of a boutique hotel rather than that 
of a mid range hotel customer care providers. They go far out of their way 
to bring cheer and provide a service that's is far beyond what should be 
provide. I highly recommend this lodge, a warm and friendly environment 
seems central to how the place is run.Read moreDate of stay: March 
2019HelpfulShare</t>
  </si>
  <si>
    <t>Deborah662014 wrote a review May 2018Harlow, United Kingdom10 
contributions5 helpful votes</t>
  </si>
  <si>
    <t>https://www.tripadvisor.co.uk/Hotel_Review-g186338-d243667-Reviews-or1380-Travelodge_London_Kings_Cross_Royal_Scot-London_England.html#REVIEWS</t>
  </si>
  <si>
    <t>A great place to stay!We had a lovely stay at this hotel. It was in the perfect position, close 
to the Southbank. The rooms were spotless and tastefully decorated. The 
staff were very friendly and helpful, especially Hyacinth who let us have 
breakfast, even though we were very late down! She was very welcoming and 
very accommodating. A huge thank you to Hyacinth and the rest of the staff 
at this hotel ��.Read moreDate of stay: May 2018HelpfulShare</t>
  </si>
  <si>
    <t>Gwyn L wrote a review Mar 2019TRURO, United Kingdom46 contributions13 
helpful votes</t>
  </si>
  <si>
    <t>https://www.tripadvisor.co.uk/Hotel_Review-g186338-d1812157-Reviews-or1075-Travelodge_London_Waterloo_Hotel-London_England.html#REVIEWS</t>
  </si>
  <si>
    <t>lilianoneil72 wrote a review May 2018Aberdeen, United Kingdom3 
contributions1 helpful vote</t>
  </si>
  <si>
    <t>The worst room ever in a Travel LodgeThe whole experience was not pleasant. The room was sub standard in every 
way. We wondered if an effort had been made to clean up after someone could 
have been sick in the room. The windows were left open, presumably to 
remove odours and to try and air it. It was freezing cold on entering and 
this was the night of Storm Freya!Read moreReview collected in partnership 
with TravelodgeDate of stay: March 2019HelpfulShareResponse from 
TravelodgeUK, Ben from the Social Media Team at Travelodge London Kings 
Cross Royal ScotResponded 19 Mar 2019Thank you for taking the time to write 
a review about our London Kings Cross Royal Scot hotel. We are sorry to 
learn of your disappointment with the room you were provided during your 
stay, in such instances we would suggest to let our reception team know so 
that they can reallocate your room or fix the issues you have.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</si>
  <si>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Excellent with a beautiful viewWe loved this hotel, it is in the hearth of London. We stayed on the 8th 
floor he view is just amazing. The staff was really helpful. Thank you for 
your kindness. Also the pizza is amazing what you can it in the bar.Read 
moreDate of stay: April 2018HelpfulShare</t>
  </si>
  <si>
    <t>mrswobbly wrote a review Mar 2019west sussex8 contributions24 helpful votes</t>
  </si>
  <si>
    <t>So soNot the best Travelodge, twin bed stupidly small. Cracked bathroom sink, 
and bedding had hairs in and didn’t smell that fresh. Breakfast was good 
and plentifull. It was only one night as a base so in the grand scheme of 
things not worth making a big fuss.Read moreReview collected in partnership 
with TravelodgeDate of stay: March 2019HelpfulShare</t>
  </si>
  <si>
    <t>MattHarris316 wrote a review Mar 2019Ashford, United Kingdom2 contributions</t>
  </si>
  <si>
    <t>AUKTourist wrote a review May 2018Fort Lauderdale, Florida791 
contributions494 helpful votes</t>
  </si>
  <si>
    <t>Great RenovationStayed just as the refurbishment was completed. Rooms comfortable and 
functional. Not a great lover of the breakfast, it never appears to be 
freshly cooked or hot. The boxes of cereal are ok! Good location.Read 
moreDate of stay: May 2018HelpfulShare</t>
  </si>
  <si>
    <t>Good location,shame about the rest...The location of this hotel and price are great. However, the staff were 
generally quite uninterested in helping. The room we stayed in was run 
down. Issues in the room - the worst being the soap dispenser not working, 
others being disrepair of items in the bathroom and the TV signal cutting 
out in the evening. The soap dispenser was reported but no effort was made 
to rectify this. We were out late and had paid for a late check out. 
However, even though we had a do not disturb tag on the door, staff banged 
on the door and shouted as they wanted to know when we were leaving at 
11am. I doubt we will return to this hotel again. I certainly wouldn't 
recommend it.Read moreReview collected in partnership with TravelodgeDate 
of stay: March 2019HelpfulShareResponse from TravelodgeUK, Ben from the 
Social Media Team at Travelodge London Kings Cross Royal ScotResponded 19 
Mar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</si>
  <si>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ejdiamond2016 wrote a review May 2018Peterborough, United Kingdom7 
contributions4 helpful votes</t>
  </si>
  <si>
    <t>1foxyminx wrote a review Mar 2019Carlisle, United Kingdom45 contributions31 
helpful votes</t>
  </si>
  <si>
    <t>https://www.tripadvisor.co.uk/Hotel_Review-g186338-d1812157-Reviews-or600</t>
  </si>
  <si>
    <t>Great locationGreat staff and service,everyone was very helpful and friendly all areas 
were clean and tidy our room was lovely great view of the shard. Dinner was 
yummy they did have a menu change so my son couldn’t have his favourite 
sausage and mash but still plenty of choice pizza or burgers the staff were 
very happy to create the burger my son wanted and the chicken salad was 
delicious. Breakfast is always great plenty to choose from .The old vic is 
only a 3 minute walk down the street also nearby the London eye just cut 
through Waterloo station or walk round and it’s right there about 10/15 min 
walk.Read moreReview collected in partnership with TravelodgeDate of stay: 
May 2018HelpfulShare</t>
  </si>
  <si>
    <t>https://www.tripadvisor.co.uk/Hotel_Review-g186338-d1812157-Reviews-or1080-Travelodge_London_Waterloo_Hotel-London_England.html#REVIEWS</t>
  </si>
  <si>
    <t>Carolyn H wrote a review May 2018Amesbury, United Kingdom3 contributions2 
helpful votes</t>
  </si>
  <si>
    <t>Wonderful staffI stayed at the Travelodge on Friday last week. On arrival the reception 
staff were very friendly. When I got back to my room later that evening I 
found my phone had gone dead.I went down to Reception to see if they had a 
charger as mine wasn't working. Anamaria who works in the bar was there. 
She lent me her charger and said I could keep it until I checked out the 
next morning. What a Superstar!Read moreDate of stay: May 2018HelpfulShare</t>
  </si>
  <si>
    <t>mcl1488 wrote a review May 2018Glasgow, United Kingdom3 contributions</t>
  </si>
  <si>
    <t>For price can’t complainWe paid £45 central London on a Saturday night so not gonna moan or 
complain, yes rooms are old yes they are scruffy and need updating but it’s 
clean. Reception bar restaurant area are clean and modernRead moreReview 
collected in partnership with this hotelDate of stay: March 2019HelpfulShare</t>
  </si>
  <si>
    <t>Nice stay. Banging doors were slightly annoyingThe hotel was very clean and staff were helpful. However, my headboard was 
banging for all the wrong reasons. Clattering doors woke me up from 7am 
every day. Door closets needed in cleaners rooms and toilets.Read moreDate 
of stay: May 2018HelpfulShare</t>
  </si>
  <si>
    <t>HunnyBun86 wrote a review May 20186 contributions</t>
  </si>
  <si>
    <t>https://www.tripadvisor.co.uk/Hotel_Review-g186338-d243667-Reviews-or1385-Travelodge_London_Kings_Cross_Royal_Scot-London_England.html#REVIEWS</t>
  </si>
  <si>
    <t>AJheeta wrote a review Mar 20191 contribution</t>
  </si>
  <si>
    <t>Birthday CelebrationGenerally a nice hotel however mattress was uncomfortable and there was a 
high pitched noise occasionally running through the room which was very 
unpleasant.This may have been air con/water pipes. My air con was off and 
by the time I went to bed it would have been too late to sort out. Staff 
very friendly and welcoming, room very clean, lovely shower.Read moreReview 
collected in partnership with TravelodgeDate of stay: May 
2018HelpfulShareResponse from TravelodgeUK, Joe from the Social Media Team 
at Travelodge London Waterloo HotelResponded 22 May 2018Thank you for 
taking the time to review our London Waterloo Hotel. We're glad to hear 
that our hotel team members were friendly and welcoming upon arrival and 
that your room was serviced to our high level standard. Yet we're sorry 
about the internal noise levels that affected your stay. We always try to 
ensure that noise levels are kept to a minimum, and our hotels have 
measures in place such as regular floor walks in the late evenings to help 
with this. Our colleagues will follow the appropriate guidelines in 
handling any disruptions inside our hotels as efficiently as possible so 
that there is as little impact on our guests. It is only through feedback 
such as yours that we are able to maintain and indeed, where necessary 
improve upon the service that we provide to our valued guests. Once again, 
thank you for your comments and we hope that you choose to stay with us 
again in the future.Read more</t>
  </si>
  <si>
    <t>AwfulTerrible hotel, dated decor and even smells old and unclean/ unkept. There 
were stains on my bedsheets. Bathroom wasn’t clean. Corridors were 
extremely narrow and carpets were filthy. Navigation/ signage through to/ 
from room was a nightmare. Window left fully open before I entered the 
room, which meant it was freezing as soon as I entered. And no air 
conditioner. Very old heater which took a long time to warm the room.Read 
moreReview collected in partnership with TravelodgeDate of stay: March 
2019HelpfulShareResponse from TravelodgeUK, Ben from the Social Media Team 
at Travelodge London Kings Cross Royal ScotResponded 19 Mar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</si>
  <si>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https://www.tripadvisor.co.uk/Hotel_Review-g186338-d1812157-Reviews-or1085-Travelodge_London_Waterloo_Hotel-London_England.html#REVIEWS</t>
  </si>
  <si>
    <t>Brian wrote a review Mar 2019United Kingdom1 contribution</t>
  </si>
  <si>
    <t>Excellent brilliant serviceVery happy with the service, excellent help from Remy and Amirul ...Would 
advise the location, staff which are very helpful in many ways....I’ve been 
here few times now at this hotel an recommended to everyone who wants to 
stay at kings cross travelodge..Read moreDate of stay: March 
2019HelpfulShare</t>
  </si>
  <si>
    <t>johnneedham305 wrote a review May 2018Coventry, United Kingdom12 
contributions4 helpful votes</t>
  </si>
  <si>
    <t>Storyteller226827 wrote a review Mar 20194 contributions2 helpful votes</t>
  </si>
  <si>
    <t>Visiting friendsStayed overnight at this hotel and it was great. Good location and 
facilities. The room looked newly renovated and everything was clean and 
tidy. Great breakfast and staff were brilliant and very helpful.Read 
moreReview collected in partnership with TravelodgeDate of stay: May 
2018HelpfulShare</t>
  </si>
  <si>
    <t>Very enjoyable stayClean room, huge and comfortable bed, perfect unlimited breakfast, very 
friendly staff, fair price considering it's position. All together 10/10. 
Next time in London, it's definitely gonna be Travelodge.Read moreReview 
collected in partnership with this hotelDate of stay: February 
2019HelpfulShare</t>
  </si>
  <si>
    <t>Relax63613714825 wrote a review Mar 2019London, United Kingdom1 contribution</t>
  </si>
  <si>
    <t>Good customer serviceGreta customer service staff very friendly and helpful.I didn't like the 
room it was not what I expect.The room was cold and old fashion decoration 
.We booked double room we was expecting double bed but was 2 single .Read 
moreReview collected in partnership with TravelodgeDate of stay: March 
2019HelpfulShare</t>
  </si>
  <si>
    <t>John &amp; Michele C wrote a review May 2018Exmouth, United Kingdom7 
contributions</t>
  </si>
  <si>
    <t>Emese Arvai-Illes wrote a review Mar 20191 contribution1 helpful vote</t>
  </si>
  <si>
    <t>Ideal location for our purpose.Loved the new lighting system in our 7th floor superior room. Clean. Just 
the ticket! Good to have the happy hour as well. Short walk from Waterloo 
Station. Great little Italian Restaurant opposite the main stationRead 
moreDate of stay: May 2018HelpfulShare</t>
  </si>
  <si>
    <t>wenstacey wrote a review May 20181 contribution</t>
  </si>
  <si>
    <t>helpful staffEverything was fine, and when I checked out, Arscan kindly helped me 
putting my suitcase into the locker room, as I had to attend a meeting 
before leaving the city. He also took my forgotten hat from the room, so I 
didn’t have to go back up again, it was all ready and waiting for me when I 
came back for my suitcase. All the staff have been lovely and helpful!Read 
moreDate of stay: March 20191 Helpful voteHelpfulShare</t>
  </si>
  <si>
    <t>Travel Lodge WaterlooExcellent reception staff, made you feel a very special person. Room was 
extremely clean, tidy and had a nice fresh air smell. Very good restaurant 
and bar area was very comfortable and again such pleasant staff.Read 
moreReview collected in partnership with TravelodgeDate of stay: May 
2018HelpfulShare</t>
  </si>
  <si>
    <t>https://www.tripadvisor.co.uk/Hotel_Review-g186338-d243667-Reviews-or1390-Travelodge_London_Kings_Cross_Royal_Scot-London_England.html#REVIEWS</t>
  </si>
  <si>
    <t>T5562SWsam wrote a review Mar 2019Belfast, United Kingdom260 
contributions116 helpful votes</t>
  </si>
  <si>
    <t>https://www.tripadvisor.co.uk/Hotel_Review-g186338-d1812157-Reviews-or1090-Travelodge_London_Waterloo_Hotel-London_England.html#REVIEWS</t>
  </si>
  <si>
    <t>Brill stayStayed here for a stay in London last year. Clean room, yummy breakfast and 
friendly staff. I would recommend here and great price to stay in. Close to 
attractions like Madame Tussaud's, local cafes and not far from the west 
end theatresRead moreDate of stay: June 2018HelpfulShare</t>
  </si>
  <si>
    <t>Andy H wrote a review May 2018Exeter, United Kingdom3 contributions1 
helpful vote</t>
  </si>
  <si>
    <t>Travelodge Waterloo, LondonI booked a 'Super Room' and, apart from fancy lighting &amp; a Lavazzo coffee 
machine, it was not better than an average budget hotel room, but more 
expensive and a smaller room! Despite it being a 'Super Room' WiFi is still 
chargeable, ridiculous. The only thing going for this particular Travelodge 
is it's location to Waterloo station. If Travelodge are aiming to rival 
Premier Inn they still have miles to go to even become even.Read moreReview 
collected in partnership with TravelodgeDate of stay: May 
2018HelpfulShareResponse from TravelodgeUK, Ben from the Social Media Team 
at Travelodge London Waterloo HotelResponded 17 May 2018Thank you for 
taking the time to share your experience of your stay at our London 
Waterloo Travelodge with us. We're pleased to learn you enjoyed the 
location of the hotel however we are sorry to learn that you did not find 
our new Super rooms to be of good value. We’re really sorry to learn of 
your disappointment with our WiFi extra. We do not include the cost of this 
extra in our room rates unlike some of our competitors as we believe this 
allows our guests to pay for the services they need so we can continue to 
offer competitive room rates. Feedback is invaluable and a copy of your 
comments will be forwarded to the Hotel Manager. Thank you once again and 
we do hope you will stay with us in the future.Read more</t>
  </si>
  <si>
    <t>Ms M wrote a review May 2018Aldershot, United Kingdom66 contributions26 
helpful votes</t>
  </si>
  <si>
    <t>Passport03175385416 wrote a review Mar 2019Colchester, United Kingdom1 
contribution</t>
  </si>
  <si>
    <t>Nice!This was the second time I'd stayed at this particular Travelodge, and 
they've completed the maintenance work since the last time which made it a 
nicer experience. I'm particularly pleased that they have a luggage-hold 
service - this enabled us to make the most of our stay, as we were able to 
leave our luggage on the day of check-out so we could go off and do some 
more tourist attractions without having to drag around a suitcase!Read 
moreReview collected in partnership with TravelodgeDate of stay: May 
2018HelpfulShare</t>
  </si>
  <si>
    <t>Neal M wrote a review May 2018Coventry, United Kingdom203 contributions39 
helpful votes</t>
  </si>
  <si>
    <t>Noisiest Hotel i've ever stayed inUpon entering I had a good impression staff were welcoming and it was very 
clean. Everything went downhill when I got to my room, it was freezing 
nearly all the time and the radiator did not seem to work. I then tried to 
logon onto WiFi which also did not seem to work despite me paying... Then 
you try to fall asleep but it feels like you are sleeping on the roadside 
as you can hear every single bit of traffic and even people having 
conversations... Bed was comfy and the staff were nice. Wouldnt recommend 
howeverRead moreReview collected in partnership with TravelodgeDate of 
stay: February 2019HelpfulShareResponse from TravelodgeUK, James from the 
Social media Team at Travelodge London Kings Cross Royal ScotResponded 3 
Mar 2019Thanks for reviewing our Kings Cross Royal Scot Travelodge Hotel. 
We're happy to hear that you were pleased with the service from the hotel's 
team when you arrived at the hotel but we do apologise for the issues 
experienced with the room's temperature, the WiFi and the external noise 
experienced.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</si>
  <si>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Emteq wrote a review Feb 2019Glasgow, United Kingdom49 contributions28 
helpful votes</t>
  </si>
  <si>
    <t>Good hotel to explore LondonVisited this hotel on a Friday night as a stopover before examiner 
training. Location was good as it was very close to a Waterloo station. 
Just make sure you come out the right exit. The room was standard with free 
view tv and walk in shower. Had a two course meal with drink for £13.55! So 
for central London was excellent. Just a short walk to IWM and London eye. 
Would love to stay again with family!!Read moreDate of stay: May 
2018HelpfulShare</t>
  </si>
  <si>
    <t>orenbob72 wrote a review May 2018Greater Manchester, United Kingdom3 
contributions</t>
  </si>
  <si>
    <t>Clean with helpful staffIn-room facilities are standard Travelodge, but room was spic and span and 
the bathroom clean. Linen was also pristine. The front desk staff were very 
helpful and cheerful, can't fault them. There is a bar in the building 
which will also do pizzas, although I never tried them. The only breakfast 
option is a cereals etc, nothing hot. Not an issue when so many cafes 
within 100m. I had an inner room and even in Feb it was warm, there's was 
no air-con so by summer I'd expect the rooms to be stifling; for safety 
reasons the window only slightly opens at the top. A fan is provided in the 
room. It's fairly quiet if you get a room which isn't facing Grays Inn 
Road. Location is ideal as you're withing walking distance of 3 mainline 
stations, Eurostar and tube lines.Read moreDate of stay: February 
2019HelpfulShare</t>
  </si>
  <si>
    <t>good location not good customer serviceGood location and o.k. breakfast .Not good customer service.The toilets in 
the room did not work.The second room was facing main road even that we 
asked foe quiet room.There was very little soap in the shower.We forgot the 
charger in the room but we rang few hours later to see if it been found 
still nobody had come back to usRead moreReview collected in partnership 
with TravelodgeDate of stay: May 2018HelpfulShareResponse from 
TravelodgeUK, Remy from the Social Media Team at Travelodge London Waterloo 
HotelResponded 13 May 2018Thank you for your review of our London Waterloo 
hotel. We apologise for the issues you experienced during your stay with us 
and we would like to look into this further for you. May we kindly request 
you contact us with your review via our website so our customer service 
team can investigate your comments. Thank you again for posting your 
comments and we hope to hear from you soon.Read more</t>
  </si>
  <si>
    <t>https://www.tripadvisor.co.uk/Hotel_Review-g186338-d243667-Reviews-or1395-Travelodge_London_Kings_Cross_Royal_Scot-London_England.html#REVIEWS</t>
  </si>
  <si>
    <t>sandymercer wrote a review May 2018Yeovil, United Kingdom3 contributions</t>
  </si>
  <si>
    <t>Good location.Rooms are clean ,bed was very comfortable cannot fault the hotel good 
breakfast close to the train station and the south bank. most attractions 
are within walking distance. The Shard was an experience not to be 
missed.Read moreReview collected in partnership with TravelodgeDate of 
stay: April 2018HelpfulShare</t>
  </si>
  <si>
    <t>whateverDorking wrote a review Feb 2019dorking19 contributions6 helpful 
votes</t>
  </si>
  <si>
    <t>https://www.tripadvisor.co.uk/Hotel_Review-g186338-d1812157-Reviews-or1095-Travelodge_London_Waterloo_Hotel-London_England.html#REVIEWS</t>
  </si>
  <si>
    <t>NightmareCompared to similarly priced business hotels this compares really badly. 
WiFi not included and even when you pre pay it’s not a simple process. No 
air con and VERY noisy so choose between asphyxiation or noise. Dread to 
think what it’s like in summer. Food appalling. Staff pleasant enough but 
powerless to help. Premier Inn far superior comparatively. Won’t be using 
Travelodge as an option for business travel again.Read moreDate of stay: 
February 2019HelpfulShareResponse from TravelodgeUK, Ben from the Social 
Media Team at Travelodge London Kings Cross Royal ScotResponded 19 Mar 
2019Thank you for taking the time to write a review about our London Kings 
Cross Royal Scot hotel. We are pleased to hear that you found the team to 
be pleasant however we are sorry to learn of your disappointment with the 
food, WiFi and external noise. We strive to make our customers as 
comfortable as possible and we would like to apologise if on this occasion 
we were not able to offer you a good night's sleep. Wherever possible, we 
mention on the hotel’s booking page that due to the hotel’s location, 
external noise may be heard. We have also taken measures within our hotels 
such as double glazing to try and reduce the impact this may have on a 
guests stay with us. Feedback is invaluable and our Hotel Managers 
regularly review their TripAdvisor reviews in order to fix any issues 
raised and pass on feedback to their team. Thank you once again and we do 
hope you will stay with us in the future.Read more</t>
  </si>
  <si>
    <t>Karen C wrote a review May 2018Sheffield, United Kingdom9 contributions2 
helpful votes</t>
  </si>
  <si>
    <t>Well locatedStayed for a long weekend. Good Value for money, good location for 
trains/underground. helpful staff, hotel very clean. Would use again. 
Breakfast good value for money and lots of choice. good choice or nearby 
places to eat.Read moreReview collected in partnership with TravelodgeDate 
of stay: April 2018HelpfulShare</t>
  </si>
  <si>
    <t>Donnas0411 wrote a review May 20184 contributions10 helpful votes</t>
  </si>
  <si>
    <t>Relax55652818581 wrote a review Feb 20191 contribution</t>
  </si>
  <si>
    <t>Very modern, relaxed and friendlyI’ve been coming to this hotel since January due to attending a college 
course monthly. I can honestly say I look forward to coming as it feels 
like my second home. I’ve observed the refurbishment through the months and 
they’ve done a terrific job. I cannot fault this hotel at all. Well done to 
all the staff.Read moreDate of stay: May 2018HelpfulShare</t>
  </si>
  <si>
    <t>StandardStandard hotel, 10 minute walk from train station. Bathroom was tiny, I had 
to close the door to be able to access the shower/bath. Room was clean and 
had new towels and cleaned daily. Paint was peeling, the kettle was really 
old so I didn't use it and the light switches next to the bed were too far 
away and couldn't be reached when sitting in bed. The breakfast was good 
and lots of choice of the standard full english breakfast. Staff friendly 
and helpful. Would recommend for a cheap hotel but don't expect too 
much.Read moreReview collected in partnership with this hotelDate of stay: 
February 2019HelpfulShareResponse from TravelodgeUK, Tilly from The Social 
Media Team at Travelodge London Kings Cross Royal ScotResponded 14 Mar 
2019Thank you for your review of our London Kings Cross Royal Scot hotel. 
We're sorry to learn of the few issues that you experienced during your 
stay, however we are pleased that the majority of your room was good. We 
hope to welcome you back soonRead more</t>
  </si>
  <si>
    <t>mekb1972 wrote a review Feb 201924 contributions18 helpful votes</t>
  </si>
  <si>
    <t>Matthew C wrote a review May 2018Chertsey, United Kingdom70 contributions14 
helpful votes</t>
  </si>
  <si>
    <t>IdealWithin easy reach of Kings Cross station and underground. Good base for 
getting around London and all the sights. Hotel has a bar and food 
available at reasonable prices. Rooms are comfortable and clean.Read 
moreReview collected in partnership with this hotelDate of stay: February 
2019HelpfulShare</t>
  </si>
  <si>
    <t>Smart, clean and convenient.Friendly welcome at reception, Superroom was compact but comfortable, 
clean, quiet. You can't beat the location, less than 5 minutes walk to 
Waterloo, ten minutes to Westminster Bridge, the eye, Southbank etc. 
Perfect as a base for a few days of being a tourist. Convenient USB 
charging points - a small thing but really useful. Also worth noting the 
staff were happy to look after luggage for us after check out. Fully 
recommended. You can easily pay a lot more and get a lot less.Read moreDate 
of stay: May 2018HelpfulShare</t>
  </si>
  <si>
    <t>https://www.tripadvisor.co.uk/Hotel_Review-g186338-d243667-Reviews-or1400-Travelodge_London_Kings_Cross_Royal_Scot-London_England.html#REVIEWS</t>
  </si>
  <si>
    <t>digthegardener wrote a review May 2018cleveland9 contributions1 helpful vote</t>
  </si>
  <si>
    <t>Albi C wrote a review Feb 20192 contributions</t>
  </si>
  <si>
    <t>weekend breakstayed at this hotel for the fifth time and will be going back in November 
great staff nothing to much bother only thing price of drinks did not 
encourage me to stay however that is not a big issue breakfast fine 
especially when going into townRead moreDate of stay: May 2018HelpfulShare</t>
  </si>
  <si>
    <t>Does what it says on the tinMassive thank you to Arslan, really helpful chap who helped us into our 
room early after a delayed train had made us late for a wedding. He went 
above and beyond. Bed was comfortable, room was quiet and the staff were 
friendly. Boxes ticked. Really reasonably priced for the location but 
obviously you get what you pay for so don't expect a palace.Read moreDate 
of stay: February 2019HelpfulShare</t>
  </si>
  <si>
    <t>Flyer16497771077 wrote a review Feb 2019London, United Kingdom1 contribution</t>
  </si>
  <si>
    <t>https://www.tripadvisor.co.uk/Hotel_Review-g186338-d1812157-Reviews-or1100-Travelodge_London_Waterloo_Hotel-London_England.html#REVIEWS</t>
  </si>
  <si>
    <t>Royal Scot - Never againDid not receive friendly helpful welcome from receptionists, room was 
located next to the communal lifts. All night long I could hear the voice 
of the lift and other visitors were very loud and noisy. Noise was from 
late evening into the early hours of the morning. The lift speaking volume 
needs to be turned down. The room I stayed in was very dated and in 
desperate need of refurbishment.Read moreReview collected in partnership 
with TravelodgeDate of stay: February 2019HelpfulShareResponse from 
TravelodgeUK, Molly from the Social Media Team at Travelodge London Kings 
Cross Royal ScotResponded 27 Feb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</si>
  <si>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Julie H wrote a review Feb 2019Kingston-upon-Hull, United Kingdom3 
contributions</t>
  </si>
  <si>
    <t>PhotoGraeme wrote a review May 20181,796 contributions102 helpful votes</t>
  </si>
  <si>
    <t>Good locationGreat location from Kingscross. 2 nights bed &amp; breakfast with my daugher. 
Everything ok, pleasent staff. Could do with a makeover. But overall i 
would definately stay here again. Lovely Italian resteraunt across the 
road!Read moreReview collected in partnership with TravelodgeDate of stay: 
February 2019HelpfulShare</t>
  </si>
  <si>
    <t>luissA3088LS wrote a review Feb 2019Greater London, United Kingdom1 
contribution</t>
  </si>
  <si>
    <t>Good ChoiceI needed a hotel near the Southbank of London that wasn’t going to be too 
extortionate, yet was a known quality. This Travelodge is on a few minutes 
walk from Waterloo Station, down south past the Old Vic theatre. It’s 
convenient, easy to find and clean. I had a room facing to the rear of the 
hotel, so did not notice any noise from the main road. The room they gave 
me (as a late booking) was one of their disabled rooms. So large and 
spacious. There is food available at the bar and the rooms offer 30 minutes 
free WiFi. As a location, just on the outskirts of central London, this 
hotel couldn’t be better. It has great tube, train and bus connections. 
There are plenty of restaurants and cafes nearby if you want to eat 
out.Read moreDate of stay: May 2018HelpfulShare</t>
  </si>
  <si>
    <t>Jack N wrote a review May 2018Manchester, England, United Kingdom20 
contributions11 helpful votes</t>
  </si>
  <si>
    <t>Horrible beadroomDisappointed with the all of the room, old furniture, damaged door, broken 
toilet, old taps, shower impossible to shower in and almost no toilet paper 
left,in the beadroom, had to go and ask for more, really this should have 
been looked at by the staffRead moreReview collected in partnership with 
TravelodgeDate of stay: February 2019HelpfulShareResponse from 
TravelodgeUK, Molly from the Social Media Team at Travelodge London Kings 
Cross Royal ScotResponded 27 Feb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</si>
  <si>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Good value, one of the nicer TravelodgesMy preferred Travelodge (if there can be such a thing) really well located, 
clean &amp; comfortable. Staff all very friendly and helpful. Food isn't bad, 
but the rooms have all been recently updated and many feature big windows 
that overlook a residential street so there is very little noise.Read 
moreDate of stay: March 2018HelpfulShare</t>
  </si>
  <si>
    <t>Freedom44107190407 wrote a review Feb 2019Fife, United Kingdom1 contribution</t>
  </si>
  <si>
    <t>belmatts13 wrote a review May 20185 contributions1 helpful vote</t>
  </si>
  <si>
    <t>Great place to stayWe love this travelodge. It is so handy for London Waterloo station and the 
Thames. Loads of great places to see close at hand. We were visiting the 
Royal Festival Hall which was in easy walking distanceRead moreReview 
collected in partnership with TravelodgeDate of stay: April 2018HelpfulShare</t>
  </si>
  <si>
    <t>Cheap and good locationFor the price paid, the hotel was good. It is in a good location within a 5 
minute walk from Kings Cross Station. Room was small but comfortable. 
Bathroom was really small and could have done with a freshen up but 
everything worked fine. No noise from outside hotel but could hear doors 
and talking coming from corridor all night. There was also a very loud 
noise which sounded like a pipe rubbing against something inside the walls 
for about 10 minutes in the morningRead moreReview collected in partnership 
with TravelodgeDate of stay: February 2019HelpfulShareResponse from 
TravelodgeUK, James from the Social Media Team at Travelodge London Kings 
Cross Royal ScotResponded 27 Feb 2019Thank you for reviewing our London 
Kings Cross Royal Scot Travelodge Hotel. We're pleased to hear that you 
were happy with the hotel's location and the quality and comfort of your 
room although we are sorry to hear it was a bit on the small side. We're 
also happy to hear that external noise wasn't an issue during this stay but 
we do apologise for the internal noise experienced. Please rest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</si>
  <si>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https://www.tripadvisor.co.uk/Hotel_Review-g186338-d1812157-Reviews-or1105-Travelodge_London_Waterloo_Hotel-London_England.html#REVIEWS</t>
  </si>
  <si>
    <t>https://www.tripadvisor.co.uk/Hotel_Review-g186338-d243667-Reviews-or1405-Travelodge_London_Kings_Cross_Royal_Scot-London_England.html#REVIEWS</t>
  </si>
  <si>
    <t>Nathan263 wrote a review May 2018St Ives, United Kingdom14 contributions4 
helpful votes</t>
  </si>
  <si>
    <t>Great location, friendly staffEasy location, friendly and helpful staff. Wifi and everything worked well 
but as paid extra for a 'super room' was disappointed that bed was lumpy, 
there was no bath and there was a persistent funny smell in the corridor, 
but would stay againRead moreReview collected in partnership with 
TravelodgeDate of stay: April 2018HelpfulShare</t>
  </si>
  <si>
    <t>john30h wrote a review Feb 2019Nottinghamshire, United Kingdom2 
contributions</t>
  </si>
  <si>
    <t>Pat F wrote a review May 20181 contribution1 helpful vote</t>
  </si>
  <si>
    <t>Royal Scot kings crossGood value for staying in London was clean good breakfast good location for 
the train even had a good evening meal staff were very freindly there was a 
bit of outside noise but you are in the city so overall happy☺Read 
moreReview collected in partnership with TravelodgeDate of stay: February 
2019HelpfulShare</t>
  </si>
  <si>
    <t>London visitWe stayed for 3 nights. The first night we awoke and pull back the duvet to 
find blood stained sheets. We were offered free breakfast. Not good enough 
as we felt sick. As I was running the marathon I did not want anything 
upsetting my routine but this was not good enough.Read moreReview collected 
in partnership with TravelodgeDate of stay: April 2018HelpfulShare</t>
  </si>
  <si>
    <t>Laz C wrote a review Feb 201926 contributions6 helpful votes</t>
  </si>
  <si>
    <t>Great serviceConsidering the low price, I was pleasantly surprised with the quality of 
the service. All of the staff were bending over backwards to help - Amiral 
in particular was especially helpful. Would recommend for a cheap and 
cheerful pitstop.Read moreDate of stay: February 2019HelpfulShare</t>
  </si>
  <si>
    <t>Wallows wrote a review Apr 2018Europe / Middle East34 contributions28 
helpful votes</t>
  </si>
  <si>
    <t>Spotlessly Clean and ComfortableIt's a Travelodge! If you want valet parking and an Olympic pool go 
somewhere else but, if you are seeking a clean, comfortable place, in 
London, which is perfectly satisfactory in so many respects, serves a 
fulsome breakfast early in the morning, and is fairly priced, then this 
hotel hits the spot. Well done to Sophia and her team, you are all 
delivering an excellent product which is ideal for business travellers. 
Keep doing what you are doing! It's very good!! Thank youRead moreDate of 
stay: April 2018HelpfulShare</t>
  </si>
  <si>
    <t>https://www.tripadvisor.co.uk/Hotel_Review-g186338-d243667-Reviews-or1410-Travelodge_London_Kings_Cross_Royal_Scot-London_England.html#REVIEWS</t>
  </si>
  <si>
    <t>https://www.tripadvisor.co.uk/Hotel_Review-g186338-d1812157-Reviews-or1110-Travelodge_London_Waterloo_Hotel-London_England.html#REVIEWS</t>
  </si>
  <si>
    <t>ditchy666 wrote a review Feb 2019Hartlepool, United Kingdom34 
contributions12 helpful votes</t>
  </si>
  <si>
    <t>Jayne G wrote a review Apr 2018Wirral, United Kingdom4 contributions1 
helpful vote</t>
  </si>
  <si>
    <t>Once again goodCan’t falut hotel cost or location stay here every time we visit London 
always clean tidy and good breakfast on the morning not a noisy hotel given 
it’s location staff friendly and chatty well greetedRead moreReview 
collected in partnership with TravelodgeDate of stay: February 
2019HelpfulShare</t>
  </si>
  <si>
    <t>Waterloo TravelodgeAlways clean, comy beds, friendly helpful staff. Great location easy bus 
from Euston almost to the door.Tube short walk away, for access into London 
Perfect location for London eye &amp; south bank 10 minutes walkRead moreReview 
collected in partnership with TravelodgeDate of stay: April 2018HelpfulShare</t>
  </si>
  <si>
    <t>George M wrote a review Feb 2019Sutton, United Kingdom7 contributions1 
helpful vote</t>
  </si>
  <si>
    <t>Liz C wrote a review Apr 2018Bournemouth, United Kingdom2 contributions</t>
  </si>
  <si>
    <t>Absolutely terrible. Avoid.Atrocious. The hotel is extremely tired and dated. The bathroom stunk of 
eggs (plumbing issue?) and the ceiling had a massive crack from water 
damage (it looked as though there had been a leak from the room above). The 
crack had been hastily filled but not properly covered. During the 
afternoon of our first day whilst we were getting ready to go out, we heard 
a loud, repetitive mechanical clunking noise. It sounded like an extractor 
fan or boiler that had a problem and was coming from within the walls. An 
hour later when we left, the noise was showing no signs of stopping. We 
assumed it may be caused by someone in another room showering and thought 
nothing more of it. We went out and returned to the room several hours 
later and were relieved that the noise had stopped.…Read moreDate of stay: 
February 2019HelpfulShareResponse from TravelodgeUK, Molly from the Social 
Media Team at Travelodge London Kings Cross Royal ScotResponded 25 Feb 
2019Thank you for taking the time to review our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</si>
  <si>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Quiet location ; but minutes walk from WaterlooGood, clean modern hotel with friendly, helpful staff. Minutes walk from 
London , Waterloo station, London Eye, Thames etc yet quiet. Good variety 
of foods for breakfast : fresh &amp; lovely coffee - a treat. My only criticism 
would be the poor quality of loo roll !Read moreReview collected in 
partnership with this hotelDate of stay: April 2018HelpfulShare</t>
  </si>
  <si>
    <t>FoodPenguin wrote a review Feb 2019Gloucester, United Kingdom60 
contributions18 helpful votes</t>
  </si>
  <si>
    <t>shirene40 wrote a review Apr 2018Dundee, United Kingdom14 contributions2 
helpful votes</t>
  </si>
  <si>
    <t>Great value, all round good stay!My daughter booked this hotel mainly for the location to kings cross tube 
and low price. I was worried about all the bad reviews but was pleasantly 
surprised. We had a great stay, staff we’re friendly and helpful. Room was 
basic but clean with fresh towels daily should we have wanted them, comfy 
beds and plenty of tea, coffee etc refills from the reception. We were on 
the 5 floor and while the room had secondary glazing traffic could still be 
heard from the road outside as could noisy guests from the corridor but 
it’s a busy hotel in the centre of London!!! This isn’t a fault of the 
hotel but inconsiderate guests! The shower was powerful and bathroom 
functional. The shower curtain was our only downside, NOBODY likes shower 
curtains! For the price and location I’d definitely…Read moreDate of stay: 
February 2019HelpfulShare</t>
  </si>
  <si>
    <t>LION KING TRIPStayed from Friday to Sunday - great location, great hotel and all the 
staff are fantastic; my hubby has now stopped being snobby against 
Travelodge and agrees they arte definitely worth staying at in future 
:-)Read moreDate of stay: April 2018HelpfulShare</t>
  </si>
  <si>
    <t>MMEOL wrote a review Feb 2019Newcastle upon Tyne, United Kingdom312 
contributions186 helpful votes</t>
  </si>
  <si>
    <t>Julie M wrote a review Apr 2018Melbourne, Australia1 contribution1 helpful 
vote</t>
  </si>
  <si>
    <t>VLM tripGreat value for money. Great, convenient location. Even got an upgrade to a 
super room. Breakfast both mornings was plentiful and good value. Nice 
touch providing water and bananas for all marathon runnersRead moreReview 
collected in partnership with this hotelDate of stay: April 2018HelpfulShare</t>
  </si>
  <si>
    <t>Needs big improvementsCheck in, our room is on the 3rd floor, very basic, the wind whistling 
through the window when closed, if your hearing the wind, your hearing the 
traffic, and in London it's 24/7, beds lumpy so not a very good sleep, the 
more worrying thing was the shower, the power was good, but every now and 
then it would come out from warm, to scalding hot, many times I had to jump 
back because of it, my room number was 317, needs to be looked at before an 
old/young person jumps in, i was going to mention it to reception as I 
left, but the desk was really busy and I had to catch my train.Read 
moreDate of stay: February 20192 Helpful votesHelpfulShareResponse from 
TravelodgeUK, Molly from the Social Media Team at Travelodge London Kings 
Cross Royal ScotResponded 25 Feb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</si>
  <si>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Walesvisit0r wrote a review Feb 2019Monmouthshire105 contributions35 
helpful votes</t>
  </si>
  <si>
    <t>https://www.tripadvisor.co.uk/Hotel_Review-g186338-d1812157-Reviews-or1115-Travelodge_London_Waterloo_Hotel-London_England.html#REVIEWS</t>
  </si>
  <si>
    <t>conveniently located for kings cross st PancrasClean and well located with a decent breakfast. Bedroom rather small for 2 
adults with suitcases. Staff very pleasant. Lift near room was noisy. 
Prices are high for a Travelodge but this is London. We arrived an hour 
before check in but the room was ready. An extra £10 for early check in was 
excessive .Read moreReview collected in partnership with TravelodgeDate of 
stay: February 2019HelpfulShare</t>
  </si>
  <si>
    <t>Marks1970 wrote a review Apr 201849 contributions7 helpful votes</t>
  </si>
  <si>
    <t>https://www.tripadvisor.co.uk/Hotel_Review-g186338-d1812157-Reviews-or605</t>
  </si>
  <si>
    <t>Newly Returned HotelStayed here on a Sunday night. About 10 min walk from Waterloo 
Station.Great location. Check in was quick and easy with friendly helpful 
Staff. Arrived at 2.15 but receptionist gave us our room straight away..a 
real bonus. The room was spotlessly clean, newly upgraded. Plenty of 
charging sockets, hairdryer next to mirror, Lavazza Coffee machine, iron 
and board in room and a local power shower. It was a superior room but was 
only £7 extra as I booked weeks before. Kingsize Bed was comfortable and 
fresh, crisp white linen. Bathroom again was spotless and the power shower 
was excellent. The whole hotel was clean, very well presented and the staff 
were all very helpful and extremely friendly. Can't fault this hotel at 
all. Price was great as well.Read moreDate of stay: April 2018HelpfulShare</t>
  </si>
  <si>
    <t>jantel17 wrote a review Apr 2018Southampton, United Kingdom2 contributions</t>
  </si>
  <si>
    <t>https://www.tripadvisor.co.uk/Hotel_Review-g186338-d243667-Reviews-or1415-Travelodge_London_Kings_Cross_Royal_Scot-London_England.html#REVIEWS</t>
  </si>
  <si>
    <t>Tim B wrote a review Feb 2019Hebden Bridge, United Kingdom21 
contributions13 helpful votes</t>
  </si>
  <si>
    <t>Very good stayThe hotel was in a good location being only a few minutes walk from 
Waterloo station. It was lovely and clean and fresh having just had a 
refurbishment. The choice at breakfast was excellent and the room we had on 
the third floor was quiet. We also found the staff to very friendly and 
helpful. Felt the price we paid was good value and we would definitely stay 
at this hotel again.Read moreReview collected in partnership with 
TravelodgeDate of stay: April 2018HelpfulShare</t>
  </si>
  <si>
    <t>Average atayChose the hotel for location and price. Location ok but further from kings 
cross than indicated when I booked. It's a large hotel so lots of people 
which is why the noise levels were probably high most of the night. 
Disturbed night's sleep with doors banging and road noise from outside. 
Soundproofing leads a lot to be desired as I could here couple talking in 
next room in the morning. Room was fine and clean and bed was comfortable 
but bathroom let it down as small and shower over bath had a mind of its 
own spraying water everywhere and a personal hate of mine shower curtains 
that stick to you as you try and shower because the space is so limited. 
Breakfast looked good but despite being down for just after 6 am when they 
start the cooked choices were cold or tepid at best so…Read moreDate of 
stay: February 2019HelpfulShareResponse from TravelodgeUK, James from the 
Social Media Team at Travelodge London Kings Cross Royal ScotResponded 24 
Feb 2019Thank you for reviewing our London Kings Cross Royal Scott 
Travelodge Hotel. We are happy to hear that you were pleased with the 
hotel's location, the cleanliness and comfort of the room and the selection 
at breakfast. We do apologise that the bathroom facilities were not 
beneficial as well as the internal noise and that the breakfast was cold 
upon your arrival. Please rest assured all hotel managers check up on their 
hotel's reviews so these comments have been passed on to the management 
team who will be reviewing this further. Thank you again for leaving this 
review and we hope you choose to stay with us again in the future.Read more</t>
  </si>
  <si>
    <t>samroberts928 wrote a review Apr 2018London, United Kingdom2 contributions1 
helpful vote</t>
  </si>
  <si>
    <t>GrandTour96589 wrote a review Feb 20191 contribution</t>
  </si>
  <si>
    <t>never AgainFor the money I spent I am totally unsatisfied with the Hotel the floor we 
was on had a funny smell, the housekeepers woke me up at 8 am chatting very 
loudly outside my door even with a do not disturb sign on my door. The 
breakfast was dry and I couldn’t eat it. If I could rate you any less I 
would. Also I could not find any staff to speak to when I was checking 
out.Read moreReview collected in partnership with TravelodgeDate of stay: 
April 2018HelpfulShareResponse from TravelodgeUK, Ben from the Social Media 
Team at Travelodge London Waterloo HotelResponded 26 Apr 2018Thank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</si>
  <si>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Lovely hotelStayed for one night, location not far from station, so ideal for us. The 
staff were very helpful and friendly, nothing was too much trouble, 
specially one of the bar staff, just sorry I cannot remover her name. The 
room is was very clean , for us thought bathroom was a bit on the small 
size, but wasn't there long enough to worry about it. Wifi worked a 
treat.Read moreReview collected in partnership with TravelodgeDate of stay: 
February 2019HelpfulShare</t>
  </si>
  <si>
    <t>https://www.tripadvisor.co.uk/Hotel_Review-g186338-d1812157-Reviews-or1120-Travelodge_London_Waterloo_Hotel-London_England.html#REVIEWS</t>
  </si>
  <si>
    <t>Guide55552743177 wrote a review Feb 2019Exeter, United Kingdom1 contribution</t>
  </si>
  <si>
    <t>Nightmare night at TravelodgeFaulty fire alarm caused 45 minutes standing in the cold and midnight then 
got woken up at 3am in the morning due to a kitchen refurbishment. Constant 
hammer drilling. Reception know all about the work, £145 for one night and 
only got offered £30 compensation. Poor practice Travelodge London.Read 
moreReview collected in partnership with TravelodgeDate of stay: February 
2019HelpfulShareResponse from TravelodgeUK, Shaf from the Social Media 
Team. at Travelodge London Kings Cross Royal ScotResponded 24 Feb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</si>
  <si>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19Margaret1952 wrote a review Apr 2018Port Talbot, United Kingdom13 
contributions4 helpful votes</t>
  </si>
  <si>
    <t>Excellent place to stay ....The stay was great with Mal on reception being particularly helpful and 
friendly. Very well located for Waterloo area. Well maintained clean hotel 
and convenient to get around London. Highly recommend this Travelodge.Read 
moreReview collected in partnership with TravelodgeDate of stay: April 
2018HelpfulShare</t>
  </si>
  <si>
    <t>https://www.tripadvisor.co.uk/Hotel_Review-g186338-d243667-Reviews-or1420-Travelodge_London_Kings_Cross_Royal_Scot-London_England.html#REVIEWS</t>
  </si>
  <si>
    <t>Cathy H wrote a review Feb 2019Coventry, United Kingdom18 contributions8 
helpful votes</t>
  </si>
  <si>
    <t>Good valueCentral hotel coming up cheaper than other chains. Room have seen heavy use 
but clean, comfy and, as with all Travelodges, you know what you’re 
getting. Exceptionally friendly reception staff deserve a mention.Read 
moreReview collected in partnership with this hotelDate of stay: February 
2019HelpfulShare</t>
  </si>
  <si>
    <t>Taliesin_ap_Elffin wrote a review Feb 2019Canton of Bern, Switzerland8 
contributions1 helpful vote</t>
  </si>
  <si>
    <t>craigpemberton3 wrote a review Apr 2018Farnborough, United Kingdom1 
contribution</t>
  </si>
  <si>
    <t>Not so goodKnowing that London is very expensive and also that at this price range it 
would not be a stellar stay, I was expecting as a minimum that all in the 
room would be working and to feel comfortable in the room. The bed was fine 
and clean. But the toilet had many problems. The rust in the bath curtain 
was scary. The sink drain would take forever to clear. The toilet flush was 
barely working. And everything in the room and the toilet in general was 
long past it's prime time.Read moreReview collected in partnership with 
TravelodgeDate of stay: February 2019HelpfulShareResponse from 
TravelodgeUK, Shaf from the Social Media Team. at Travelodge London Kings 
Cross Royal ScotResponded 24 Feb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</si>
  <si>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Overpriced and smellyBooked last October to stay in for the London Marathon,£160 for a 
Travelodge is a lot of money and prices hiked as usual for the Marathon 
weekend no doubt. The room on first impression was well presented but basic 
looking (as you would expect from a Travelodge) but trying to sleep with 
the noise from outside and the stench from the bathroom was impossible. The 
staff were polite but unable to help with the issues.Read moreReview 
collected in partnership with TravelodgeDate of stay: April 
2018HelpfulShareResponse from TravelodgeUK, Joe from the Social Media Team 
at Travelodge London Waterloo HotelResponded 25 Apr 2018We would like to 
thank you for taking the time to advise of your recent stay at our London 
Waterloo hotel. It is only through feedback such as yours that we are able 
to maintain and indeed, where necessary improve upon the service that we 
provide to our valued guests. We were disappointed to read of your 
experience during your stay with us. Whilst an apology will regrettably not 
alter the outcome of your experience on this occasion, we do thank you for 
taking the time to share your experience so these issues can be resolved to 
ensure that this does not repeat for other guests. Once more, thank you for 
your review and we hope this does not deter you from staying with us again 
in the future.Read more</t>
  </si>
  <si>
    <t>Lesley A wrote a review Feb 2019Airdrie, Scotland, United Kingdom41 
contributions47 helpful votes</t>
  </si>
  <si>
    <t>https://www.tripadvisor.co.uk/Hotel_Review-g186338-d1812157-Reviews-or1125-Travelodge_London_Waterloo_Hotel-London_England.html#REVIEWS</t>
  </si>
  <si>
    <t>Not Good Valuefrom the moment we arrived we felt like an inconvenience our room was clean 
the windows are disgusting not been cleaned in ages , but the bathroom 
leaves a lot to be desired ! ... Couldn't get a hairdryer ... when spoke to 
staff they were reluctant to be friendly at allRead moreReview collected in 
partnership with this hotelDate of stay: February 2019HelpfulShareResponse 
from TravelodgeUK, Shaf from the Social Media Team. at Travelodge London 
Kings Cross Royal ScotResponded 24 Feb 2019Thank you for reviewing our 
London Kings Cross Royal Scot Travelodge. We're pleased to hear the room 
was clean and do apologise this was not the same with the windows. We 
really do apologise the service was also and issue. Feedback is invaluable 
and our Hotel Managers regularly review their TripAdvisor reviews in order 
to fix any issues raised and pass on feedback to their team. Thank you once 
again and we do hope you will stay with us in the future.Read more</t>
  </si>
  <si>
    <t>MrsTodt wrote a review Apr 2018Chester, United Kingdom40 contributions13 
helpful votes</t>
  </si>
  <si>
    <t>Brand new and great staffI stayed here for a work function as was very pleasantly surprised to find 
a brand new or very recently refurbished hotel with fantastic staff. Would 
highly recommend as the room was huge with a great shower and new fluffy 
white towels.Read moreDate of stay: April 2018HelpfulShare</t>
  </si>
  <si>
    <t>masonpk2671 wrote a review Feb 2019Harrogate, United Kingdom6 
contributions1 helpful vote</t>
  </si>
  <si>
    <t>RoomThe Breakfast was ok but only ok. All the Travelodge breakfasts are the 
same, undercooked bacon, warm rubber eggs, practically raw tomatoes. The 
rooms at this Travelodge were very shabby, they need a good make overRead 
moreReview collected in partnership with TravelodgeDate of stay: February 
2019HelpfulShareResponse from TravelodgeUK, Ben from the Social Media Team 
at Travelodge London Kings Cross Royal ScotResponded 18 Mar 2019Thank you 
for taking the time to write a review about our London Kings Cross Royal 
Scot hotel. We are sorry to learn of your disappointment with the room and 
breakfast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</si>
  <si>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Pamela R wrote a review Apr 2018Glasgow, United Kingdom3 contributions</t>
  </si>
  <si>
    <t>https://www.tripadvisor.co.uk/Hotel_Review-g186338-d243667-Reviews-or1425-Travelodge_London_Kings_Cross_Royal_Scot-London_England.html#REVIEWS</t>
  </si>
  <si>
    <t>Short BreakSome refurbishment work was being carried out during our stay as part of an 
upgrade scheme. Other than one lift being closed for one evening this did 
not impact upon us at all. Friendly staff, great location. Would use 
again,Read moreReview collected in partnership with TravelodgeDate of stay: 
April 2018HelpfulShare</t>
  </si>
  <si>
    <t>laucridge wrote a review Feb 2019Dawlish, United Kingdom11 contributions5 
helpful votes</t>
  </si>
  <si>
    <t>ThePatersonGang wrote a review Apr 2018Fareham, United Kingdom141 
contributions109 helpful votes</t>
  </si>
  <si>
    <t>Tired looking rooms but good access to central London.My sister and I arrived on Monday for a four night stay to see the West End 
shows. The hotel was easily located after arriving at Kings Cross tube 
station. On arrival the staff were friendly. One particular chap who 
checked us in had a nice smile to greet us. When we got to our room it was 
noticeably tired looking and needed re-decorating, the bathroom was tiny 
and you could hear all the traffic outside and constant bangs from the 
doors of other rooms. Besides from this the room was acceptable for what we 
needed and the staff were happy to help with any enquiry.Read moreDate of 
stay: February 2019HelpfulShareResponse from TravelodgeUK, Molly from the 
Social Media Team at Travelodge London Kings Cross Royal ScotResponded 21 
Feb 2019Thank you for your review, We're pleased to hear that your stay was 
enhanced by the location of the hotel, and you were impressed with the 
local facilities and attractions. We are also delighted to note that you 
found the Reception Team to be friendly and welcoming. We aim to extend a 
warm welcome and a pleasant first impression to our guest's upon their 
arrival at the Hotel and throughout their stay, and we are pleased that 
this was demonstrated to you. However, we are sorry to learn you felt your 
room looked tired and your stay was negatively affected by noise levels. 
Our more central locations may be noisier and wherever possible, we mention 
on the hotel’s booking page that due to the location of the hotel, external 
noise may be heard. We have taken measures such as providing double or 
triple glazing in attempt to reduce the impact that outside disruptions may 
have on a guests stay. It is regrettable to hear this was not enough to 
guarantee a good night stay for you. Thank you again for your comments, we 
hope to welcome you back to stay with us again in the near future.Read more</t>
  </si>
  <si>
    <t>PerfectA two day one night stay at the Travelodge London Waterloo. Firstly, hotel 
reception was superb, Tibor especially was very welcoming. We arrived early 
and they were extremely helpful in ensuring we could leave our cases and 
bags and get into London. Double rooms were relatively small, but 
spotlessly clean. No bath, but a shower, but the bathroom was also 
spotless. Breakfast was fantastic, plentiful whether you wanted full 
English or continental and all very, very fresh - one of the better 
breakfasts I've had in London. Again, I will comment on the friendliness of 
the staff during breakfast, they couldn't be more helpful. Great weekend in 
a great wee hotel.Read moreDate of stay: April 2018HelpfulShare</t>
  </si>
  <si>
    <t>judith e wrote a review Feb 2019Coventry, United Kingdom1 contribution</t>
  </si>
  <si>
    <t>https://www.tripadvisor.co.uk/Hotel_Review-g186338-d1812157-Reviews-or1130-Travelodge_London_Waterloo_Hotel-London_England.html#REVIEWS</t>
  </si>
  <si>
    <t>execellentNice size room and the staff were all very friendly. The location was kings 
cross royal scot. it is a very nice hotel. Could do with fruit tea or 
herbal teas in the rooms, because I can't drink milk and I don't like black 
tea. The service was excellent.We got the room we wanted.Read moreReview 
collected in partnership with TravelodgeDate of stay: February 
2019HelpfulShare</t>
  </si>
  <si>
    <t>Jackie M wrote a review Apr 2018Kent130 contributions78 helpful votes</t>
  </si>
  <si>
    <t>Venture44887463686 wrote a review Feb 2019Worksop, United Kingdom1 
contribution</t>
  </si>
  <si>
    <t>Fantastic StaffBeen meaning to write this review for ages. Stayed in this hotel for 2 
nights during the snow as my employer put me up to prevent us not being 
able to get back into work during the heavy snow. I wasn't sure what to 
expect but had a nice stay, the staff were amazing, so friendly and 
efficient, more the sort of people that you would find in a top notch hotel 
rather than a budget one. The breakfast was a lovely surprise too - it was 
delicious. I was very impressed and would recommend.Read moreDate of stay: 
February 2018HelpfulShare</t>
  </si>
  <si>
    <t>Sally C wrote a review Apr 201812 contributions</t>
  </si>
  <si>
    <t>Very tired and dated roomsA good hoover and clean of the carpets are needed. There wasn't a side 
table so we had to use a chair and the bathroom was very dated with some 
poorly covered damage. When the rooms next to use closed their doors it 
made our bang too. The breakfast was fine and the staff friendly. It was 
about a 10 minute walk to London Kings Cross station/ underground.Read 
moreReview collected in partnership with TravelodgeDate of stay: November 
2018HelpfulShareResponse from TravelodgeUK, Molly from the Social Media 
Team at Travelodge London Kings Cross Royal ScotResponded 21 Feb 2019Thank 
you for your review. We're pleased to hear that you found the Team to be 
friendly and you were happy with our breakfast buffet. We do hope to 
consistently provide a high standard of cleanliness within our rooms and 
throughout our hotels, and we apologise if this was not displayed during 
your stay. We will certainly pass your comments regarding the carpets and 
bathroom on to the Housekeeping Team. We are also sorry to learn that you 
were unimpressed with the facilities in your room. Being a budget Hotel 
brand, we believe that we provide all the necessary facilities to ensure a 
comfortable stay, for value. We're sorry to hear that you were disturbed by 
noise levels during your stay. We hope to ensure a peaceful night's stay 
for all of our guest's, without disruption, and we apologise if we were 
unsuccessful in achieving this on this occasion. Thank you again for your 
comments.Read more</t>
  </si>
  <si>
    <t>Travelodge WaterlooThis was a fantastic bargain at £34.00 on a Sunday night. I was given a 
superior double room. Very please with the hotel. It’s in a great location 
with many restaurants and fast food eateries near by.Read moreDate of stay: 
April 2018HelpfulShare</t>
  </si>
  <si>
    <t>Companion754695 wrote a review Feb 20196 contributions17 helpful votes</t>
  </si>
  <si>
    <t>Bullimorepyne86 wrote a review Apr 2018Durham, United Kingdom107 
contributions14 helpful votes</t>
  </si>
  <si>
    <t>Exceptional serviceI stayed one night checking in after 10pm. I mislaid my jacket which I had 
left outside my room. It was located and returned to me by a young Asian 
looking man from reception. He and Michelle were extremely helpfulRead 
moreReview collected in partnership with this hotelDate of stay: February 
2019HelpfulShare</t>
  </si>
  <si>
    <t>Ange wrote a review Feb 2019Rothbury, United Kingdom38 contributions16 
helpful votes</t>
  </si>
  <si>
    <t>Okay for a pit stopStayed for 2 nights with 10 year old son. The rooms are tired looking but 
it was clean and warm. Lots of noise from street outside but shut the 
windows and it's bareable. The breakfast was good but we ate in the hotel 
one night and the dinner was poor. The "crunchy slaw" is just raw cabbage, 
literally just raw cabbage, and the chips were like a little pile of 
matches. The staff were all pleasant though and it was very convinient for 
Kings Cross Station.Read moreDate of stay: February 
2019HelpfulShareResponse from TravelodgeUK, Shaf from the Social Media 
Team. at Travelodge London Kings Cross Royal ScotResponded 20 Feb 2019Thank 
you for reviewing our London Kings Cross Royal Scot Travelodge. We're 
pleased to hear the cleanliness was up to standards, breakfast was good and 
sorry to learn the dinner was not to your liking. We are sorry to hear that 
your stay was negatively affected by noise levels. We have taken measures 
such as providing double or triple glazing in attempt to reduce the impact 
that outside disruptions may have on a guests stay. As we hope you can 
kindly understand, it is not always possible to completely reduce the noise 
levels outside the hotel, and we apologise that these measures did not 
suffice in ensuring you a good night’s sleep. Feedback is invaluable and 
our Hotel Managers regularly review their TripAdvisor reviews in order to 
fix any issues raised and pass on feedback to their team. Thank you once 
again and we do hope you will stay with us in the future.Read more</t>
  </si>
  <si>
    <t>Fantastic 2 night stayFantastic 2 night stay this week for a trip to London, the hotel was under 
going a refurbishment however this did not affect our stay at all. All the 
staff were friendly, chatty, polite and helpful. We arrived before check in 
time and were able to drop our luggage off for the day (I did pre call and 
check this before booking). We didn't check in till 11pm but it was easy 
and quick. There were 3 of us (adults) and we booked a family room which 
was HUGE and refurbished to a high standard. Honestly couldn't believe how 
modern and lovely the room was for the price. We left bags for the day on 
check out day and again easy to do and so handy being able to do that. This 
hotel is less than a 5 minute walk from Waterloo, its central, clean, 
modern and an excellent hotel. This…Read moreDate of stay: April 
2018HelpfulShare</t>
  </si>
  <si>
    <t>https://www.tripadvisor.co.uk/Hotel_Review-g186338-d243667-Reviews-or1430-Travelodge_London_Kings_Cross_Royal_Scot-London_England.html#REVIEWS</t>
  </si>
  <si>
    <t>joelong26 wrote a review Apr 2018Folkestone, United Kingdom1 contribution</t>
  </si>
  <si>
    <t>Castledrinkers wrote a review Feb 2019St Ives, United Kingdom247 
contributions77 helpful votes</t>
  </si>
  <si>
    <t>Great stayNice hotel and room, what a shower oh my god it's like a tropical 
waterfall, lush! Food was delicious and tasty and filling because of the 
big portions and the bar was well stocked. Deborah and Aliyah made us feel 
right at home. Nice one travelodge ��Read moreDate of stay: April 
2018HelpfulShare</t>
  </si>
  <si>
    <t>Adequate for 2 night stay2 night stay was just about right. Rooms basic but clean. Breakfast again 
adequate but nothing special. Reception staff were excellent hand very 
helpful. Hotel 10 mins walk from St Pancras and Kings Cross stations. Good 
bus service few minutes walk away. For the price we paid, including 
breakfast and WiFi it was good value.Read moreDate of stay: February 
2019HelpfulShare</t>
  </si>
  <si>
    <t>PreviousNext1…222223224225226227</t>
  </si>
  <si>
    <t>William S wrote a review Feb 20192 contributions1 helpful vote</t>
  </si>
  <si>
    <t>Overnight stayAll the staff were incredibly friendly and helpful, especially Arkan, who 
managed to get us into our room even though we’d arrived a bit early. The 
location is excellent, being only a short walk from the Eurostar 
terminal.Read moreDate of stay: February 2019HelpfulShare</t>
  </si>
  <si>
    <t>Charles1946 wrote a review Feb 2019Wanborough, United Kingdom14 
contributions4 helpful votes</t>
  </si>
  <si>
    <t>Convenient for EurostarWe had an early morning Eurostar (from St Pancras). Overnight stop was 
therefore mandatory. This hotel offered an combination of reasonable price 
and location. One snag was that our room was a trek from the lift - but 
that was minor compared with the convenience of the hotel for St P 
EurostarRead moreReview collected in partnership with TravelodgeDate of 
stay: February 2019HelpfulShare</t>
  </si>
  <si>
    <t>Nia L wrote a review Feb 2019Hereford, England, United Kingdom2 
contributions</t>
  </si>
  <si>
    <t>challenging stay- run down hotel with several problemsHad 3 rooms over a 2night stay. All rooms needed a fresh coat of paint and 
refurbishment, they were very run down. Bathrooms were tiny. First room, 
noise from a boiler room or similar kept us awake all night! Sounded like a 
hundred boilers and washing machines in our room. Reception did move us the 
next day and gave us a free breakfast. They seemed the be aware of the 
problem. The second room the tele didn’t work and there were stains all 
over the ceiling. Third room, stains all in bath and over ceiling in the 
bathroom but quiet so we spent our second night in that room. Reception 
area and bar were cleaner and fresher, much better place to be than the 
rooms. Will definitely not be staying again.Read moreReview collected in 
partnership with TravelodgeDate of stay: February 2019HelpfulShareResponse 
from TravelodgeUK, Ben from the Social Media Team at Travelodge London 
Kings Cross Royal ScotResponded 21 Feb 2019Thank you for taking the time to 
write a review about our London Kings Cross Royal Scot hotel. We are sorry 
to learn of your disappointment with the room you were provided and of the 
disappointment caused by other aspects of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</si>
  <si>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https://www.tripadvisor.co.uk/Hotel_Review-g186338-d243667-Reviews-or1435-Travelodge_London_Kings_Cross_Royal_Scot-London_England.html#REVIEWS</t>
  </si>
  <si>
    <t>Ray B wrote a review Feb 20192 contributions</t>
  </si>
  <si>
    <t>Great service and stayFirst stay at this hotel.found staff really friendly and helpful offering 
places to eat as hotel restaurant was full. Easy check in Amirul very 
polite and processed check in effectively. Will stay here again when I come 
to The City.Read moreDate of stay: February 20191 Helpful voteHelpfulShare</t>
  </si>
  <si>
    <t>Roving57883632139 wrote a review Feb 20191 contribution</t>
  </si>
  <si>
    <t>Friendly staff on arrival, good location, mouldy milk, tired decorPleasant reception staff and good location, stayed in a twin room the 
windows don't keep out road noise that well and the rooms and corridors are 
well overdue a refurbish, very 1970s police crime drama feel walking down 
the corridor. We opened all 4 of the UHT milk in our room and all of them 
were mouldy - this complaint is currently open with Travel lodge - when we 
brought this up with staff on site they didn't know what to do, apologise 
or show any empathy for what is pretty disgustingRead moreReview collected 
in partnership with TravelodgeDate of stay: February 
2019HelpfulShareResponse from TravelodgeUK, Molly from the Social Media 
Team at Travelodge London Kings Cross Royal ScotResponded 19 Feb 2019Thank 
you for your review. We're pleased to hear that your stay was enhanced by 
the location of the Hotel and you found the Team to be pleasant. However we 
are sorry to learn that your stay was affected by external noise. Our more 
central locations may be noisier and wherever possible, we mention on the 
hotel’s booking page that due to the location of the hotel, external noise 
may be heard. We also provide double or triple glazing to reduce the impact 
noise may have. It is regrettable to hear this was not enough to guarantee 
a good night stay for you. We hope you will chose to stay with us in the 
future, where we will endeavour to restore your faith in Travelodge. We're 
also sorry to her that you felt the corridors were in need of a 
refurbishment and the milk in your room was mouldy. We're pleased to hear 
that you have raised this with our Customer Services team and hope this is 
resolved for you as quickly a possible. Thank you again for your 
comments.Read more</t>
  </si>
  <si>
    <t>Nick T wrote a review Feb 20192 contributions</t>
  </si>
  <si>
    <t>Great ServiceI stayed for one night on the 16th Feb, on arrival I was greeted by Amirul 
who from the get go was very polite and very helpful with any questions I 
had. He made the start of they stay very pleasant, the hotel was very clean 
and the rest of the staff were lovely as well.Read moreDate of stay: 
February 2019HelpfulShare</t>
  </si>
  <si>
    <t>Maps06739209950 wrote a review Feb 20192 contributions</t>
  </si>
  <si>
    <t>Recent trip to LondonConvenient although a little walk from the main station. Staff were very 
welcoming on arrival and leaving. Only gripe would be the old sticker glue 
on the bathroom wall and empty shower soap dispenser but other than that 
room was clean and comfortableRead moreReview collected in partnership with 
TravelodgeDate of stay: February 2019HelpfulShare</t>
  </si>
  <si>
    <t>https://www.tripadvisor.co.uk/Hotel_Review-g186338-d243667-Reviews-or1440-Travelodge_London_Kings_Cross_Royal_Scot-London_England.html#REVIEWS</t>
  </si>
  <si>
    <t>RiaO wrote a review Feb 2019Geel, Belgium2 contributions</t>
  </si>
  <si>
    <t>Group stayWe stay in the hotel every year with a group. The hotel is good value for 
money, it's clean and the service is very good. It's conveniently located 
near St. Pancras hotel. Group bookings are handled very well.Read 
moreReview collected in partnership with TravelodgeDate of stay: February 
2019HelpfulShare</t>
  </si>
  <si>
    <t>https://www.tripadvisor.co.uk/Hotel_Review-g186338-d1812157-Reviews-or610</t>
  </si>
  <si>
    <t>Freedom828031 wrote a review Feb 20191 contribution</t>
  </si>
  <si>
    <t>Very basic.Hotel location is good. Sadly this hotel is in need of either a 
refurbishment or a very good deep clean. Rooms are outdated and drab and in 
need of some serious TLC! Food/Bar was ok, staffing issues (shortages) were 
obvious in certain areas!!Read moreReview collected in partnership with 
TravelodgeDate of stay: February 2019HelpfulShareResponse from 
TravelodgeUK, Molly from the Social Media Team at Travelodge London Kings 
Cross Royal ScotResponded 18 Feb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</si>
  <si>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Pascal G wrote a review Feb 2019Retie, Belgium3 contributions1 helpful vote</t>
  </si>
  <si>
    <t>London, nice to be back !My daughter and me stayed for 3 days in London. Ideal hotel at walking 
distance from Kings Cross underground. Clean toilets in the lobby, locked 
storage for luggage available. Clean rooms, 24/7 reception and very kind 
staff, especially Mr. Arslan ;-)Read moreDate of stay: February 
2019HelpfulShare</t>
  </si>
  <si>
    <t>https://www.tripadvisor.co.uk/Hotel_Review-g186338-d243667-Reviews-or1445-Travelodge_London_Kings_Cross_Royal_Scot-London_England.html#REVIEWS</t>
  </si>
  <si>
    <t>Artiola wrote a review Feb 20191 contribution</t>
  </si>
  <si>
    <t>AmazingMy friend, her mom and I found out the hotel room we originally had booked 
scammed us, so we went to travelogde kings cross. The receptionist, Arslan, 
was super helpful, he helped us book a lovely hotel room, and helped check 
in earlier.Read moreDate of stay: February 2019HelpfulShare</t>
  </si>
  <si>
    <t>Ivar Zammit wrote a review Feb 2019London, United Kingdom2 contributions</t>
  </si>
  <si>
    <t>Very friendly and helpful employeesWe came and at first you gave us a room that we had to go up two level with 
the lift and another one down with the stairs. We did manage to bring 
everything down when we did the check in but once we both more languages 
full of shopping bags we couldn’t manage since we both have back problems. 
We spoke to a male receptionist and he gladly changed our room and also 
delivered all the languages from level one to level two with the stairs to 
level five. Thank you very much for the lovely service. Vanessa &amp; IvarRead 
moreDate of stay: February 20191 RepostHelpfulShare</t>
  </si>
  <si>
    <t>sim wrote a review Feb 2019Birmingham, United Kingdom1 contribution</t>
  </si>
  <si>
    <t>Pleasant and helpfulWe stayed for weekend break. The man on the desk, Arslan, greeted us 
warmly. He was very helpful and nothing was too much trouble. He gave us 
directions to various places and recommended places too visit and places to 
eat. Will definitely stay here again especially with such good customer 
service.Read moreDate of stay: February 2019HelpfulShare</t>
  </si>
  <si>
    <t>https://www.tripadvisor.co.uk/Hotel_Review-g186338-d243667-Reviews-or1450-Travelodge_London_Kings_Cross_Royal_Scot-London_England.html#REVIEWS</t>
  </si>
  <si>
    <t>clrlloyd wrote a review Feb 2019West Bromwich, United Kingdom5 
contributions1 helpful vote</t>
  </si>
  <si>
    <t>Great customer serviceWe were greeted by Arslan on reception. He was super efficient and nothing 
was a problem. Very pleasant and polite. A great assist to the travelodge 
brand. Room was sufficient and served a purpose of being in central London. 
Would recommend rooms and well placedRead moreDate of stay: February 
2019HelpfulShare</t>
  </si>
  <si>
    <t>sonnengel wrote a review Feb 2019King's Lynn, United Kingdom2 contributions</t>
  </si>
  <si>
    <t>Thinking about using travalodge againMy stay at this travalodge hotel was very good. The staff is very friendly, 
the room was clean, had everything i needed. WiFi signal was a bit weak, 
and the sound isolation isn't excellent, but other than that i loved it 
��Read moreReview collected in partnership with this hotelDate of stay: 
February 2019HelpfulShare</t>
  </si>
  <si>
    <t>Voyager67660068554 wrote a review Feb 20191 contribution</t>
  </si>
  <si>
    <t>Very rude staff and very out dated hotel needing refurbi would not stay here again, on the first night the alarm went off in the 
hotel and evacuated the building me and my partner thought they was a bomb 
gone off we was scared in middle of london in out pjamas outside our hotel 
and then it went off and people went inside and the staff made no 
explanation at all as to why this happened, the staff are very rude and are 
not helpful although some ladys was helpful most of the men was very rude, 
we paid for early check in and they put is in a room that was far away from 
all the other rooms room number 2018 and it was very cold in there and very 
outdated they was hairs in the bath and no extractor fan in bathroom so the 
whole room steamed up and had to open windows in hotel room to fix thisRead 
moreReview collected in partnership with TravelodgeDate of stay: February 
2019HelpfulShareResponse from TravelodgeUK, Tilly from The Social Media 
Team at Travelodge London Kings Cross Royal ScotResponded 7 Mar 2019Thank 
you for taking the time to write a review with regards to our London Kings 
Cross Royal Scot Hotel. We are sorry to learn of the experience you have 
had whilst staying with us. We would kindly ask you contact one of our 
Customer Services Advisors with your review via our website help form to 
look into this more thoroughly. Thank you again for reviewing our 
hotel.Read more</t>
  </si>
  <si>
    <t>https://www.tripadvisor.co.uk/Hotel_Review-g186338-d243667-Reviews-or1455-Travelodge_London_Kings_Cross_Royal_Scot-London_England.html#REVIEWS</t>
  </si>
  <si>
    <t>Joe R wrote a review Feb 20194 contributions1 helpful vote</t>
  </si>
  <si>
    <t>Ideal location in the heart of London, Friendly staff, Reasonably PricedRecently me, a few friends went to see our beloved Arsenal and stayed in 
this beautiful modern hotel located in the centre of London. First 
impressions were how friendly we were made welcome, the staff were so 
efficient and helpful in checking us in. The rooms were modern, clean, with 
a nice stylish décor, and tea and coffee making facilities. Emma Louise 
Brickwood that worked in the Café-Bar, made our stay more pleasant with her 
beautiful personality and caring nature. Definitely would recommend and 
stay in this beautiful modern hotel again, that so close to transport 
links, Kings Cross Thameslink and St Pancras International station. If you 
want value for money and not expecting five-star expectations this is 
definitely the place for you.Read moreDate of stay: January 2019HelpfulShare</t>
  </si>
  <si>
    <t>hgrant12 wrote a review Feb 2019Edinburgh39 contributions10 helpful votes</t>
  </si>
  <si>
    <t>Musty roomsReception and breakfast area were tidy and generally nice looking. Hotel 
staff were polite and welcoming. General hotel area and room was outdated 
and smelled musty. Bed linen, towels and toilet roll all had stains on 
them. Kettle was dirty and had a limescale ring around it, mugs were also 
dirty. The milk had evaporated and turned to powder, probably been sitting 
there for sometime. Room was very small and noisy even though we were told 
it was a quiet room.Read moreDate of stay: February 
2019HelpfulShareResponse from TravelodgeUK, Molly from the Social Media 
Team at Travelodge London Kings Cross Royal ScotResponded 15 Feb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</si>
  <si>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BearFin wrote a review Feb 2019Newcastle upon Tyne, United Kingdom43 
contributions91 helpful votes</t>
  </si>
  <si>
    <t>Comfortable, welcoming, safe and centralMy room was on the 4th floor; fresh and clean, a comfortable bed, spotless 
bathroom and best of all, a very warm welcome. The communal areas near 
reception are welcoming and busy. I ate at the fantastic Vietnamese 
restaurant opposite. My room was a good temperature, and no noise disturbed 
me at night. Breakfast was kept stocked up and the area was kept spotlessly 
clean. I have had some tiny hotel rooms as a single business traveller. I 
was delighted by this one, and what an easy walk it was from Kings' Cross, 
and on to my destination in Clerkenwell the following day.Read moreDate of 
stay: February 2019HelpfulShare</t>
  </si>
  <si>
    <t>Jill C wrote a review Feb 201910 contributions8 helpful votes</t>
  </si>
  <si>
    <t>Good value accommodation near King's CrossTwin accommodation in central London on a Sunday evening for just over £40, 
brilliant value. Check in staff very friendly and room clean. Bed was very 
comfortable and had a good night's sleep. Didn't have breakfast, but seemed 
reasonable value. Room overlooking car park, but we weren't there for the 
view, and it was certainly quiet. would recommend if you want clean, 
comfortable value for money with a friendly welcome.Read moreDate of stay: 
February 2019HelpfulShare</t>
  </si>
  <si>
    <t>https://www.tripadvisor.co.uk/Hotel_Review-g186338-d243667-Reviews-or1460-Travelodge_London_Kings_Cross_Royal_Scot-London_England.html#REVIEWS</t>
  </si>
  <si>
    <t>Angeline M wrote a review Feb 2019Norwich, United Kingdom35 contributions5 
helpful votes</t>
  </si>
  <si>
    <t>MediocreUpon arriving first impressions was good. Reception was friendly and 
helpful in accommodating our needs of a quiet room away from the noise of 
traffic. Room was basic but clean. The bed was comfortable hence slept 
well. Bathroom was bijou and lack toiletries but clean. Orange juice at 
breakfast was diluted to nearly tasteless. The buffet, eat as much 
breakfast was adequate because the mushrooms were dry and wrinkled; hot 
food was not very hot.Read moreDate of stay: February 
2019HelpfulShareResponse from TravelodgeUK, Tilly from The Social Media 
Team at Travelodge London Kings Cross Royal ScotResponded 19 Feb 2019Thank 
you for your comments about our London Kings Cross Royal Scot hotel. We're 
sorry to hear of your disappointment with the food. We are pleased to learn 
that the majority of your stay was good. We will pass this onto our hotel 
team and hope to be given the opportunity to welcome you back to one of our 
hotels in the near future.Read more</t>
  </si>
  <si>
    <t>NiggyNoggyl wrote a review Feb 2019El Albir, Spain6 contributions3 helpful 
votes</t>
  </si>
  <si>
    <t>Hotel in LondonBest part definitely the staff. All super friendly and helpful. Breakfast 
well worth paying extra for, as is WiFi. Room basic but in great location 
to access London. Local pubs really good ( pint only £3.50). Would stay 
here againRead moreDate of stay: February 2019HelpfulShare</t>
  </si>
  <si>
    <t>Good stay for a nightMy partner and I went there to spend the night because it was close to the 
train station and we had to travel the next morning. The staff is nice and 
the room was clean and comfy. Lovely nigth views of London from the sixth 
floor.Read moreDate of stay: February 2019HelpfulShare</t>
  </si>
  <si>
    <t>barron3 wrote a review Feb 2019Hull5 contributions5 helpful votes</t>
  </si>
  <si>
    <t>Good value for moneyGood value for money, the room was very clean and tidy, the staff were 
extremely helpful and the food was very nice. Had the breakfast and there 
was plenty to choose from and everything was very clean, had an evening 
meal also and again it was very nice. Had a very comfortable sleep so can't 
complain about anything.Read moreDate of stay: February 2019HelpfulShare</t>
  </si>
  <si>
    <t>Joey211 wrote a review Feb 20191 contribution</t>
  </si>
  <si>
    <t>2 days 1 night - fantastic stay!Had a lovey time staying here while on a trip with friends. Very friendly &amp; 
helpful staff. No problems, clean and tidy rooms. Great value for money and 
amazing location, not far away from central London. Only 15 minutes on the 
tube. P.s to Bella, she was extra lovely and very helpful. Would recommend 
:)Read moreDate of stay: February 2019HelpfulShare</t>
  </si>
  <si>
    <t>https://www.tripadvisor.co.uk/Hotel_Review-g186338-d243667-Reviews-or1465-Travelodge_London_Kings_Cross_Royal_Scot-London_England.html#REVIEWS</t>
  </si>
  <si>
    <t>Christine G wrote a review Feb 2019Nottinghamshire, United Kingdom4 
contributions7 helpful votes</t>
  </si>
  <si>
    <t>London weekend breakGood location. Reasonable price room . Tea and coffee making facilities. 24 
hour bar. Clean and warm room. Although no view. Safe area close to eating 
areas and bars. Close to Kingscross train station and tube .Read moreReview 
collected in partnership with TravelodgeDate of stay: February 
2019HelpfulShare</t>
  </si>
  <si>
    <t>lenkah723 wrote a review Feb 2019Manchester, United Kingdom3 contributions</t>
  </si>
  <si>
    <t>Brilliant weekendWe went for a latin party in London and this was hotel closest to the 
venue. When we arrived we were greeted by Remy who has been a absolute 
star. Nothing was too much trouble. He was friendly and at same time very 
professional. Room was clean and comfortable. Only issues we had was the 
bathroom extraction fan not working and the window was hard to close and 
even closed the wind and cold was felt as it didn't closed properly. Other 
than that this hotel was absolutely perfect close to underground and clean. 
Breakfast we had were very nice and tasty. Would book there again 
anytime.Read moreReview collected in partnership with TravelodgeDate of 
stay: February 2019HelpfulShare</t>
  </si>
  <si>
    <t>Eddy wrote a review Feb 20192 contributions1 helpful vote</t>
  </si>
  <si>
    <t>overall ok but not recommendedToilet is dirty, overall is ok but don’t expect much. You pay what you get 
I guess. Location is good but if you have heavy baggage you need to look 
elsewhere. I would recommend to pay extra to either stay in premier inn or 
other Travelodge which recently been refurbished.Read moreReview collected 
in partnership with TravelodgeDate of stay: February 
2019HelpfulShareResponse from TravelodgeUK, Ben from the Social Media Team 
at Travelodge London Kings Cross Royal ScotResponded 12 Feb 2019Thank you 
for submitting your review of our London Kings Cross Royal Scot Travelodge. 
We are pleased to learn that you liked the hotels location however we're 
sorry to hear your room was not up to the usual high standard of 
cleanliness we would have wished for you, in such instances we would 
suggest this is reported to the reception team to enable them to fix any 
problems for you. Feedback is invaluable and our Hotel Managers regularly 
review their TripAdvisor reviews in order to fix any issues raised and pass 
on feedback to their team. Thank you once again and we do hope you will 
stay with us in the future.Read more</t>
  </si>
  <si>
    <t>Jayne056 wrote a review Feb 2019Doncaster, United Kingdom40 contributions11 
helpful votes</t>
  </si>
  <si>
    <t>Excellent stayPerfectly placed for our stay. Clean room, comfortable bed, all of the 
staff were friendly and extremely helpful. Picked up a useful map on 
reception. Left our suitcases in the morning prior to check in. Would 
definitely stay again.Read moreDate of stay: February 2019HelpfulShare</t>
  </si>
  <si>
    <t>https://www.tripadvisor.co.uk/Hotel_Review-g186338-d243667-Reviews-or1470-Travelodge_London_Kings_Cross_Royal_Scot-London_England.html#REVIEWS</t>
  </si>
  <si>
    <t>Culture63320419026 wrote a review Feb 20191 contribution</t>
  </si>
  <si>
    <t>Don’t botherI stayed at this Travelodge for one night, not a very pleasant stay I must 
say. Mould on the walls and the room itself wasn’t very nice. Bath broke 
before even using it. I would only recommend this hotel if you were on a 
tight budget.Read moreReview collected in partnership with TravelodgeDate 
of stay: February 2019HelpfulShareResponse from TravelodgeUK, Molly from 
the Social Media Team at Travelodge London Kings Cross Royal ScotResponded 
11 Feb 2019Thank you for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</si>
  <si>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208Gill wrote a review Feb 2019Kingston-upon-Hull, United Kingdom18 
contributions12 helpful votes</t>
  </si>
  <si>
    <t>1st night excellent 2nd and 3rd poor!First night in a room on first floor at the back of hotel not a nice view 
as it was the carpark but quiet for a London hotel room was modern and 
clean comfy bed good night's sleep we returned after our hol for a further 
2 night was in room 551 looking over the front of hotel room old looking 
with old wardrobes , bathroom tiny and in need of some TLC bath hole was 
rusty sink broken dirty floors but again bed clean and comfy so that was 
fine following day we put sign on door for our room to be cleaned whilst 
out on our return at 9 pm sign still on door bed not been made no toilet 
roll no coffee or tea and no hair and body wash in Despenser hubby went to 
reception to report this they just said we will inform housekeeper no one 
came to apologise hubby had to replenish room from…Read moreReview 
collected in partnership with TravelodgeDate of stay: January 
2019HelpfulShareResponse from TravelodgeUK, Shaf from the Social Media 
Team. at Travelodge London Kings Cross Royal ScotResponded 10 Feb 2019Thank 
you for reviewing our London Kings Cross Royal Scot Travelodge. We're 
pleased to hear the bed was comfortable, staff were pleasant and breakfast 
was lovely. We do apologise the general cleanliness was not up to standards 
and the room was not serviced. Feedback is invaluable and our Hotel 
Managers regularly review their TripAdvisor reviews in order to fix any 
issues raised and pass on feedback to their team. Thank you once again and 
we do hope you will stay with us in the future.Read more</t>
  </si>
  <si>
    <t>rovi100 wrote a review Feb 20192 contributions1 helpful vote</t>
  </si>
  <si>
    <t>good location and good valueI recently stayed at the Travelodge London Kings Cross Royal Scot. It was a 
very clean and friendly place A very good location and surprisingly quiet 
for central London. The staff were exceptionally helpful and were always 
available. If you want to visit London on a budget and expect a good 
service and location then this is a good place to stay.Read moreReview 
collected in partnership with TravelodgeDate of stay: February 20191 
Helpful voteHelpfulShare</t>
  </si>
  <si>
    <t>https://www.tripadvisor.co.uk/Hotel_Review-g186338-d243667-Reviews-or1475-Travelodge_London_Kings_Cross_Royal_Scot-London_England.html#REVIEWS</t>
  </si>
  <si>
    <t>Marina T wrote a review Feb 20191 contribution1 helpful vote</t>
  </si>
  <si>
    <t>Great staffWe had a lovely time at this Travelodge. Remy was great and very helpful at 
check-in. Pleasant staff all around. Good value for your money. Clean, 
spacious rooms. Great location, good walking distance to many 
locations.Read moreDate of stay: February 20191 Helpful voteHelpfulShare</t>
  </si>
  <si>
    <t>Martin O wrote a review Feb 20191 contribution</t>
  </si>
  <si>
    <t>Ground worker - long term residentHonestly what a place ��I stay a lot of places n no one has been as 
friendly or helpful than here������In here till may too ��best staff ever n 
I’m a pain in the ass too ���� Emma Krishna &amp; Whitley especially ��every 
day I feel welcome cxRead moreDate of stay: January 2019HelpfulShare</t>
  </si>
  <si>
    <t>supered1986 wrote a review Feb 20191 contribution</t>
  </si>
  <si>
    <t>Decent value for money, very noisy at night.Check in was no problem, staff were very helpful. Room was very tired but 
clean enough in the bedroom, bathroom was poorly kept. Shower curtain was 
very dirty along the bottom and when shower was on was always trying to 
wrap itself around you.Walls are quite thin, could hear almost everything 
that was going on around you. A lot of people making a lot of noise coming 
in late at night (not the hotel's fault) but still very frustrating. 
Although handy for Kings Cross it is still a good 7/8 minute walk to get 
there and I wouldnt feel comfortable walking the streets beside the hotel 
late at night if I was on my own. Although we never had issues, there were 
several dodgy characters hanging around the vacinity. Overall opinion is, 
you get what you pay for, we did jnot expect 5*…Read moreDate of stay: 
February 2019HelpfulShareResponse from TravelodgeUK, Ben from the Social 
Media Team at Travelodge London Kings Cross Royal ScotResponded 11 Feb 
2019Thank you for taking the time to write a review about our London Kings 
Cross Royal Scot hotel. We are pleased to hear that you found the team to 
be helpful and that your room was clean however we are sorry to learn that 
you felt the room was tired and that you were disturbed by noise from other 
guests.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</si>
  <si>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Global53745726650 wrote a review Feb 20191 contribution</t>
  </si>
  <si>
    <t>Run downStaff were lovely, but the room was dilapidated. Plaster crumbling off 
walls, cm thick dust in bathroom vent, smears on bathroom taps, only one 
pillow each, and lots of noise from hotel. Was already in pjs and there is 
no phone in the room so didn’t want to head to reception to complain!Read 
moreReview collected in partnership with TravelodgeDate of stay: January 
2019HelpfulShareResponse from TravelodgeUK, Shaf from the Social Media 
Team. at Travelodge London Kings Cross Royal ScotResponded 7 Feb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</si>
  <si>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E.K. wrote a review Feb 20196 contributions4 helpful votes</t>
  </si>
  <si>
    <t>Horrific!!Normally Travelodge's are a pleasure to stay in and as it is a big brand, 
you know what to expect... or so they lead you to believe!! This one is 
another story and I will never stay in it again. The fire alarm kept going 
off and then they evacuated everyone at 1am. There were people shouting and 
'partying' in the corridors (in between the fire alarm going off). Not only 
this, but there was , what i can only presume, to be dried blood on the 
floor. The room looked like it had not been cleaned in a couple of weeks 
and was awful. I would not stay here ever again.Read moreDate of stay: 
January 2019HelpfulShareResponse from TravelodgeUK, Shaf from the Social 
Media Team. at Travelodge London Kings Cross Royal ScotResponded 7 Feb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</si>
  <si>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https://www.tripadvisor.co.uk/Hotel_Review-g186338-d243667-Reviews-or1480-Travelodge_London_Kings_Cross_Royal_Scot-London_England.html#REVIEWS</t>
  </si>
  <si>
    <t>Brian C wrote a review Feb 2019Nottingham, United Kingdom17 contributions2 
helpful votes</t>
  </si>
  <si>
    <t>https://www.tripadvisor.co.uk/Hotel_Review-g186338-d1812157-Reviews-or615</t>
  </si>
  <si>
    <t>Great valueGreat value and great location, only 8 minutes walk from King's Cross 
station. Stayed here twice this year and rooms are clean, have secondary 
double glazing and fully controllable heating in the room.Read moreDate of 
stay: February 2019HelpfulShare</t>
  </si>
  <si>
    <t>Clare J wrote a review Feb 2019Nottingham, United Kingdom103 
contributions46 helpful votes</t>
  </si>
  <si>
    <t>BrillGreat stay, bar and restaurant open til a decent time, central location and 
opposite a shop, kebab house, chicken shop. Staff were lovely, all of them. 
The only problem is the ‘directions’ link on the Travelodge website is 
incorrect and tells you to turn right at the traffic lights when it is 
actually the second set of traffic lights which made me go the wrong way. 
Nevertheless I had a great stay and the staff are brill. I will stay again 
when next in LondonRead moreDate of stay: February 2019HelpfulShare</t>
  </si>
  <si>
    <t>Wullail wrote a review Feb 2019Rainham, United Kingdom2 contributions</t>
  </si>
  <si>
    <t>Clean rooms, tired decorStaff are friendly and helpful, rooms are clean but a little 'tired', TV 
small and locked down so most smart features were not available (including 
Channels list for some reason), no aircon but there is a constant very loud 
hum from the middle courtyard, basic resteraunt.Read moreDate of stay: 
February 2019HelpfulShare</t>
  </si>
  <si>
    <t>Darren L wrote a review Feb 20191 contribution</t>
  </si>
  <si>
    <t>Dart TripGreat stay at this hotel the beds a little on the small side, rooms nice 
and clean, night staff on the bar Emma and Zain were fantastic always 
chatting and bubbly even when we were still there well into the early hours 
will definitely be back keep up the good work you twoRead moreDate of stay: 
January 2019HelpfulShare</t>
  </si>
  <si>
    <t>UncleDanDorset wrote a review Feb 2019Weymouth, United Kingdom13 
contributions14 helpful votes</t>
  </si>
  <si>
    <t>Fantastic staff poor roomWe stayed in room 435 on 2nd Feb. The staff were very pleasant and went out 
of their way to be helpful and welcoming. The breakfast was good value for 
money and was tasty. The room was not clean with various issues/ The sink 
in the bathroom was cracked and was blocked. There was a used cotton bud by 
the wall and the curtains had stains. There was not much room from outside 
but we heard all the noise of people walking down the corridor. The room 
was inexpensive compared to other hotels in central london.Read moreReview 
collected in partnership with this hotelDate of stay: February 
2019HelpfulShare</t>
  </si>
  <si>
    <t>https://www.tripadvisor.co.uk/Hotel_Review-g186338-d243667-Reviews-or1485-Travelodge_London_Kings_Cross_Royal_Scot-London_England.html#REVIEWS</t>
  </si>
  <si>
    <t>belmatts13 wrote a review Feb 20195 contributions1 helpful vote</t>
  </si>
  <si>
    <t>Great weekend stayConsidering the amazing price, we received fantastic service. We chose a 
room with a shower on a quiet floor. Great to have this choice. The 
proximity to Kings Cross/St Pancras is great. It is easy walking distance. 
We choose Travelodge when visiting London because of the value for money. 
We need a clean, comfortable room with enough space to move around easily, 
a shower and a large comfortable bed. What more do you need? The 
bar/restaurant is very pleasant although we always eat away from the hotel 
close to whatever venue we are there for - Patti Smith at the Roundhouse, 
on this occasion. All in all a great weekendRead moreReview collected in 
partnership with TravelodgeDate of stay: January 2019HelpfulShare</t>
  </si>
  <si>
    <t>Josh T wrote a review Feb 2019Inverness, United Kingdom1 contribution</t>
  </si>
  <si>
    <t>Great location. Amazing staffStayed at many Travelodge’s all over the UK. This was by far the best! 
Staff were excellent (Emma and Krishna on the bar) will be back 100%. This 
hotel is in a great location only 5 minute walk from kings cross 
station.Read moreDate of stay: February 2019HelpfulShare</t>
  </si>
  <si>
    <t>Timeless wrote a review Feb 2019Upton, United Kingdom276 contributions25 
helpful votes</t>
  </si>
  <si>
    <t>Bargain priceGot a great deal for a Sunday night especially in London prices took awhile 
to get checked in but room was clean and tidy ideal for my stay in London. 
Seems like it is a pretty big hotel as my room seemed to go on and on down 
corridors.Read moreDate of stay: January 2019HelpfulShare</t>
  </si>
  <si>
    <t>Tomi Adam wrote a review Feb 201918 contributions4 helpful votes</t>
  </si>
  <si>
    <t>Mixed OpinionThe male receptionist who checked us in on friday afternoon had zero 
customer service skills. He gave us no information at all however his 
female colleague called Martina was so friendly and welcoming which just 
made him look worse. The room had a drawer missing and stains on the carpet 
and one cleaner berrating another very loudly because she hadnt cleaned as 
many rooms as her. She was shouting that loud we heard her in the room half 
a corridor away. Natrice at breakfast was delightful so friendly and 
welcoming and the rest of the breakfast team was really good. Food was hot 
and well stocked. They worked really well together. Everyone on the bar 
cafe we had dealings with both at night and breakfast were great.Read 
moreDate of stay: February 2019HelpfulShareResponse from TravelodgeUK, Shaf 
from the Social Media Team. at Travelodge London Kings Cross Royal 
ScotResponded 4 Feb 2019Thank you for reviewing our London Kings Cross 
Royal Scot Travelodge. We're pleased to hear Martina and Natrice were very 
friendly and the other hotel colleagues service was not up to standard. We 
are really sorry to learn of your disappointment if the housekeeping team 
affected your stay with us.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</si>
  <si>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https://www.tripadvisor.co.uk/Hotel_Review-g186338-d243667-Reviews-or1490-Travelodge_London_Kings_Cross_Royal_Scot-London_England.html#REVIEWS</t>
  </si>
  <si>
    <t>jonesan wrote a review Feb 2019London, England38 contributions4 helpful 
votes</t>
  </si>
  <si>
    <t>Not greatHotel was noisy most of the night from inside and out and no hot water in 
my room. Staff at checkin however great and was a good price for a London 
hotel. So just go with expectations for what you are paying and you will be 
fine.Read moreReview collected in partnership with this hotelDate of stay: 
January 2019HelpfulShareResponse from TravelodgeUK, Shaf from the Social 
Media Team. at Travelodge London Kings Cross Royal ScotResponded 4 Feb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</si>
  <si>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stephendevlin99 wrote a review Feb 2019Wigan, United Kingdom1 contribution</t>
  </si>
  <si>
    <t>Arsenal awayI travelled down to London with my son for United’s cup match at Arsenal on 
January 25th. We stayed overnight at the Royal Scot Travel lodge in Kings 
Cross. A very pleasant stay -the staff were polite and the room was clean. 
I would use this hotel againRead moreReview collected in partnership with 
this hotelDate of stay: January 2019HelpfulShare</t>
  </si>
  <si>
    <t>Ginette K wrote a review Feb 2019Nottingham, United Kingdom52 
contributions13 helpful votes</t>
  </si>
  <si>
    <t>Good LocationGreat location just minutes from St Pancres. Check in was easy. Room basic 
but clean. Bed was comfortable and clean. Staff were lovely, efficient and 
friendly, nothing seemed like too much trouble. Luggage room a real bonus. 
Overall good value.Read moreReview collected in partnership with 
TravelodgeDate of stay: January 2019HelpfulShare</t>
  </si>
  <si>
    <t>Guide64412271237 wrote a review Feb 2019High Wycombe, United Kingdom1 
contribution</t>
  </si>
  <si>
    <t>Old fashioned and dirtyThe hotel is dirty and very old fashioned. Some of the lights in my room 
didn't work and there werent enough plug sockets.I wouldn't recommend 
staying here, it isn't a good representation of Travelodge and I'm glad we 
were only in the room for 5 hours as had an early train, any longer and I 
would have paid for another room in a different hotel!Read moreReview 
collected in partnership with TravelodgeDate of stay: January 
2019HelpfulShareResponse from TravelodgeUK, Shaf from the Social Media 
Team. at Travelodge London Kings Cross Royal ScotResponded 3 Feb 2019Thank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</si>
  <si>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https://www.tripadvisor.co.uk/Hotel_Review-g186338-d243667-Reviews-or1495-Travelodge_London_Kings_Cross_Royal_Scot-London_England.html#REVIEWS</t>
  </si>
  <si>
    <t>CJW wrote a review Feb 2019Huddersfield, United Kingdom2 contributions1 
helpful vote</t>
  </si>
  <si>
    <t>Good for London TouristsPro's &gt; great location 10 min walk from Kings X which links to all tube 
lines, adequate rooms, beds very comfortable &amp; a "proper" power shower. 
There is a secure luggage store which is handy for visitors, hotel was 
general clean although a bit dates and staff friendly. Con's &gt;Reception was 
often left unattended which caused delays checking in &amp; out and wanting to 
retrieve luggage from the store.Read moreReview collected in partnership 
with TravelodgeDate of stay: January 20191 Helpful voteHelpfulShareResponse 
from TravelodgeUK, Charley from the Social Media Team at Travelodge London 
Kings Cross Royal ScotResponded 14 Feb 2019Many thanks for taking the time 
to write a review of our London Kings Cross Royal Scot Travelodge. We are 
pleased to learn you were happy with the Hotel’s location and that your 
overall experience was a positive one. We aim to offer our guests great 
value stays in comfortable surroundings and we are happy to see that this 
has been achieved. On the other hand we are sorry to hear that there were 
delays are reception when checking in and out. Feedback is invaluable and a 
copy of your comments will be forwarded to the Hotel. Thank you once again 
and we do hope you will stay with us in the future.Read more</t>
  </si>
  <si>
    <t>Gazza wrote a review Jan 20192 contributions</t>
  </si>
  <si>
    <t>Stag doWhat a great hotel, let us leave our bags early then come back checked in 
and back out again. Finally got back about 2 in the morning and then we 
were greeted with Emma and have to say made the rest of the night an 
absolute pleasure. It’s so nice to get to a hotel and have someone with 
some great communication skills that made the night really. if you ever 
goto the hotel and get the pleasure of meeting Emma I am sure you will 
agree she is a fantastic employee and a credit to travelodgeRead moreDate 
of stay: January 2019HelpfulShare</t>
  </si>
  <si>
    <t>@DeakinTravels wrote a review Jan 20191 contribution</t>
  </si>
  <si>
    <t>Account DirectorExcellent front of house staff more specifically Zain and Ewart. They 
worked both the night on the welcome desk and the next day and are 
exemplary. Zain was both humble and attentive to my needs, Ewart was most 
welcoming and approachable, both with eclipsing personalities that shone 
above the rest in my experience. Martin, the Manager, should note that the 
staff customer service with the majority of employees there is fantastic. 
The rooms may need a bit of a facelift, but the recent update to the lifts 
and overall staff mood, make this hotel a much better choice for 
professionals that need a welcome place to rest after a long day. Improved 
from my last stay and will be staying again. Thank you Zain and Ewart.Read 
moreDate of stay: January 2019HelpfulShare</t>
  </si>
  <si>
    <t>Sightseer09704709187 wrote a review Jan 20191 contribution</t>
  </si>
  <si>
    <t>Not a good experienceVery reasonable for central London at short notice. Good location for my 
needs. However, I arrived at 11.45pm and didn’t get into my room until 
1.30am - the keycard wouldn’t work, and there was a full fire evacuation as 
someone was smoking in their room. When I got into the room the window 
wouldn’t shut. Not great in January. To be fair, the staff worked hard to 
resolve my issues. A bad night’s sleep though, when I really needed a good 
one.Read moreReview collected in partnership with TravelodgeDate of stay: 
January 2019HelpfulShareResponse from TravelodgeUK, Ben from the Social 
Media Team at Travelodge London Kings Cross Royal ScotResponded 4 Feb 
2019Thank you for taking the time to write a review about our London Kings 
Cross Royal Scot hotel. We are pleased to hear that you liked the hotels 
location and were pleased with the price however we are sorry to learn of 
the delay in getting to your room.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</si>
  <si>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https://www.tripadvisor.co.uk/Hotel_Review-g186338-d243667-Reviews-or1500-Travelodge_London_Kings_Cross_Royal_Scot-London_England.html#REVIEWS</t>
  </si>
  <si>
    <t>i8blades wrote a review Jan 2019Sheffield, United Kingdom26 contributions12 
helpful votes</t>
  </si>
  <si>
    <t>One night stay overNo complaints whatsoever. The room was clean spacious and functional. I 
didnt experiance any traffic noise despite having a room facing the road. 
The breakfast was good with plenty of choices the only downside being there 
were three coffee machine but only one was working and it was very slow. 
Very good value for money at £45 with breakfast .,.brilliantRead moreDate 
of stay: January 2019HelpfulShare</t>
  </si>
  <si>
    <t>skmacive wrote a review Jan 2019England9 contributions7 helpful votes</t>
  </si>
  <si>
    <t>travelodge royal scot londoni was with my special needs 9 yr old grandson i had a couple of encounters 
with staff and found them quite rude when asking for a problem to be sorted 
and they couldnt be bothered really but for money paid it was value for 
money just some staff training would not go amiss .Read moreReview 
collected in partnership with TravelodgeDate of stay: January 
2019HelpfulShareResponse from TravelodgeUK, Shaf from the Social Media 
Team. at Travelodge London Kings Cross Royal ScotResponded 30 Jan 2019Thank 
you for reviewing our London Kings Cross Royal Scot Travelodge. We're 
extremely sorry to learn you feel the service was not up to standards and 
can assure you this is not the service Travelodge strive for.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</si>
  <si>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https://www.tripadvisor.co.uk/Hotel_Review-g186338-d243667-Reviews-or1505-Travelodge_London_Kings_Cross_Royal_Scot-London_England.html#REVIEWS</t>
  </si>
  <si>
    <t>chatfield wrote a review Jan 2019Huddersfield, United Kingdom37 
contributions30 helpful votes</t>
  </si>
  <si>
    <t>Great stay!Stayed here with friends for one night, booked a family room which was 
really spacious. Close to the station. For the price we paid I cannot find 
any fault, hotel was clean, breakfast was nice, staff were all Really 
friendly and helpful. Would stay here again!Read moreDate of stay: January 
2019HelpfulShare</t>
  </si>
  <si>
    <t>NicoleV1x wrote a review Jan 2019Clevedon, United Kingdom3 contributions</t>
  </si>
  <si>
    <t>Cold room, cold showerWhen we arrived, the room was freezing cold as the window had been left 
open (we were there in January) there is no central heating, just a small 
ineffectual wall heater which took several hours to heat the room. the 
duvet was thin and so we were cold trying to sleep. The room was stuffy and 
airless. In the morning, the water in the shower was cold.Read moreReview 
collected in partnership with TravelodgeDate of stay: January 
2019HelpfulShareResponse from TravelodgeUK, Tilly from The Social Media 
Team at Travelodge London Kings Cross Royal ScotResponded 29 Jan 2019Thank 
you for your review of our London Kings Cross Royal Scot hotel. We're very 
sorry to learn that your room was cold throughout your stay and your shower 
was cold. We will pass this onto our hotel team and hope to welcome you 
back soonRead more</t>
  </si>
  <si>
    <t>TonyCarters wrote a review Jan 2019Market Weighton, United Kingdom62 
contributions26 helpful votes</t>
  </si>
  <si>
    <t>Very Good ValueThe hotel provided exactly what I needed for a one night stay. Twin room 
was spacious enough and clean. The bathroom was small but functioned 
perfectly. The location is ideal for Kings Cross Station and my return 
home.One negative, £10 charge for early check in. I don't see how this is 
justified but this did not adversely affect the overall cost which was 
goodRead moreReview collected in partnership with TravelodgeDate of stay: 
January 2019HelpfulShare</t>
  </si>
  <si>
    <t>JimCov wrote a review Jan 2019Coventry, United Kingdom60 contributions13 
helpful votes</t>
  </si>
  <si>
    <t>Dated, noisy and difficult to recommendStayed here for business but disappointed. Room was a long walk from 
reception in an odd location up in the lift then around a lot of corridors 
before down a flight of stairs. First morning water was lukewarm so ended 
up having an almost cold shower. Second day the water temperature was 
better. The room was to the side of the hotel but there was a lot of noise 
form outside coming in, people emptying vast quantities of glass bottles 
into a bin at 11pm as an example. The room was very tired e.g peeling 
lacquer on bathroom door. The breakfast was ok and staff friendly, but 
apart from that by far the worst Travelodge I have stayed in.Read moreDate 
of stay: January 2019HelpfulShareResponse from TravelodgeUK, Molly from the 
Social Media Team at Travelodge London Kings Cross Royal ScotResponded 28 
Jan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</si>
  <si>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https://www.tripadvisor.co.uk/Hotel_Review-g186338-d243667-Reviews-or1510-Travelodge_London_Kings_Cross_Royal_Scot-London_England.html#REVIEWS</t>
  </si>
  <si>
    <t>ian l wrote a review Jan 20191 contribution</t>
  </si>
  <si>
    <t>DiissapointingVery dissapointing room it had dated and damaged furniture, stained beds, 
and mouldy bathroom tiles. By far the worst Travelodge room we have stayed 
in. On the plus side great location for Kings Cross station.Read moreReview 
collected in partnership with this hotelDate of stay: January 
2019HelpfulShareResponse from TravelodgeUK, Molly from the Social Media 
Team at Travelodge London Kings Cross Royal ScotResponded 28 Jan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</si>
  <si>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Roam33618719662 wrote a review Jan 2019Nuuk, Greenland1 contribution</t>
  </si>
  <si>
    <t>The receptionistExcellent stuff . Not sure about the over looked situation as I had a room 
on the interior court not the exterior . There was someone shouting the 
whole night I founded fascinating that no one stoped him I would say a bit 
more idyllic ‘Read moreReview collected in partnership with this hotelDate 
of stay: January 2019HelpfulShare</t>
  </si>
  <si>
    <t>Federico C wrote a review Jan 2019Pisa, Italy4 contributions</t>
  </si>
  <si>
    <t>https://www.tripadvisor.co.uk/Hotel_Review-g186338-d1812157-Reviews-or620</t>
  </si>
  <si>
    <t>No fee Wi-FiNice room except that was really cold unless the heater was at MAX 
temperate for some hours. Breakfast ok. Unbelievably, you need to pay for 
Wi-Fi otherwise you have 30 min every 24h, that is useless.Read moreDate of 
stay: January 2019HelpfulShareResponse from TravelodgeUK, Tilly from The 
Social Media Team at Travelodge London Kings Cross Royal ScotResponded 27 
Jan 2019Thank you for your review of our London Kings Cross Royal Scot 
hotel. We're sorry to hear that your room was cold and that you were 
disappointed with the WiFi extra. We do not include the cost of this extra 
in our room rates unlike some of our competitors as we believe this allows 
our guests to pay for the services they need so we can continue to offer 
great room rates. This extra is non-refundable as guests are able to redeem 
this at any of our UK hotels if not used during their stay. We aim to 
provide the best service possible to our guests and we will continue to do 
so by making the most of customer feedback such as yours. We're pleased 
that you were happy with your room and you enjoyed breakfast. May we thank 
you for your comments, we do hope you stay with us again.Read more</t>
  </si>
  <si>
    <t>Venture53905170912 wrote a review Jan 2019Manchester, United Kingdom1 
contribution</t>
  </si>
  <si>
    <t>Nice and spacious rooms.Staff are nice, the rooms are clean and cosy, just don't expect luxury. 
Rooms could use a slight update, but when I've stayed here for business its 
perfect for the price. Hotel is close to King cross station so is very 
convenient, even if you need to walk to holborn area(10-15 minutes 
walk)Read moreReview collected in partnership with this hotelDate of stay: 
January 2019HelpfulShare</t>
  </si>
  <si>
    <t>Adventure12532070475 wrote a review Jan 20191 contribution</t>
  </si>
  <si>
    <t>Wake Up CallHaving run my phone down during the day, &amp; broken my charger, I asked at 
reception if they provided wake up calls. They said they did, and I double 
checked, as I had a 6am train to catch, and there were no phones in the 
rooms. They confirmed that they would knock on my door at 5am, as 
requested. I woke at 06.10, packed, &amp; went down to reception to ask why I 
hadn't been woken &amp; if they could get me on the next train, as I had an 
11am meeting to get to. The lovely lady on the desk apologised for not 
waking me, but said she couldn't do that, I would have to wait for a 
manager. While I was waiting, another staff member came over and asked why 
I was complaining about not being woken up, informing me that there had 
been an incident, and no-one had received their calls. I said I…Read 
moreReview collected in partnership with this hotelDate of stay: January 
2019HelpfulShareResponse from TravelodgeUK, Ben from the Social Media Team 
at Travelodge London Kings Cross Royal ScotResponded 25 Jan 2019Thank you 
for your feedback. We are really sorry to hear of your experience. Please 
accept our sincerest apologies and we have passed your comments onto the 
hotel manager as this does not reflect Travelodge standards. We understand 
that you are already in contact with a member of our customer services team 
and would advise replying to any email received as they will be able to 
look into this further. Thank you again for reviewing our hotel.Read more</t>
  </si>
  <si>
    <t>https://www.tripadvisor.co.uk/Hotel_Review-g186338-d243667-Reviews-or1515-Travelodge_London_Kings_Cross_Royal_Scot-London_England.html#REVIEWS</t>
  </si>
  <si>
    <t>Relax28277906503 wrote a review Jan 2019London, United Kingdom1 contribution</t>
  </si>
  <si>
    <t>You get what you pay for...The hotel suited my needs in that it was close to St Pancras. However when 
I arrived my room smelled and needed airing. My partner spotted a placestic 
bag covering the fire alarm so presumably the previous guests were smokers. 
I got very little sleep - the walls were so thin that I heard every noise 
in the rooms around me - conversations, rattling cliffhangers and, at one 
point, I went to answer my phone on vibrate only to find it was actually 
from next door! At the end of the day, though, it was a cheap place to 
spend the night before an early journey the next morning.Read moreReview 
collected in partnership with TravelodgeDate of stay: January 
2019HelpfulShareResponse from TravelodgeUK, Ben from the Social Media Team 
at Travelodge London Kings Cross Royal ScotResponded 4 Feb 2019Thank you 
for taking the time to write a review on our London Kings Cross Royal Scot 
hotel. We are pleased to hear that you liked the hotels location and were 
pleased with the price of the room however we are sorry to learn of your 
disappointment with the room smell. Feedback is invaluable and our Hotel 
Managers regularly review their TripAdvisor reviews in order to fix any 
issues raised and pass on feedback to their team. Thank you once again and 
we do hope you will stay with us in the future.Read more</t>
  </si>
  <si>
    <t>Excursion17665284272 wrote a review Jan 2019Greater London, United Kingdom1 
contribution</t>
  </si>
  <si>
    <t>Nice cosy roomShared the room with my mum whilst she visited me in London.The room was 
very warm, cosy, bed linen super clean, room was presentable. Staff at the 
reception have been very helpful at all times and that meant a lot to me 
knowing that my mum was by herself whilst I was at work. Although I have 
not personally seen the Housekeeping staff, my mum had very nice words for 
them too.Read moreReview collected in partnership with TravelodgeDate of 
stay: January 2019HelpfulShare</t>
  </si>
  <si>
    <t>Traveler04171318723 wrote a review Jan 2019Loughborough, United Kingdom1 
contribution</t>
  </si>
  <si>
    <t>Never againStaff rude, they didn’t explain us anything about the hotel or breakfast. I 
booked to double rooms and they gave me one double and one twin with no 
explaination, compensation or anything including the hotel manager. One of 
the twin bed was broken. Rooms were not very clean. Very old hotel. 
Breakfast could be improved with more variety of products. I didn’t feel 
very welcomed in this hotel.Read moreReview collected in partnership with 
TravelodgeDate of stay: January 2019HelpfulShareResponse from TravelodgeUK, 
Ben from the Social Media Team at Travelodge London Kings Cross Royal 
ScotResponded 25 Jan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</si>
  <si>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Passport25947940827 wrote a review Jan 20191 contribution</t>
  </si>
  <si>
    <t>very pleasant stayI received really friendly and helpful customer service . Check in was 
super easy and the staff were really friendly. the room was as expected - 
everything you need. Good location and easy to find. Pefect for one 
night!Read moreReview collected in partnership with this hotelDate of stay: 
January 2019HelpfulShare</t>
  </si>
  <si>
    <t>https://www.tripadvisor.co.uk/Hotel_Review-g186338-d243667-Reviews-or1520-Travelodge_London_Kings_Cross_Royal_Scot-London_England.html#REVIEWS</t>
  </si>
  <si>
    <t>Liam B wrote a review Jan 2019Leeds, United Kingdom21 contributions8 
helpful votes</t>
  </si>
  <si>
    <t>An OK hotel, with an OK room, and an OK breakfast.After going to the wrong hotel first (kings cross central) so, beware if 
using google maps ! I arrived at Royal Scot and was greeted by a lovely 
lady on reception, who asked me where’d I’d come from etc the usual small 
talk. I’d only booked a single room, but after talking about going to the 
wrong hotel and being desperately tired, she gave me a king room on the top 
floor, very nice. The room was clean and tidy, the shower as always with 
travelodge was brilliant, the bed was comfy and the room was a nice 
temperature. Things that weren’t so good; the lighting was horrible, no 
nice soft lamps here to relax, just those bloody horrible bulbs that ping 
and take ages to come on. There was Mould on the ceiling outside the shower 
room door, a decent vent/fan would probably solve this…Read moreReview 
collected in partnership with this hotelDate of stay: January 
2019HelpfulShareResponse from TravelodgeUK, Shaf from the Social Media 
Team. at Travelodge London Kings Cross Royal ScotResponded 24 Jan 2019Thank 
you for reviewing our London Kings Cross Royal Scot Travelodge. We would 
like to thank you for bringing your comments to our attention and can 
assure you this will be passed on to the relevant department. Feedback is 
invaluable and our Hotel Managers regularly review their TripAdvisor 
reviews in order to fix any issues raised and pass on feedback to their 
team. Thank you once again and we do hope you will stay with us in the 
future.Read more</t>
  </si>
  <si>
    <t>Tony P wrote a review Jan 201915 contributions3 helpful votes</t>
  </si>
  <si>
    <t>Terrible, do not stay hereLong queues in reception. Tatty decor. Very noisy hotel as it attracts lots 
of young holidaymakers. Very cold room in January as heater not working so 
had to sleep in my clothes with duvet doubled over me. No hot water at all 
from shower or bath. Disinterested staff. Typical big company: no-one 
really cares or wants to give good service because there's always another 
new customer coming through the door. Also it's a bad area. I urge you not 
to stay here .Read moreDate of stay: January 20191 Helpful 
voteHelpfulShareResponse from TravelodgeUK, Charley from the Social Media 
Team at Travelodge London Kings Cross Royal ScotResponded 10 Feb 2019Thank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</si>
  <si>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Chloe M wrote a review Jan 20191 contribution</t>
  </si>
  <si>
    <t>Dirty and run down.When entering reception staff wasn’t really interested in my arrival, I 
didn’t get told about the breakfast or food in the cafe bar they had. I 
made my way to my room and on arrival it was freezing! I then put my stuff 
on the bed to see it had black dirty marks on which made me feel 
uncomfortable about sleeping on it. Then all night I could hear was doors 
slamming constantly, you’d think they’d have some sort of slow closing 
doors to stop the noise but no not in this case! Then at half 10 the next 
morning without warning a cleaner walked into my room without knocking or 
anything! Bare in mind check out was at 12! You’d of thought there was a 
system that they could see if people had left or not. Then as I felt rushed 
and pushed out my room I left at 11 as I felt like I shouldn’t…Read 
moreReview collected in partnership with TravelodgeDate of stay: January 
2019HelpfulShareResponse from TravelodgeUK, Charley from the Social Media 
Team at Travelodge London Kings Cross Royal ScotResponded 12 Feb 2019Thank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</si>
  <si>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Quest66831578308 wrote a review Jan 2019Warsaw, Poland1 contribution</t>
  </si>
  <si>
    <t>Great Value for MoneyIf you prefer a correct standard and the best price for it - do not go 
elsewhere. This is you place to stay ;) This is my preferred stay for last 
year with about 10 stays. Quite close to the center ...Read moreReview 
collected in partnership with TravelodgeDate of stay: January 
2019HelpfulShare</t>
  </si>
  <si>
    <t>Craig M wrote a review Jan 2019London, UK29 contributions15 helpful votes</t>
  </si>
  <si>
    <t>Decent placeWell it’s not the newest, nor the most equipped, nor the closest to Kings 
Cross station, but it’s not the most expensive either! The place could do 
with a refresh but everything worked and it got the job done so it’s a 
reasonable place to stay if you want something cheap in this location!Read 
moreReview collected in partnership with this hotelDate of stay: January 
2019HelpfulShare</t>
  </si>
  <si>
    <t>https://www.tripadvisor.co.uk/Hotel_Review-g186338-d243667-Reviews-or1525-Travelodge_London_Kings_Cross_Royal_Scot-London_England.html#REVIEWS</t>
  </si>
  <si>
    <t>SPandRJ wrote a review Jan 20194 contributions3 helpful votes</t>
  </si>
  <si>
    <t>Average stay but as expected for costThe room was basic which was as we expected, however the toilet was 
difficult to flush and shower had a curtain which I always feel are pretty 
unhygienic, our key stopped working in the second day but we went to 
reception and they have us another one so generally it was good!Read 
moreReview collected in partnership with this hotelDate of stay: January 
2019HelpfulShare</t>
  </si>
  <si>
    <t>Halfpint wrote a review Jan 20192 contributions</t>
  </si>
  <si>
    <t>RelaxingWas given a very warm welcome, clean &amp; comfortable rooms , very good food , 
excellent service from staff who were curtious &amp; friendly , nothing was too 
much trouble, could not fault our two night stay, would stay in this hotel 
again.Read moreDate of stay: January 2019HelpfulShare</t>
  </si>
  <si>
    <t>Freedom22588611260 wrote a review Jan 20191 contribution</t>
  </si>
  <si>
    <t>Perfect stayThis place is the best one I've stayed in so far, the rooms are comfy, food 
is nice, the welcome was second to none. Nothing was too much for these 
guys. The staff were amazing in particular Zein, Iza, Martin, Michelle, 
Remy and João. Those guys were amazing and did everything they could to 
make our stay one to remember. Thank you again, we will be back.Read 
moreReview collected in partnership with this hotelDate of stay: January 
2019HelpfulShare</t>
  </si>
  <si>
    <t>golbetracker wrote a review Jan 2019london25 contributions7 helpful votes</t>
  </si>
  <si>
    <t>business tripshort stay . busy hotel , good service , clean warm room slightly outdated 
. noisy busy london neighbourhood . close to station 5-10 minute wlk. 
decently priced for surrounding hotels . good for buisness traveler on a 
budget for central loctionRead moreReview collected in partnership with 
this hotelDate of stay: January 2019HelpfulShare</t>
  </si>
  <si>
    <t>Living the dream wrote a review Jan 2019Cleethorpes, United Kingdom73 
contributions25 helpful votes</t>
  </si>
  <si>
    <t>Do not stay at this hotel very run down rooms and terrible smell room 419We stayed at this hotel when visiting London because it was close to 
Kingscross and paid £89 per night the staff were not very helpful when we 
reported problems with our room the room standards as you can see they were 
terrible see my photos this hotel does not look after there rooms - 
reception looks fine very disappointing from a big brandRead moreDate of 
stay: January 20191 Helpful voteHelpfulShareResponse from TravelodgeUK, 
Molly from the Social Media Team at Travelodge London Kings Cross Royal 
ScotResponded 21 Jan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</si>
  <si>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https://www.tripadvisor.co.uk/Hotel_Review-g186338-d243667-Reviews-or1530-Travelodge_London_Kings_Cross_Royal_Scot-London_England.html#REVIEWS</t>
  </si>
  <si>
    <t>Martin S wrote a review Jan 2019Kingston-upon-Hull, United Kingdom2 
contributions</t>
  </si>
  <si>
    <t>Great stay at Royal Scott Kings CrossHad a great stay in London to see the snooker at Ally Pally. Easy checkin 
and and bar was 24 hours so were able to go straight to hotel after (11pm) 
and then stay up playing cards (Brag). Was a good place to stay. Zain on 
Bar was brilliant.Fun Times.Read moreReview collected in partnership with 
TravelodgeDate of stay: January 2019HelpfulShare</t>
  </si>
  <si>
    <t>Andy_hall1001 wrote a review Jan 2019Nottinghamshire, United Kingdom2 
contributions</t>
  </si>
  <si>
    <t>Not for ashma sufferersMouldy smelly hotel with bad customer service, reception did not listen to 
complaints. Mould on the wall in the bed room smelt of damp. Had to wait 
for breakfast items, no tv remote reception argued basically disbelieve 
when we told them.Read moreReview collected in partnership with 
TravelodgeDate of stay: January 2019HelpfulShareResponse from TravelodgeUK, 
Tilly from The Social Media Team at Travelodge London Kings Cross Royal 
ScotResponded 22 Jan 2019Thank you for submitting your review of our London 
Kings Cross Royal Scot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</si>
  <si>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Sunshine23481608256 wrote a review Jan 20191 contribution</t>
  </si>
  <si>
    <t>One night stayVery comfortable night at an excellent value price in a convenient central 
location. Staff were very helpful. The room was amazingly peaceful for a 
perfect night's sleep. Would happily stay here again.Read moreDate of stay: 
January 2019HelpfulShare</t>
  </si>
  <si>
    <t>CauchiB wrote a review Jan 2019Pembroke, Malta21 contributions6 helpful 
votes</t>
  </si>
  <si>
    <t>Great StayNo frills hotel but surely centrally located and close to all means of 
public transport. Room clean and spacious. Ours was on the sixth floor. 
Easy check in and check out. Breakfast is abundant and freshly prepared the 
typical english breakfast.Read moreReview collected in partnership with 
TravelodgeDate of stay: January 2019HelpfulShare</t>
  </si>
  <si>
    <t>https://www.tripadvisor.co.uk/Hotel_Review-g186338-d243667-Reviews-or1535-Travelodge_London_Kings_Cross_Royal_Scot-London_England.html#REVIEWS</t>
  </si>
  <si>
    <t>Kathryn S wrote a review Jan 2019Manchester, England, United Kingdom4 
contributions4 helpful votes</t>
  </si>
  <si>
    <t>Great price for central London.The hotel is located less than a 10 minute walk from Kings Cross train 
station. The rooms are a great price for such a central location. Great 
buffet breakfast with several vegan and vegetarian options.Read moreReview 
collected in partnership with TravelodgeDate of stay: January 
2019HelpfulShare</t>
  </si>
  <si>
    <t>Camper34379661598 wrote a review Jan 20191 contribution</t>
  </si>
  <si>
    <t>ArinaClean room, nice, comfy bed, even the heater worked!It is a shame that you 
need to pay extra for the wi-fi and the breakfast. I felt a little unsafe 
returning to the hotel in the evening. The salaried personnel were polite 
and kind. Overall, enjoyed my stay and will stay there again.Read 
moreReview collected in partnership with this hotelDate of stay: January 
2019HelpfulShare</t>
  </si>
  <si>
    <t>https://www.tripadvisor.co.uk/Hotel_Review-g186338-d1812157-Reviews-or625</t>
  </si>
  <si>
    <t>John T wrote a review Jan 2019Edinburgh, United Kingdom2 contributions1 
helpful vote</t>
  </si>
  <si>
    <t>Happy StayJust a short business stay for two nights, so it was important for a quiet, 
clean and welcoming place to stay where the shower and room was welcoming 
after a days work. The staff all all levels of service were excellent with 
nothing to much trouble when asked, good humored, smart and very 
friendly.Read moreReview collected in partnership with TravelodgeDate of 
stay: January 2019HelpfulShare</t>
  </si>
  <si>
    <t>Voyager03362207088 wrote a review Jan 2019Belfast, United Kingdom1 
contribution</t>
  </si>
  <si>
    <t>Travelodge Kings Cross LondonThe hotel is well located, about a 10 minute walk from Kings Cross station. 
Then room was clean and comfortable, perfect for a weekend stay in London. 
The staff were professional and helpful. Both checking in and out was quick 
a straight forward with no hassles. Breakfast was good value for money. 
Overall we had a very pleasant stay.Read moreReview collected in 
partnership with TravelodgeDate of stay: January 2019HelpfulShare</t>
  </si>
  <si>
    <t>Sanctitatem wrote a review Jan 2019Mansfield, United Kingdom31 
contributions4 helpful votes</t>
  </si>
  <si>
    <t>A nice basic hotel with plumbing issuesBooked for two nights. Well priced for central London. As the price 
suggests it’s a budget hotel but that was fine for what we wanted. There 
isn’t any air con but that isn’t important in January. The heater worked 
but needed a few hours to get the room up to a good temperature after the 
window had been left open earlier in the day, presumably when it was being 
cleaned for our arrival. I booked a twin room and in this hotel that means 
two single beds. Actual single sizes so they’re quite narrow. But they were 
comfortable even though one mattress was starting to go in the middle and 
was clearly a lot older than the other. The television does the standard 
channels. There’s a wardrobe and a kettle. The main issue was the bathroom. 
I’ve been to this hotel before so was expecting…Read moreDate of stay: 
January 2019HelpfulShareResponse from TravelodgeUK, Charley from the Social 
Media Team at Travelodge London Kings Cross Royal ScotResponded 12 Feb 
2019Thank you for taking the time to review our London Kings Cross Royal 
Scot Hotel. We would like to apologise for the issues experienced withe the 
water and size of the bathroom. On the other hand we are pleased to hear 
that you found the hotel to be in a good location and the hotel itself 
suited your needs. Thank you again for submitting your review.Read more</t>
  </si>
  <si>
    <t>https://www.tripadvisor.co.uk/Hotel_Review-g186338-d243667-Reviews-or1540-Travelodge_London_Kings_Cross_Royal_Scot-London_England.html#REVIEWS</t>
  </si>
  <si>
    <t>jacquelineshergold wrote a review Jan 2019Melbourne, Australia2 
contributions</t>
  </si>
  <si>
    <t>Stay somewhere elseI had quiet a few issues with this travelodge, normally they are okay. I 
had hair covering the shower wall on arrival, the shower was leaking a lot, 
our keys never worked, each time we had to go and change them and the area 
is not very nice.Read moreDate of stay: January 2019HelpfulShareResponse 
from TravelodgeUK, Charley from the Social Media Team at Travelodge London 
Kings Cross Royal ScotResponded 7 Feb 2019Thank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</si>
  <si>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Dr A wrote a review Jan 2019Cambridge, United Kingdom2 contributions</t>
  </si>
  <si>
    <t>Cold, noisy and the showers don't workI would not recommend staying here. I checked in at 10pm and when I went to 
my room the window had been left wide open and the heating turned off. It 
was a very cold night (2 degrees). I tried to have a shower to warm up only 
to find the shower did not work. There was only a soft spray and not enough 
to be able to wash properly. I went down to reception and my complaint was 
initially dimissed ('It doesn't even work a tiny bit?!') before I was given 
a different room. This room also had the window open and the heating was 
turned off. In the morning when I tried the shower I was again met by a 
mist rather than a stream of water. This seems to be a general problem with 
the showers in this place. There was also no soap in the soap dispensers. I 
had to sleep in all my clothes. As this…Read moreReview collected in 
partnership with this hotelDate of stay: January 2019HelpfulShareResponse 
from TravelodgeUK, Charley from the Social Media Team at Travelodge London 
Kings Cross Royal ScotResponded 7 Feb 2019Thank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</si>
  <si>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Navigator10975654330 wrote a review Jan 2019Yorkshire, United Kingdom4 
contributions</t>
  </si>
  <si>
    <t>Decent HotelThis Travelodge was better than the last one I visited, got a real 
accessible room with walk in shower, comfortable and clean bed. TV was 
wobbling about on stand, needed to be repaired,, Decor was in line with the 
price paid. Prepaid dinner and breakfast which was a not overcooked but 
mainly edible. got charged £3 for WiFi which I never asked for and never 
used. Staff unable to correct that,then gave me an unrecognisable telephone 
number to speak to the reservations staff. Nice friendly and helpful staff 
on front desk. Good price for London, especially for people on a tight 
budget,with lots of small food outlets in the vicinity.Read moreDate of 
stay: January 2019HelpfulShare</t>
  </si>
  <si>
    <t>laure g wrote a review Jan 2019Paris, France5 contributions2 helpful votes</t>
  </si>
  <si>
    <t>Nice hôtelthis hôtel is near st pancras station , 10 min to walk, the room was clean, 
quiet, smallbathroom but practical very good value for money, the buffet 
for the breakfast was ok, the staff of the reception was very friendly, i 
will come back with pleasureRead moreDate of stay: January 2019HelpfulShare</t>
  </si>
  <si>
    <t>https://www.tripadvisor.co.uk/Hotel_Review-g186338-d243667-Reviews-or1545-Travelodge_London_Kings_Cross_Royal_Scot-London_England.html#REVIEWS</t>
  </si>
  <si>
    <t>Keith wrote a review Jan 2019Belfast, United Kingdom2 contributions</t>
  </si>
  <si>
    <t>Company visit, personal touchTravelodge does what it says on the tin, but Royal Scot Travelodge Kings 
Cross has Amiriel, Milly and Martin working for them and these three folks 
are incredible assets and ambassadors for the company who made my stay and 
that of my two colleagues a pleasure. Milly's banter and service at the bar 
was fantastic, while Amiriel was keen to solve any problems we had and 
those he couldn't, he was able to had on to his manager, Martin, who could. 
What a great, and pleasant team, who understand the meaning of customer 
service in a city that so often doesn't.Read moreDate of stay: January 
2019HelpfulShare</t>
  </si>
  <si>
    <t>Ify wrote a review Jan 20191 contribution</t>
  </si>
  <si>
    <t>ReviewHad a lovely stay thanks to helpful and friendly staff (Haleema and Amirul) 
fresh towels, clean rooms, okay food, prompt response to complaints. 
Generally impressive. I’ll be staying here again in the future.Read 
moreDate of stay: January 2019HelpfulShare</t>
  </si>
  <si>
    <t>https://www.tripadvisor.co.uk/Hotel_Review-g186338-d243667-Reviews-or1550-Travelodge_London_Kings_Cross_Royal_Scot-London_England.html#REVIEWS</t>
  </si>
  <si>
    <t>Triciad2005 wrote a review Jan 201930 contributions9 helpful votes</t>
  </si>
  <si>
    <t>Ella M wrote a review Mar 20201 contribution</t>
  </si>
  <si>
    <t>Friendly bar staffThis is a good budget hotel. Clean and efficient close to good restaurants 
in Islington and Exmouth Market. The bar staff were very helpful and 
friendly. It’s not luxury but you don’t expect that at this price.Read 
moreDate of stay: January 2019HelpfulShare</t>
  </si>
  <si>
    <t>Sightseer48374030503 wrote a review Jan 2019Dublin, Ireland1 contribution</t>
  </si>
  <si>
    <t>Staff were rudeWe were having a great stay at the travelodge then while we were sleeping 
someone came into our room and told us we had been smoking in the room yet 
we hadn’t and they kicked us out at 7 in the morning with no where for us 
to go!!Read moreReview collected in partnership with TravelodgeDate of 
stay: February 2020ValueRoomsLocationCleanlinessServiceSleep 
QualityHelpfulShareResponse from TravelodgeUK, Ben from the Social Media 
Team at Travelodge Gatwick Airport CentralResponded 2 weeks agoThank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</si>
  <si>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Tina M wrote a review Mar 2020London, England, United Kingdom39 
contributions9 helpful votes</t>
  </si>
  <si>
    <t>Room not touchedI spent 2 nights and was expecting fresh towels for the second night 
however nobody was in my room over my stay to changed towels or make the 
bed.My keycard kept having to be reset as it would not work in my door. 
Which was inconvenient to have to go back down to reception. My keycard was 
not near my phonesRead moreReview collected in partnership with this 
hotelDate of stay: January 2019HelpfulShareResponse from TravelodgeUK, 
Charley from the Social Media Team at Travelodge London Kings Cross Royal 
ScotResponded 5 Feb 2019Thank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</si>
  <si>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Disabled rooms nearer to reception would helpWas put in disabled room, right at the end of the corridor, so could not 
wheel myself to reception or restaurant, so asked to be move, which I was. 
Every Travelodge I have stayed in, disabled rooms have been at the end of 
the corridor, wish they could make things easier for disabled people.Read 
moreDate of stay: March 2020ValueRoomsLocationCleanlinessServiceSleep 
QualityHelpfulShare</t>
  </si>
  <si>
    <t>Allan B wrote a review Jan 2019Edinburgh, United Kingdom3 contributions1 
helpful vote</t>
  </si>
  <si>
    <t>Afebp wrote a review Mar 20201 contribution</t>
  </si>
  <si>
    <t>Good location at a great priceThe hotel is very near to Kings Cross and walking distance (around 30 
minutes from the West End) but close to good Tube and bus links. Rooms are 
basic but clean. There's a nice bar area and cafe. Everything you need at a 
great price for London.Read moreReview collected in partnership with this 
hotelDate of stay: January 20191 Helpful voteHelpfulShare</t>
  </si>
  <si>
    <t>Bad serviceMe and my boyfriend went to spend the weekend and once in the room we paid 
for the wifi £6 for two days (£12 total). The first half day the wifi was 
ok for me but slow for him and the rest of the day + the next day our wifi 
was not working at all so I went to reception to ask about our problem and 
they were not helpful at all- he told me : there’s nothing I can do to help 
you. You may call the costumer service online. He denied to call the 
service and I had to spend nearly 10 minutes on the phone for nothing as 
there was nothing they could do to help us. We wasted £12 for nothing. The 
receptionist was unprofessional.Read moreDate of stay: March 2020Trip type: 
Travelled as a coupleHelpfulShareResponse from TravelodgeUK, Ben from the 
Social Media Team at Travelodge Gatwick Airport CentralResponded 2 weeks 
agoThank you for your feedback. We are sorry to hear of your experience. 
Please accept our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</si>
  <si>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partizan10 wrote a review Jan 2019Scunthorpe, United Kingdom38 
contributions11 helpful votes</t>
  </si>
  <si>
    <t>woodies wrote a review Mar 202013 contributions10 helpful votes</t>
  </si>
  <si>
    <t>Great value , convenient for airportStayed one night to be able to meet a family member from the airport. Room 
clean and quiet, car parking £9 for 24 hours which is very reasonable, and 
only a 10 minute shuttle to the airport. Staff polite helpful and friendly. 
Recommended , would use againRead moreDate of stay: March 
2020ValueCleanlinessServiceRoom Tip: Fifth floor was extremely quiet. Room 
overlooked the car park which wasn’t a problemSee more room tipsHelpfulShare</t>
  </si>
  <si>
    <t>Friends getawayOn arriving at the hotel early a group of 8 friends , our rooms was ready 
so let us check in . We then went to our rooms the building is very dated 
and needs desperate facelift . The corridor smelt very musty and damp on 
entering the spacious room , the room was dirty , dirty bathroom, dirty 
bedroom , lamp shade not seen duster for years etc . On sitting on my bed 
we noticed a pill we don’t know what this pill was we went straight down to 
reception with it and complained the cleaners had not seen this and could 
of been a child who had found it . Reception didn’t really seem that 
bothered by it and was very rude . But they did give us free drink which 
wasn’t the point . Breakfast was ok plenty to choose from . I stay at 
travelodges all the time but will not b staying at this one…Read moreDate 
of stay: January 2019HelpfulShareResponse from TravelodgeUK, Molly from the 
Social Media Team at Travelodge London Kings Cross Royal ScotResponded 10 
Jan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</si>
  <si>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https://www.tripadvisor.co.uk/Hotel_Review-g191265-d229508-Reviews-or5-Travelodge_Gatwick_Airport_Central-Horley_Surrey_England.html#REVIEWS</t>
  </si>
  <si>
    <t>cudhill wrote a review Mar 2020Torpoint, United Kingdom32 contributions29 
helpful votes</t>
  </si>
  <si>
    <t>Always a pleasant stayIf our flights are from Gatwick north we always look to book this 
Travelodge as it is so close to the airport &amp; the transfer is a short 
distance to travel.The facilities are excellent &amp; restaurant is very good . 
We have always found the staff to be pleasant &amp; easy to interact with.Read 
moreReview collected in partnership with TravelodgeDate of stay: March 
2020HelpfulShare</t>
  </si>
  <si>
    <t>https://www.tripadvisor.co.uk/Hotel_Review-g186338-d243667-Reviews-or1555-Travelodge_London_Kings_Cross_Royal_Scot-London_England.html#REVIEWS</t>
  </si>
  <si>
    <t>DavidC2020 wrote a review Mar 2020Folkestone, United Kingdom8 
contributions6 helpful votes</t>
  </si>
  <si>
    <t>Oliver P wrote a review Jan 2019Coventry, United Kingdom57 contributions37 
helpful votes</t>
  </si>
  <si>
    <t>Comfy and cleanWe stayed for one night at this hotel, we do use it whenever we fly from 
Gatwick as it is very convenient and clean. Last time we stayed parking 
overnight was included however it is an additional £8 now, we also paid for 
the breakfast option on this stay and have to say this was a dissapoint 
ment, the quality was poor and going by the food left on other plates we 
were not the only ones whofelt this. We will always use this hotel as it is 
so near to the airport but will give the food a miss!Read moreReview 
collected in partnership with TravelodgeDate of stay: March 2020HelpfulShare</t>
  </si>
  <si>
    <t>Large room but dated and run downLarge room for price with very old bathroom, but with no shampoo and very 
noisy plumbing. It was cheap but it's in real need of renovation. The 
window has six curtain rails on it from past hotels, shows lack of 
attention from site management.Read moreDate of stay: January 20191 Helpful 
voteHelpfulShareResponse from TravelodgeUK, Molly from the Social Media 
Team at Travelodge London Kings Cross Royal ScotResponded 10 Jan 2019Thank 
you for your review. We are sorry to hear that the shampoo was not refilled 
prior to your stay. We will certainly address this with the Hotel Team to 
reiterate the importance of attention to detail when servicing the rooms. 
We are also sorry to note that you found the room to be looking tired, we 
will raise this with the maintenance team. Thank you again for your 
feedback.Read more</t>
  </si>
  <si>
    <t>dave_davies2727 wrote a review Mar 2020St Clears, United Kingdom3 
contributions</t>
  </si>
  <si>
    <t>Ravi J wrote a review Jan 20191 contribution</t>
  </si>
  <si>
    <t>Exceptional good valueConvenient to Gatwick Airport. Comfortable, clean, warm and spacious. Good 
quality food. No aircraft noise whatsoever. Very sociable, welcoming staff. 
Would not hesitate to stay here again when using the airport.Read 
moreReview collected in partnership with TravelodgeDate of stay: March 
2020HelpfulShare</t>
  </si>
  <si>
    <t>Kings x royal scotGood sized room but needs some TLC. Outdated bathroom. There was a problem 
with the water system which meant we had luke warm water. The heating 
system is substandard for travel lodge. It was very cold in the room 
despite having had their heating on all night. It was however well located 
and in some way served its purpose for our trip but unlikely to book 
again.Read moreReview collected in partnership with this hotelDate of stay: 
January 2019HelpfulShareResponse from TravelodgeUK, Tilly from The Social 
Media Team at Travelodge London Kings Cross Royal ScotResponded 10 Jan 
2019Thank you for submitting your review of our London Kings Cross Royal 
Scot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</si>
  <si>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Grumpy2020 wrote a review Mar 20201 contribution</t>
  </si>
  <si>
    <t>Explorer18118917591 wrote a review Jan 2019London, United Kingdom2 
contributions1 helpful vote</t>
  </si>
  <si>
    <t>Avoid Room 19!I usually recommend Travelodge to friends as representing good value for 
money, but the room I was assigned was behind the ground-floor reception 
and right by the airport shuttle bus and taxi stop, so noisy 24/7 with 
guests coming and going. Room heating was centrally controlled and room was 
chilly on arrival. Very lightweight duvet on bed as well. Reasonably-priced 
room for an airport hotel, but not at all comfortable because of the 
noise.Read moreReview collected in partnership with TravelodgeDate of stay: 
March 2020HelpfulShare</t>
  </si>
  <si>
    <t>Poor Customer ServiceI will start from when I check in, I was served by joal (not sure) looks 
asian, middle eastern. He asked me and my husband where we was from. He 
than said we both look from two different places. I than felt like I was 
being questioned because of me wearing hijab (religious head scarf). I do 
not think you should ever be personal with people staying at the hotel. 
This was very rude and immature. I and my husband felt very silly for 
staying at the hotel but we did stay the night. Bad wifi service.Read 
moreReview collected in partnership with TravelodgeDate of stay: January 
2019HelpfulShareResponse from TravelodgeUK, Molly from the Social Media 
Team at Travelodge London Kings Cross Royal ScotResponded 10 Jan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</si>
  <si>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https://www.tripadvisor.co.uk/Hotel_Review-g191265-d229508-Reviews-or10-Travelodge_Gatwick_Airport_Central-Horley_Surrey_England.html#REVIEWS</t>
  </si>
  <si>
    <t>Honest wrote a review Mar 2020London, United Kingdom1 contribution</t>
  </si>
  <si>
    <t>https://www.tripadvisor.co.uk/Hotel_Review-g186338-d243667-Reviews-or1560-Travelodge_London_Kings_Cross_Royal_Scot-London_England.html#REVIEWS</t>
  </si>
  <si>
    <t>Will be backArrived on Saturday evening and had one of the best welcoming from Victor. 
The only person in Travelodge who has ever asked my name away from 
reception desk. Had a very wide knowledge of food and Allergens. Very 
honest lad when I asked about �� Wine. "He replied" "than to give you wrong 
information let me speak to someone who knows more about drinks. But I 
assure you next time I will be able to answer most, if not all of your 
questions on drinks" Clean Room Clean Hotel Car park really cheap for 24hrs 
Limited food at the restaurant but delicious.Read moreDate of stay: March 
2020HelpfulShare</t>
  </si>
  <si>
    <t>Monika B wrote a review Jan 2019Hamburg, Germany49 contributions9 helpful 
votes</t>
  </si>
  <si>
    <t>good value for your moneyHaving stayed at other Travelodge Hotels before I looked for a Travelodge 
for a short stay in London. Since I came over from the continent by train 
the location of the hotel was great. The hotel has got three stars so I 
didn't expect too much. I got a clean and tidy room which was very quiet. 
During the first two nights there wasn't any noise at all. The last night 
was a Saturday night and there were some "funny" guys around singing loudly 
in the middle of the night, but that's not the hotel's fault.Read 
moreReview collected in partnership with TravelodgeDate of stay: January 
2019HelpfulShare</t>
  </si>
  <si>
    <t>Rob P wrote a review Mar 2020Brighton, United Kingdom1 contribution</t>
  </si>
  <si>
    <t>Departure782094 wrote a review Jan 201913 contributions4 helpful votes</t>
  </si>
  <si>
    <t>Thanks to Alfie on the front deskJust a quick shout to say thank you to a super efficient Alfie on the front 
desk. He sorted out our room after all the storm Dennis Easyjet 
cancellations when no info had come through from Easyjet. Big thanks, this 
particular part of that massive headache was much easier because of 
you.Read moreDate of stay: February 2020HelpfulShare</t>
  </si>
  <si>
    <t>cornishtraveller2017 wrote a review Mar 2020Newquay, United Kingdom2 
contributions1 helpful vote</t>
  </si>
  <si>
    <t>FamilyWorse hotel we have ever said in the breakfast was not worth the money the 
kids would not eat at all had to ask for toilet paper the bathroom was 
really dirty would not stray here again and would tell.others not to go 
near itRead moreDate of stay: June 2018HelpfulShareResponse from 
TravelodgeUK, Charley from the Social Media Team at Travelodge London Kings 
Cross Royal ScotResponded 7 Feb 2019Thank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</si>
  <si>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Tourist32395067326 wrote a review Jan 2019Peterborough, United Kingdom1 
contribution</t>
  </si>
  <si>
    <t>Excellent stayThe room (on the third floor) was very quiet, spacious and comfortable, the 
price was good and getting tot eh hotela from the airport and back again 
the next morning very straight forward. I would stay here again.Read 
moreReview collected in partnership with TravelodgeDate of stay: March 
2020HelpfulShare</t>
  </si>
  <si>
    <t>Sunshine57544274111 wrote a review Mar 20201 contribution</t>
  </si>
  <si>
    <t>Show trip to LondonStsyed at hotel overnight as show finished after last train home, very 
comfotable, clean and well maintained room. Made the trip more of a weekend 
break than just a bed for the night.Great value for moneyRead moreReview 
collected in partnership with TravelodgeDate of stay: January 
2019HelpfulShare</t>
  </si>
  <si>
    <t>Missing earring.I use this travelodge when flying from Gatwick airport very close to 
airport. Only this time I left my earring on the bed and just forgot to 
pick it up. I phoned when I got home and didn't get much joy from boy on 
reception I think he must have been on training. Still waiting on call back 
from them. Bit disappointed as I know I left it there.Read moreReview 
collected in partnership with TravelodgeDate of stay: March 2020HelpfulShare</t>
  </si>
  <si>
    <t>col wrote a review Jan 20192 contributions</t>
  </si>
  <si>
    <t>https://www.tripadvisor.co.uk/Hotel_Review-g191265-d229508-Reviews-or15-Travelodge_Gatwick_Airport_Central-Horley_Surrey_England.html#REVIEWS</t>
  </si>
  <si>
    <t>Bill V wrote a review Mar 2020Newbury, United Kingdom451 contributions94 
helpful votes</t>
  </si>
  <si>
    <t>Good stuffA hotel operating 24/7 which makes the system, and staff, operate at 
maximum efficiency. Quick bookin, clean rooms, great shower, good 
breakfast, cannot ask for anything much else. Just a tip, the connecting 
shuttle bus to the to the terminals cost £4 per person, go by taxi and it 
is £6 flat fare, whether there are one, two or three of you. £12 if you 
have a lot of luggage. Worth it for the convenince as you get dropped right 
by the escalators in the North terminal and not a two hundred yard luggage 
push with the bus.Read moreDate of stay: March 20201 Helpful 
voteHelpfulShare</t>
  </si>
  <si>
    <t>Michaella E wrote a review Mar 2020Wordsley, United Kingdom2 contributions</t>
  </si>
  <si>
    <t>Great stayGreat location, check in was easy with plenty of self check in machines if 
you didn’t want to wait at the desk. Very quiet and all staff were 
pleasant. We would definitely look to stay here again. Great price too 
��Read moreReview collected in partnership with TravelodgeDate of stay: 
March 2020HelpfulShare</t>
  </si>
  <si>
    <t>Gaye O wrote a review Mar 20205 contributions3 helpful votes</t>
  </si>
  <si>
    <t>Good value and nice breakfastAbout 300 meters walk from Kings Cross, stayed for two nights and it was 
very good value for such a central location. Staff helpful, locked room to 
store baggage after checkout, and breakfast was nice.Read moreDate of stay: 
January 2019HelpfulShare</t>
  </si>
  <si>
    <t>Perfect for usearly morning flights,this hotel a must,warm ,comfortable rooms,very 
friendly staff,comfortable beds,nice and quiet in rooms,tea and coffee 
supplied,restaurant on site,everything adequate for one night staysRead 
moreReview collected in partnership with TravelodgeDate of stay: March 
2020HelpfulShare</t>
  </si>
  <si>
    <t>kirsty m wrote a review Mar 2020San Francisco, California208 
contributions88 helpful votes</t>
  </si>
  <si>
    <t>https://www.tripadvisor.co.uk/Hotel_Review-g186338-d243667-Reviews-or1565-Travelodge_London_Kings_Cross_Royal_Scot-London_England.html#REVIEWS</t>
  </si>
  <si>
    <t>Cheap and cheerful. Awkward location.Pros Clean Cheap Dog friendly Coffee station in room Book a cab with 
reception £6 cheaper and faster than shuttle bus Cons Wifi is £3 not free 
No telephone in room unable to call down to reception Food options very 
basic. We ordered in via justeat No room service Shuttle bus expensive and 
slow £4pp Hard to find shuttle bus. Its bus stop 9 by bus/taxi rank 
Location isnt the best Smell in room and corridorRead moreDate of stay: 
March 2020HelpfulShare</t>
  </si>
  <si>
    <t>Alan T wrote a review Jan 2019Ripon, United Kingdom93 contributions9 
helpful votes</t>
  </si>
  <si>
    <t>yodastoke wrote a review Mar 202046 contributions18 helpful votes</t>
  </si>
  <si>
    <t>Cheap and cleanStayed for 4 nights, room was clean and enough room for 2 people. Price was 
good, quite a bit of outside noise during the night but you’re in London so 
cannot escape it. Never ate at the hotel but used the bar which was 
reasonably priced.Read moreDate of stay: January 2019HelpfulShare</t>
  </si>
  <si>
    <t>sushanna wrote a review Jan 2019england82 contributions68 helpful votes</t>
  </si>
  <si>
    <t>Convenient and good value for moneyConveniently located for the Gatwick terminals and an overnight stay takes 
away the stress and hassles of the M23/25 if you have an early morning 
flight. Clean, tidy and generally well appointed rooms. Restaurant is basic 
but reasonable quality.Read moreReview collected in partnership with this 
hotelDate of stay: February 2020HelpfulShare</t>
  </si>
  <si>
    <t>https://www.tripadvisor.co.uk/Hotel_Review-g191265-d229508-Reviews-or20-Travelodge_Gatwick_Airport_Central-Horley_Surrey_England.html#REVIEWS</t>
  </si>
  <si>
    <t>Mixed review.Stayed here for one night, which was all we could have tolerated. On the 
plus side, we found the staff to be helpful and polite, no complaints there 
at all. The room was clean, and the bed comfortable. The location is 
convenient and there was plenty of piping hot water for bathing and 
showering. On the down side, when we exited the lift, we were hit by the 
overpowering smell of bleach in the corridor, when this subsided, there was 
a nasty musty smell. Other floors ( we were on the fourth ) looked very 
different, maybe better looked after ? The bathroom, was tiny, but 
functional. Signs of neglect, cracks in the ceiling roughly plastered over 
etc. At the back of the building, noise throughout the night from the 
delivery bay, so disturbed sleep. Breakfast was awful, really awful.…Read 
moreDate of stay: January 2019HelpfulShareResponse from TravelodgeUK, Molly 
from the Social Media Team at Travelodge London Kings Cross Royal 
ScotResponded 7 Jan 2019Thank you for taking the time to review our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</si>
  <si>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Samira E wrote a review Mar 20201 contribution</t>
  </si>
  <si>
    <t>evecrovie wrote a review Jan 2019Aberdeen, United Kingdom2 contributions1 
helpful vote</t>
  </si>
  <si>
    <t>Don't trust the bar staff!Room was really great. Hotel generally all good. We were incredibly 
disappointed with the staff including one particular bar staff that 
deliberately charged us repeatedly for drinks to pocket the money himself. 
When we approached him he admitted he used to steal from his previous 
employer and did it and offered us free shots than my money back!!! The 
supervisor didn't want to know either ! Very disappointing!Read moreDate of 
stay: February 2020HelpfulShare</t>
  </si>
  <si>
    <t>Best hotelBest bed I've ever had and slept like a baby, staffs have done great 
helping out to my friend that on the wheelchair so would recommend this 
hotel for my next visit to Disneyland Paris again in futureRead moreReview 
collected in partnership with TravelodgeDate of stay: January 
2019HelpfulShare</t>
  </si>
  <si>
    <t>tonyconway206 wrote a review Mar 202010 contributions</t>
  </si>
  <si>
    <t>Toon D wrote a review Jan 20195 contributions1 helpful vote</t>
  </si>
  <si>
    <t>It's a good TravelodgeGood for Gatwick airport. Regular shuttle bus to both terminals. Food all 
knight although pizza later only and the one staff member was rushed. Rooms 
fine. Bar well stocked. Staff very helpful and despite being a large hotel 
was quiet.Read moreDate of stay: March 2020HelpfulShare</t>
  </si>
  <si>
    <t>Satisfied tripThe staffs were so nice to me and the room was clean. I had a problem with 
the blocked toilet. I could move to another immediately when I talked to 
the reception. The location is not too far from the King’s Cross 
station.Read moreDate of stay: January 2019HelpfulShare</t>
  </si>
  <si>
    <t>https://www.tripadvisor.co.uk/Hotel_Review-g186338-d1812157-Reviews-or630</t>
  </si>
  <si>
    <t>Mikayel wrote a review Jan 20191 contribution</t>
  </si>
  <si>
    <t>Julie873 wrote a review Mar 2020Wellingborough, United Kingdom42 
contributions30 helpful votes</t>
  </si>
  <si>
    <t>Not satisfied at allThe bathroom was broken and dirty, the water was flowing outside the bath 
area and accumulating in toilet, hot water temperature was impossible to 
regulate, mugs and teaspoons were dirty. Asked for toilet paper the worker 
said she will bring shortly but never brought. Asked at the reception in 
the evening and the receptionist literally gave me toilet paper at the 
reception.Read moreReview collected in partnership with TravelodgeDate of 
stay: January 2019HelpfulShareResponse from TravelodgeUK, Charley from the 
Social Media Team at Travelodge London Kings Cross Royal ScotResponded 6 
Feb 2019Thank you for taking the time to review our London Kings Cross 
Royal Scot Hotel. We're sorry to hear of the issues that you experienced 
during your stay such as the service received and the cleanliness/ 
facilities of the room. Your feedback has been passed on to the team and we 
thank you for bringing this to our awareness. Thank you again for 
submitting your review.Read more</t>
  </si>
  <si>
    <t>Best one we have stayed inThis was a clean and tidy lodge. One of the best we have used. We have 
stayed all over the world and in many hotels. Value for money we had no 
complaints at all. Staff good. We didnt eat here but we had a drink. We 
loved how clean the room was and clean and new the bedding wasRead 
moreReview collected in partnership with TravelodgeDate of stay: February 
2020HelpfulShare</t>
  </si>
  <si>
    <t>https://www.tripadvisor.co.uk/Hotel_Review-g186338-d243667-Reviews-or1570-Travelodge_London_Kings_Cross_Royal_Scot-London_England.html#REVIEWS</t>
  </si>
  <si>
    <t>Ben Major wrote a review Jan 2019Boston, United Kingdom18 contributions7 
helpful votes</t>
  </si>
  <si>
    <t>Read and trust the other reviews!We stayed here for a couple of nights over New Year, and I have to say that 
I wish we'd read the other reviews before booking. Had that been the case, 
we certainly wouldn't have booked here. When we arrived, we were told that 
check-in did not start until 15:00, unless we wanted to pay an additional 
£18 to be allowed early check-in. I understand that there's a set check-in 
time for such a large hotel, but surely the room's either ready or it's 
not, why does paying £18 change this? When we finally were able to check 
in, we reached our room (5th floor) and immediately were struck with the 
stuffiness and an overwhelming smell of damp. The heating in the room was 
on full, and the window was open as much as possible. This smacked of the 
room having a serious damp problem that staff…Read moreDate of stay: 
December 2018HelpfulShareResponse from TravelodgeUK, Charley from the 
Social Media Team at Travelodge London Kings Cross Royal ScotResponded 6 
Feb 2019Thank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</si>
  <si>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Alli H wrote a review Jan 201979 contributions30 helpful votes</t>
  </si>
  <si>
    <t>https://www.tripadvisor.co.uk/Hotel_Review-g191265-d229508-Reviews-or25-Travelodge_Gatwick_Airport_Central-Horley_Surrey_England.html#REVIEWS</t>
  </si>
  <si>
    <t>Tankus2244 wrote a review Mar 2020Chudleigh, United Kingdom3 contributions</t>
  </si>
  <si>
    <t>ExpectedTravelodge is a chain hotel known for offering the basics and nothing more, 
knowing this we got what we paid for: a clean room in a decent location. If 
you are looking for more, you might want to avoid. When we checked in, we 
were too early and were allowed to store our luggage which was great, but 
they only had one person working the reception desk and it was super busy 
so it was a little frustrating. Although, the staff was quite helpful 
despite the fact of being swamped. The location is good, a short walk to 
King's Cross &amp; St. Pancras stations, although I thought it would be closer 
than it was. I have stayed at Travelodges before, this one in particular is 
quite dated, but still kept clean and the room was a decent size, easily 
shareable between two people.Read moreDate of stay: December 
2018HelpfulShare</t>
  </si>
  <si>
    <t>Discover59720386673 wrote a review Jan 20191 contribution</t>
  </si>
  <si>
    <t>Great friendly team!!After a flight in from Cyprus I booked in for my 1 night stay in Travelodge 
Gatwick Central. What a lovely friendly team I met on reception! Full of 
smiles, focused on customer care and so friendly. One them brought me my 
evening meal in the restaurant and in the morning, they were there again at 
reception, to wish me well for my onwards journey. What a great team. Many 
thanks to Emma, Lucy and Fatima. A credit to Travelodge 10/10. *****Read 
moreDate of stay: March 2020HelpfulShare</t>
  </si>
  <si>
    <t>A 5 day holiday stay from Finland at a Travelodge London Kings Cross Royal 
ScotExcellent situation, about 10 minutes walk to Kings Cross station from 
where an underground connection to Heathrow airport ab 45 minutes. Good 
value hotel. British Museum closeby, walking distance to Tottenham Court 
Road and Oxford street and Soho and many theatresRead moreReview collected 
in partnership with TravelodgeDate of stay: December 2018HelpfulShare</t>
  </si>
  <si>
    <t>Richard K wrote a review Mar 20201 contribution</t>
  </si>
  <si>
    <t>Fraser C wrote a review Jan 2019Lerwick, United Kingdom88 contributions50 
helpful votes</t>
  </si>
  <si>
    <t>Travelodge Gatwick central One of the best hotels around LondonI work and travel all around the UK, especially London areas. Travelodge 
Gatwick central is a must for me and my needs. Super clean rooms. First 
class service, First class food The staff, from cleaners to management can 
not do enough for you. It's home from home. Do not miss this gem.you will 
not be disappointed. This is the best Travelodge of all Travelodges. 
Believe me I have stayed in them all. This is how a Travelodge should be 
run Fantastic 5 star plus....Read moreDate of stay: March 2020HelpfulShare</t>
  </si>
  <si>
    <t>Good value for money3rd time here, there is a massive difference in price on the two king cross 
travelodges tbe several hundred pounds I saved was well worth the extra 
minutes walk past the first one. This one had some shops and fast food 
across the road too. The rooms are ok, wooden units are a bit tired but ok 
for what you pay and the length of time your actually there. To be honest 
you don’t go to London to stay in your bedroom other than to sleepRead 
moreReview collected in partnership with TravelodgeDate of stay: January 
20191 Helpful voteHelpfulShare</t>
  </si>
  <si>
    <t>Ian B wrote a review Mar 2020Sunderland, United Kingdom46 contributions43 
helpful votes</t>
  </si>
  <si>
    <t>https://www.tripadvisor.co.uk/Hotel_Review-g186338-d243667-Reviews-or1575-Travelodge_London_Kings_Cross_Royal_Scot-London_England.html#REVIEWS</t>
  </si>
  <si>
    <t>Very happy with this stayMy stay at this hotel did the job and there was nothing to mark down. It 
was comfortable, clean, the bar stayed open all day which is great if your 
flight is at a odd hour.. All the staff were proffesional and helpful. You 
are reliant on the shuttle bus to get to and from the airport. It costs £4 
each way.Read moreDate of stay: February 2020HelpfulShare</t>
  </si>
  <si>
    <t>LondonVeggiegirl wrote a review Jan 2019London10 contributions7 helpful 
votes</t>
  </si>
  <si>
    <t>MIKKADOO wrote a review Mar 2020Tarporley, United Kingdom43 contributions13 
helpful votes</t>
  </si>
  <si>
    <t>Great room, just a bit noisyStayed here after a Christmas party. Great little room. Bathroom very small 
but fine. Only complaint was noise outside in delivery bay early hours of 
the morning. Was a bargain price so fine as a one off.Read moreReview 
collected in partnership with TravelodgeDate of stay: December 
2018HelpfulShare</t>
  </si>
  <si>
    <t>GREAT STOP OVERWell positioned for the airport , good clean rooms ,well maintained. Great 
helpful staff , but in mornings require additional help to keep all food 
stations topped up. 2 small points to be critical about , I always have 
rooms on 6th floor , here the shower trays are smooth making it very 
slippery and an accident waiting to happen , voiced my opinion to the 
manager who said the would pass comments on. 2nd point parking pay stations 
the one inside always seems to be out of order , the one outside no light 
working above for night time use , small buttons so in wind and rain 
mistakes happen , could do with a shelter at this pointRead moreReview 
collected in partnership with this hotelDate of stay: February 
2020HelpfulShare</t>
  </si>
  <si>
    <t>Ava G wrote a review Mar 20201 contribution</t>
  </si>
  <si>
    <t>Surprisingly excellent accommodations!I chose to stay at the Travelodge due to its proximity to Gatwick, as I had 
an early flight home. In addition, it was affordably priced. My thought was 
"how bad could it be for one night?" I was very surprised to see that it 
was the most elegant Travelodge I have ever seen. It appears as though it 
has just been renovated, and it shows. My room was spotless - the bedding 
was bright white and appeared to even have been ironed! There was both 
coffee and tea provided in the room, which is an added surprise. There is a 
very nice bar and restaurant win the ground floor. I drank a beer and 
ordered food from the pub, which was acceptable, but mediocre. However, I 
really like the convenience of having everything I need under one roof. In 
addition, a shuttle is provided to the…Read moreReview collected in 
partnership with TravelodgeDate of stay: March 2020HelpfulShare</t>
  </si>
  <si>
    <t>Marcus_allen wrote a review Jan 2019Grantham, United Kingdom1 contribution1 
helpful vote</t>
  </si>
  <si>
    <t>https://www.tripadvisor.co.uk/Hotel_Review-g191265-d229508-Reviews-or30-Travelodge_Gatwick_Airport_Central-Horley_Surrey_England.html#REVIEWS</t>
  </si>
  <si>
    <t>Michelle_BAEK1103 wrote a review Mar 20201 contribution</t>
  </si>
  <si>
    <t>Absolutely appalling stay.Upon arriving at travelogue royal Scot, I was told I didn’t have a room and 
after standing around for 10 minutes get a room, it smelt,bathroom 
unclean,security hadn’t a clue what they were doing when re-entering after 
midnight. Felt like being accused of not having a key card and letting 
family members in my room to sleep that HAD paid to stay there. Also felt 
like we were being wrongly accused of looking for rooms to break into after 
being followed along corridor by security staff. Overall a terrible stay 
and would 100% not recommend this hotel to anyone. AVOID!!Read moreReview 
collected in partnership with TravelodgeDate of stay: December 20181 
Helpful voteHelpfulShareResponse from TravelodgeUK, Molly from the Social 
Media Team at Travelodge London Kings Cross Royal ScotResponded 3 Jan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</si>
  <si>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Nice place with strick policy.Clean and Cozy. But takes 20 mns to get there. Hard to find where to take 
shuttle. Paying in site impossible. Hard to contact the exact teavelodge 
you stay(only to call them). No micro-wave, free wifi.Read moreReview 
collected in partnership with TravelodgeDate of stay: February 
2020HelpfulShare</t>
  </si>
  <si>
    <t>jackomike wrote a review Jan 2019London, United Kingdom121 contributions59 
helpful votes</t>
  </si>
  <si>
    <t>jlmcnulty wrote a review Mar 2020County Dublin, Ireland1 contribution</t>
  </si>
  <si>
    <t>BEST VALUE FOR MONEY HOTEL IN LONDONWhat a find. Stayed over XMAS and NEW YEAR period with my daughter. It came 
to about £50 per night with FULL ENGLISH BREAKFAST, and I mean full. A wide 
variety of boxed cereal, fresh fruit salad, delicious yogurt, juices, for 
starters, variety of LAVAZZI coffees and TYPHOU teas, then sausage, 
scrambled eggs, beans, tomato, back bacon, mushrooms, hash browns and 
veggie sausages, and toast and buns, eat as much as you can. The reception 
and catering staff were exceptional providing help and assistance to ALL. 
The room were more than adequate, en suite, with hot pressurised water and 
multi channel TV. COFFEE/TV making facilities in room, for free. Ample 
cupboard space but not so much drawer space. Lifts to all rooms. Room was 
clean and sheets/towelling changed daily, if you want.…Read moreDate of 
stay: December 2018HelpfulShare</t>
  </si>
  <si>
    <t>1 night short stayAfter a weekend in London we stayed here as we had an early flight in the 
morning. A late check-in at 10 pm but no issues and while restaurant was 
just closing the bar was still open which suited us. Shuttle from airport 
was good (both ways - it's too far to walk). Room was neat and clean with 
coffee/tea making facilities. Staff very friendly. Quick check out in 
morning.&amp; shuttle back to airport. Couldn't have run any smoother. Will 
definitely stay againRead moreReview collected in partnership with this 
hotelDate of stay: February 2020HelpfulShare</t>
  </si>
  <si>
    <t>tarachatzakis wrote a review Mar 2020Isle of Wight, United Kingdom1 
contribution</t>
  </si>
  <si>
    <t>https://www.tripadvisor.co.uk/Hotel_Review-g186338-d243667-Reviews-or1580-Travelodge_London_Kings_Cross_Royal_Scot-London_England.html#REVIEWS</t>
  </si>
  <si>
    <t>Comfortable but had some issuesThe room was clean and fresh. The bed was very comfy. However, the 
temperature of the room was unbearably hot when we arrived. Also, the hotel 
(which is at Gatwick airport meaning people are usually travelling from 
there) had no lift to the room so we had to drag our luggage up and down 
the stairs.Read moreReview collected in partnership with TravelodgeDate of 
stay: February 2020HelpfulShareResponse from TravelodgeUK, Ben from the 
Social Media Team at Travelodge Gatwick Airport CentralResponded 5 Mar 
2020Thank you for taking the time to write a review about our Gatwick 
Airport Central hotel. We're pleased to hear that your room was clean and 
you found the bed to be comfortable however we are sorry to learn of your 
disappointment with the room temperature.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</si>
  <si>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https://www.tripadvisor.co.uk/Hotel_Review-g191265-d229508-Reviews-or35-Travelodge_Gatwick_Airport_Central-Horley_Surrey_England.html#REVIEWS</t>
  </si>
  <si>
    <t>Connector58151854577 wrote a review Dec 20181 contribution</t>
  </si>
  <si>
    <t>Stephanie C wrote a review Mar 2020United Kingdom19 contributions1 helpful 
vote</t>
  </si>
  <si>
    <t>Filthy and poorly maintained hotelUpon arrival the rooms were not available at first even though I had called 
a few hours prior to confirm. They stated the second room may no longer be 
available after we arrived. Hotel is filthy inside and out!!! Poorly 
maintained. Your best option is to find another location. Definitely not 
worth the cost!! No matter what price the charge!Read moreReview collected 
in partnership with TravelodgeDate of stay: December 
2018HelpfulShareResponse from TravelodgeUK, Charley from the Social Media 
Team at Travelodge London Kings Cross Royal ScotResponded 4 Feb 2019Thank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</si>
  <si>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Stephanie and David GaughranOK for one night ready for the flight early next morning, but the room was 
cold, staff unfriendly and car park full up and expensive. However the room 
was clean,but only one towel we had to ask for another.( not up for sharing 
a wet towel) I would try to find another hotel next time we need to fly 
from Gatwick. The Price of Travel lodge hotels are still very good. All in 
all we love staying in Travel lodges.Read moreDate of stay: February 
2020HelpfulShareResponse from TravelodgeUK, Zack from The Social Media Team 
at Travelodge Gatwick Airport CentralResponded 4 Mar 2020Thank you for 
taking the time to share your experience with us. We are happy to learn you 
were pleased with the Hotels cleanliness however we are sorry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</si>
  <si>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Carla B wrote a review Dec 20181 contribution</t>
  </si>
  <si>
    <t>Wonderful stay &amp; exceptional customer service!We thoroughly enjoyed our stay here. Staff member, Remy, in particular was 
very helpful and provided excellent customer service! He is an asset to 
Kings Cross Travelodge (Royal Scot). We would happily return back when in 
London next ��Read moreDate of stay: December 2018HelpfulShare</t>
  </si>
  <si>
    <t>https://www.tripadvisor.co.uk/Hotel_Review-g186338-d243667-Reviews-or1585-Travelodge_London_Kings_Cross_Royal_Scot-London_England.html#REVIEWS</t>
  </si>
  <si>
    <t>MichaelH wrote a review Dec 2018Hartford, United Kingdom5 contributions</t>
  </si>
  <si>
    <t>https://www.tripadvisor.co.uk/Hotel_Review-g191265-d229508-Reviews-or40-Travelodge_Gatwick_Airport_Central-Horley_Surrey_England.html#REVIEWS</t>
  </si>
  <si>
    <t>Bathroom problemsThe single beds are very narrow! You turn over and fall out of bed! The 
drain in the bath tub was blocked the whole time during our stay, in spite 
of daily reminders and complaints at reception. The staff, in general were 
very pleasant!Read moreReview collected in partnership with TravelodgeDate 
of stay: December 2018HelpfulShareResponse from TravelodgeUK, Charley from 
the Social Media Team at Travelodge London Kings Cross Royal ScotResponded 
4 Feb 2019Thank you for taking the time to review our London Kings Cross 
Royal Scot Hotel. We're sorry to hear of the issues encountered during your 
stay such as the drain and narrow beds. We would also like to apologise 
that you did not feel these issues were resolved or dealt with at the time. 
On the other hand, it's great to hear that you found the team to be 
friendly and pleasant overall. Thank you again for submitting your review 
and we hope to welcome you back soon.Read more</t>
  </si>
  <si>
    <t>Nathan E. wrote a review Dec 2018New Haven, Connecticut15 contributions3 
helpful votes</t>
  </si>
  <si>
    <t>richard m wrote a review Feb 2020Isle of Wight, United Kingdom4 
contributions3 helpful votes</t>
  </si>
  <si>
    <t>Good Value GatwickVery good value, clean accommodation, close to Gatwick Airport (15 mins to 
North Terminal ). Hotel staff were very pleasant and we had a very good 
nights sleep and good hot breakfast with a wide choice of food. Fresh 
coffee would have been a bonus.Read moreReview collected in partnership 
with TravelodgeDate of stay: February 2020HelpfulShare</t>
  </si>
  <si>
    <t>Budget. Friendly staff. No soap.We stayed one night. There was no hand soap in our sink's dispenser; we 
used the shampoo. It was a real labyrinth of a place, and took quite a 
while with some odd turns to get to our room. Smallest room I've had in the 
four UK Travelodges I've stayed in. Clean and inviting lobby, and friendly 
staff, but not a lot of staff so check-in was slow and the bartender was 
nowhere to be found.Read moreDate of stay: December 
2018HelpfulShareResponse from TravelodgeUK, Charley from the Social Media 
Team at Travelodge London Kings Cross Royal ScotResponded 27 Jan 2019Thank 
you for taking the time to review our London Kings Cross Royal Scot Hotel. 
We're sorry to hear of the issues with the soap that you experienced during 
your stay and that you found the rooms to be small. On the other hand, we 
are pleased to hear that you enjoyed found the team to be friendly and the 
reception area to be clean and inviting. We hope to welcome you back soon 
and thank you again for submitting your review.Read more</t>
  </si>
  <si>
    <t>V22thu wrote a review Feb 20201 contribution</t>
  </si>
  <si>
    <t>Jackie M wrote a review Dec 2018County Kildare, Ireland7 contributions2 
helpful votes</t>
  </si>
  <si>
    <t>Bar serviceI recently stayed at a travelodge located in Gatwick central , and I was 
very impressed by the service I received at the bar . The employee that 
served me , whom I believe was called vini , was very polite and efficient 
. He made me feel at home at home even though I’ve previously never stayed 
at this particular branch .Read moreDate of stay: February 2020HelpfulShare</t>
  </si>
  <si>
    <t>Dizy wrote a review Feb 20201 contribution</t>
  </si>
  <si>
    <t>Disappointed that loyalty not rewardedWe have been to this hotel a few times we live the location and the beds 
(:-). When we were there I was September we had a lovely room and asked 
when we were leaving could we have the same room when we came back I was 
December and were told no bother. That didn't happen and we were stuck with 
a room with a double and single when we had been very clear we wanted the 
room we had last time. Not everyone wants to share a double bed that goes 
away together. It was disappointing they didn't listed to usRead moreReview 
collected in partnership with this hotelDate of stay: December 
2018HelpfulShare</t>
  </si>
  <si>
    <t>Customer reviewVini provided us with great customer service and ensured we were well 
attended to. Even when we were being difficult Vini still maintained calm 
and dealt us with the upmost respect. This man deserves a pay rise!!!Read 
moreDate of stay: January 2020HelpfulShare</t>
  </si>
  <si>
    <t>Kevin G wrote a review Dec 20189 contributions2 helpful votes</t>
  </si>
  <si>
    <t>Sophie wrote a review Feb 20201 contribution</t>
  </si>
  <si>
    <t>Very good10 minute walk from tube station .clean. quiet. Could fo with more staff as 
1 guy was at check out and serving at the bar . It is what it is a travel 
lodge but better than what i was expecting. Will use againRead moreReview 
collected in partnership with this hotelDate of stay: December 
2018HelpfulShare</t>
  </si>
  <si>
    <t>Overnight stay with childrenWe thoroughly enjoyed our stay here. All staff were friendly and pleasant, 
in particular Vin (or Vinnie?) in the café went above and beyond to make 
sure my children were happy in the restaurant and occupied with colouring 
too. He even took a drinks order from our table to save me bringing the 
children to the bar! Another shout out to Ben. Very friendly and interacted 
with my children in the bar and cafe giving them a high 5 and having a 
short conversation. A nice extra touch especially for a 2.5 year old. The 
cleanliness of the room was also of a high standard, no complaints from us. 
Thank you.Read moreDate of stay: February 2020HelpfulShare</t>
  </si>
  <si>
    <t>https://www.tripadvisor.co.uk/Hotel_Review-g186338-d243667-Reviews-or1590-Travelodge_London_Kings_Cross_Royal_Scot-London_England.html#REVIEWS</t>
  </si>
  <si>
    <t>MrSnout5 wrote a review Feb 20201 contribution</t>
  </si>
  <si>
    <t>Monica C wrote a review Dec 2018Reading, United Kingdom3 contributions</t>
  </si>
  <si>
    <t>Excellent location for AirportIdeal budget stop for onward early morning flight. Clean room bed is fairly 
comfortable. Good shower with easy temperature adjustment. TV with many 
freeview channels. Late bar, unlimited tea and coffee in room, refills of 
everything at reception. Quick check out,Read moreReview collected in 
partnership with this hotelDate of stay: February 2020HelpfulShare</t>
  </si>
  <si>
    <t>Improved!Pleasantly surprised! stayed in a Travelodge years ago and it was ghastly, 
how they have improved. Room was clean and bright. Plenty of hot water and 
beds comfortable. stayed one night before traveling on.Read moreReview 
collected in partnership with this hotelDate of stay: December 
2018HelpfulShare</t>
  </si>
  <si>
    <t>NJA_7 wrote a review Dec 2018London, United Kingdom523 contributions206 
helpful votes</t>
  </si>
  <si>
    <t>https://www.tripadvisor.co.uk/Hotel_Review-g191265-d229508-Reviews-or45-Travelodge_Gatwick_Airport_Central-Horley_Surrey_England.html#REVIEWS</t>
  </si>
  <si>
    <t>DisappointingWith a travelodge, you normally know exactly what you are getting, however 
the Royal Scot appears to be the exception. The reception area is nice, 
airey and modern, with the reception to the left and the bar and restaurant 
to the right. We were allocated a room on the 4th floor. The corridors are 
very narrow with rooms on both sides with a smell of damp and a stale smell 
you can get in old building. The room was extremely small and gave the 
impression that it was possibly once a hall of residence. The bathroom was 
extremely small, to the point you could only just manoeuvre round and close 
the door. There was chips taken out of the bath. Both the bath and sink 
were discoloured. In the main bedroom There was also mould around the 
window. The hotel serves its purpose…Read moreDate of stay: December 
2018HelpfulShareResponse from TravelodgeUK, Molly from the Social Media 
Team at Travelodge London Kings Cross Royal ScotResponded 26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</si>
  <si>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Subseaexplorer wrote a review Feb 202010 contributions1 helpful vote</t>
  </si>
  <si>
    <t>Henrik V wrote a review Dec 20181 contribution</t>
  </si>
  <si>
    <t>Accommodating StaffI arrived at the hotel a little after 9am, very tired after a long red-eye 
flight. I had paid for early check in at midday, and didn't expect to be 
able to access my room until then. The two members of staff at front desk, 
Arslan &amp; Aten, managed to find a room for me, straight away. Thank you very 
much for going above and beyond, especially at such a busy time of 
year!Read moreDate of stay: December 2018HelpfulShare</t>
  </si>
  <si>
    <t>Good value for a long business stayClean and comfortable room and common areas. Helpful and friendly staff. 
Good value. With a long stay (28 days) some issue with the room is a 
possibility, normally no problems with Travelodge, this trip the room 
heating failed but full marks to the reception staff who quickly took steps 
to address the problem, so 10/10. As a vegan I appreciate the menu options, 
food quality is decent and in my experience served quickly. Great that in 
the evenings I was met with a greeting at the bar, from Lucy and other team 
members, who remembered my vegan preferences and routine and would 
accommodate my menu tweeks etc. If they were busy they gave an 
acknowledgement, serve those ahead quickly and ensured no one went out of 
turn. The team looking after tables also do a great job. Regular and…Read 
moreReview collected in partnership with TravelodgeDate of stay: February 
2020HelpfulShare</t>
  </si>
  <si>
    <t>vincent12089 wrote a review Dec 2018King's Lynn, United Kingdom362 
contributions118 helpful votes</t>
  </si>
  <si>
    <t>doug b wrote a review Feb 2020Gillingham, United Kingdom3 contributions</t>
  </si>
  <si>
    <t>As good as it gets for budget LondonAbout a 10 minute walk from Kings Cross station. Has an efficient reception 
and our room on the lowest floor was gratefully received. Usual standard 
room being clean warm and compact. Like all Travelodges it seems they are 
"offering" customers the "opportunity" to not have their room serviced. 
Didn't affect us on our one night stay but a retrograde exercise I feel. 
The breakfast room was also on the same floor and this was really good. 
Wi-fi for which we actually paid was very very poor. The cost at £125 but 
including breakfast can be 66% cheaper in the provinces in my experience 
but London is of course different.Read moreDate of stay: December 
2018HelpfulShare</t>
  </si>
  <si>
    <t>Sandra T wrote a review Dec 201823 contributions9 helpful votes</t>
  </si>
  <si>
    <t>My overnight stayWe looked for a reasonable hotel ( me my wife and daughter) to stay 
overnight near Gatwick airport as we had an early flight in the morning so 
I searched on variouse sites on the web to shop around. Not only was 
Gatwick Central Travelodge the best deal but it is literaly 5 mins drive to 
the terminal. We didn't drive on this occasion but long and short time 
parking is available on site at a good price. There is a regular bus 
transfer 24/7 but the 3 of us used a taxi which only cost £6 cheaper than 
our combined bus fares! The staff at the lodge are available at all times 
and are very helpful. The lodge has just had a million pound upgrade and 
the rooms are large comfortable and the beds are king size and a good 
nights sleep is guaranteed, and tea making facilities are in…Read 
moreReview collected in partnership with this hotelDate of stay: February 
2020HelpfulShare</t>
  </si>
  <si>
    <t>Excellent value great locationFriendly staff ,Clean room,central London,very comfortable bed,hot 
shower,tea making facilities in the room.i had a great nights sleep very 
good value for money I’ve paid more for worse We had a very nice mulled 
wine from the bar after visiting the Christmas market,a 15 minutes walk 
away. The next morning we only had a 12 minute walk to the station to get 
the Eurostar to Brussels. Perfect for a stop overRead moreDate of stay: 
December 2018HelpfulShare</t>
  </si>
  <si>
    <t>https://www.tripadvisor.co.uk/Hotel_Review-g186338-d243667-Reviews-or1595-Travelodge_London_Kings_Cross_Royal_Scot-London_England.html#REVIEWS</t>
  </si>
  <si>
    <t>https://www.tripadvisor.co.uk/Hotel_Review-g191265-d229508-Reviews-or50-Travelodge_Gatwick_Airport_Central-Horley_Surrey_England.html#REVIEWS</t>
  </si>
  <si>
    <t>melwoodward78 wrote a review Dec 2018Nottingham, United Kingdom118 
contributions44 helpful votes</t>
  </si>
  <si>
    <t>Rhonda Q wrote a review Feb 2020Cape Town, Western Cape, South Africa61 
contributions29 helpful votes</t>
  </si>
  <si>
    <t>Good locationGreat location as very close to tube. Staff were really snappy and 
dismissive when we booked in however breakfast staff weee lovely and 
helpful. Disappointed not to see a Christmas decoration in sight!! I felt 
that the lobby area was nice....but the rooms are run down and in need of a 
revamp!! The beds however are very comfortable!!! after a long day in 
London was hoping for a hot shower....no hot water!! So overall 
disappointing and probably won’t returnRead moreDate of stay: December 
2018HelpfulShare</t>
  </si>
  <si>
    <t>Allan S wrote a review Dec 2018Flintshire, United Kingdom74 contributions11 
helpful votes</t>
  </si>
  <si>
    <t>Outstanding service, great pizza and a super comfortable bedThe hotel room was basic but so was the price. The bed however was super 
comfortable and it had a tv and so it didn't really need anything else. The 
staff were extremely helpful and always friendly and I highly recommend the 
pizza, it was delicious. Breakfast was an eat as much as you like scenario 
and it was very well priced as this also included coffee/tea/juice. The 
reception staff were happy to book taxis and were all very helpful. I will 
definitely use this hotel again when I need to be near Gatwick.Read 
moreReview collected in partnership with TravelodgeDate of stay: February 
2020HelpfulShare</t>
  </si>
  <si>
    <t>great hotelgreat value for money,neat tube station so central London easy to get 
tofriendly staff, pleasant room.we used it for sleeping only as we were out 
all day,we had a good nights sleep every nightwill be staying againRead 
moreReview collected in partnership with TravelodgeDate of stay: December 
2018HelpfulShare</t>
  </si>
  <si>
    <t>Gem R wrote a review Feb 20203 contributions</t>
  </si>
  <si>
    <t>Lovely hotel and bar staffLucy made our visit so lovely. We stayed before our flight to Vegas and she 
was so kind and helpful. She was chatty and asking about our trip she also 
made the best expresso Martinis. The hotel was clean and there was ample 
amenities.Read moreDate of stay: February 2020HelpfulShare</t>
  </si>
  <si>
    <t>Faugh wrote a review Dec 2018Gainsborough, United Kingdom2 contributions</t>
  </si>
  <si>
    <t>Archie K wrote a review Feb 20201 contribution</t>
  </si>
  <si>
    <t>Form and function, just how I like it.I checked in, stayed one night and left the next morning without any fuss 
or problems which is exactly what I want in a hotel. Smart and hospitable 
staff with none of the fake frills you find in other hotels. Very 
reasonably priced. The outside noise was expected, given it is in the 
centre of London, but did not detract from the overall stay.Read moreReview 
collected in partnership with TravelodgeDate of stay: December 
2018HelpfulShare</t>
  </si>
  <si>
    <t>My stay at Travelodge Gatwick Central.My stay at this Travelodge was by far one of the best. The customer service 
throughout my stay by an employee who went by the name of Vini, was really 
fantastic. From when we entered the hotel, he made sure that everything was 
going smoothly, allocating us to our room for the day, to providing us with 
options for food and so on until it was time for us to leave. Usually 
employees would do what they think is essential to do, however Vini done 
that and also went an extra mile to make sure we really had a fantastic 
stay. I really appreciate the service Vini provided and will definitely be 
recommending family and friends to stay at this Travelodge if they are 
close by and in need of a hotel. Keep it up! 10/10 :)Read moreDate of stay: 
February 2020HelpfulShare</t>
  </si>
  <si>
    <t>Santhosh T wrote a review Feb 20201 contribution</t>
  </si>
  <si>
    <t>Mr Santhosh ThangavelA superb hotel with amazing staff. The place was really clean and plenty of 
refreshments inside. A staff called Vini was so caring and his service was 
great. Definitely one of the best travelodge workers I’ve seen. Will surely 
stay over again and it is worth the money. If anyone needs assistance, I 
can strongly recommend Vini.Read moreDate of stay: February 2020HelpfulShare</t>
  </si>
  <si>
    <t>sarah4539 wrote a review Feb 202019 contributions13 helpful votes</t>
  </si>
  <si>
    <t>Not a relaxing start to a holidayHad an overnight stay with my partner and his child before flying off on 
holiday. There was no soap in the dispenser in the bathroom or shower gel 
in the other one. There were stains on the pillows and duvets. Some of my 
pizza was raw and a desert had to be refunded as it never arrived after 
asking several times. I tried to raise these complaints to reception in the 
morning. Unfortunately she wouldn’t listen to all of it, choosing to talk 
over me instead. There are plenty of places to stay over in Gatwick. I 
would not recommend this one.Read moreDate of stay: February 
2020HelpfulShareResponse from TravelodgeUK, Ben from the Social Media Team 
at Travelodge Gatwick Airport CentralResponded 26 Feb 2020Thank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</si>
  <si>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https://www.tripadvisor.co.uk/Hotel_Review-g186338-d243667-Reviews-or1600-Travelodge_London_Kings_Cross_Royal_Scot-London_England.html#REVIEWS</t>
  </si>
  <si>
    <t>joannalynnex wrote a review Dec 2018Swansea County, United Kingdom2 
contributions</t>
  </si>
  <si>
    <t>https://www.tripadvisor.co.uk/Hotel_Review-g191265-d229508-Reviews-or55-Travelodge_Gatwick_Airport_Central-Horley_Surrey_England.html#REVIEWS</t>
  </si>
  <si>
    <t>Sarah-louise B wrote a review Feb 2020Horley, United Kingdom7 
contributions2 helpful votes</t>
  </si>
  <si>
    <t>Really bad, not happy at all with itI booked all the way back in October to stay in December for my surgery the 
following morning. We got to our room at about 12am after a long drive and 
there was somebody’s stuff in our room. We then were put into a cramped 
twin room instead of the double we booked with no refund. I had a rubbish 
sleep, really not what I needed.Read moreReview collected in partnership 
with this hotelDate of stay: December 2018HelpfulShareResponse from 
TravelodgeUK, Tilly from The Social Media Team at Travelodge London Kings 
Cross Royal ScotResponded 23 Dec 2018Thank you for taking the time to write 
a review with regards to our London Kings Cross Royal Scot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</si>
  <si>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https://www.tripadvisor.co.uk/Hotel_Review-g186338-d1812157-Reviews-or635</t>
  </si>
  <si>
    <t>2 night stop overStayed with my husband and 3 kids great basic airport hotel, went to the 
bar to grab the kids some food they were a little short staffed didn't stop 
Lucy on the bar being amazing and very friendly, great with the kids. she's 
a credit to you.Read moreDate of stay: February 2020HelpfulShare</t>
  </si>
  <si>
    <t>Ashley W wrote a review Dec 2018Telford, United Kingdom17 contributions14 
helpful votes</t>
  </si>
  <si>
    <t>Jilly41 wrote a review Feb 2020La Manga15 contributions</t>
  </si>
  <si>
    <t>UnderstaffedVisited on Sunday and stayed for 2 nights. We arrived just before 3pm to 
check in. To my amazement there was 1 person checking people in and a queue 
with no less that 50 people stood waiting to be checked in. It took 20 
minutes to get checked in and we were pretty close to the front so I feel 
for the people toward the back of the queue. The following day we went down 
to the bar as there is a 2 drinks for £8 offer at a certain time of day. 20 
minutes later and being the only people stood waiting someone came from the 
reception desk to serve us. For the price we paid the rooms were good, if 
staff had been more polite and attentive I’d have given the five stars.Read 
moreDate of stay: December 2018HelpfulShareResponse from TravelodgeUK, Shaf 
from the Social Media Team. at Travelodge London Kings Cross Royal 
ScotResponded 20 Dec 2018Thank you for reviewing our London Kings Cross 
Royal Scot Travelodge. We're really sorry to learn the general service on 
your stay was not up to standards and we do apologise for this. Feedback is 
invaluable and our Hotel Managers regularly review their TripAdvisor 
reviews in order to fix any issues raised and pass on feedback to their 
team. Thank you once again and we do hope you will stay with us in the 
future.Read more</t>
  </si>
  <si>
    <t>ExcellentSpacious room, impeccably clean, quiet, good size shower, very comfortable 
bed and pillows. Easy access from airport on shuttle. Tea and coffee 
facilities in room including hot chocolate and, nice touch, kit-kat bars. 
Will stay again.Read moreReview collected in partnership with 
TravelodgeDate of stay: February 2020HelpfulShare</t>
  </si>
  <si>
    <t>Chris B wrote a review Dec 2018Sheffield, United Kingdom161 contributions78 
helpful votes</t>
  </si>
  <si>
    <t>Pamela W wrote a review Feb 2020Bela Bela2 contributions</t>
  </si>
  <si>
    <t>Great Service, CLean rooms, Great locationWe had great service when we arrived at 08:30pm with two sleeping children. 
Juan(not sure if correct spelling) greeted us at reception. Because of our 
sleeping children he helped carry our bags to the room. He also then asked 
if he could book us a taxi to airport for the next day. He then also 
arranged two glasses of warm milk for us to give to our children. Rooms 
were fresh clean and great value for money. I highly recommend travelodge 
Gatwick if you need an overnight stay near airport.Read moreReview 
collected in partnership with this hotelDate of stay: February 
2020HelpfulShare</t>
  </si>
  <si>
    <t>Tired, damp roomsA hotel with a lovely bright reception. My bedroom, located nominally in 
the second floor, but down a long corridor and then down a floor or two so 
that it was actually beneath street level was damp, had wallpaper peeling 
of the wall, damp carpet The radiator hanging so lucky as to wake me up 
throughout the night. Traffic and train noise was irritating I was offered 
a free breakfast or credit note. In refusing this I have been promised a 
refund - interested to see whether the company are true to their word.Read 
moreReview collected in partnership with TravelodgeDate of stay: December 
2018HelpfulShareResponse from TravelodgeUK, Shaf from the Social Media 
Team. at Travelodge London Kings Cross Royal ScotResponded 20 Dec 2018Thank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</si>
  <si>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Wanderer14596166382 wrote a review Dec 20181 contribution</t>
  </si>
  <si>
    <t>Sorayasky wrote a review Feb 2020Portglenone, United Kingdom35 
contributions7 helpful votes</t>
  </si>
  <si>
    <t>Cosy and confortableWe checked in after storm Dennis made us miss our flight to Mexico and had 
to wait till our flight was rescheduled. Room was clean and tidy and bed 
extremely comfortable. We had great nights sleep every night. Despite its 
size hotel was quite quiet so no interruptions from other guests. Breakfast 
was buffet and very filling. Dinner was reasonable priced at £14.99 for 2 
courses of a good choice menu. Recptionists are very helpful and printed 
our new boarding passes and form With no issue. Would stay here again.Read 
moreDate of stay: February 2020HelpfulShare</t>
  </si>
  <si>
    <t>poor reception servicehotel location is good but its so busy and staff never there it takes so 
long to check in bath tub had other peoples hair still in there. reception 
staff busy dealing with luggage storing for leaving customers.Read 
moreReview collected in partnership with TravelodgeDate of stay: December 
2018HelpfulShareResponse from TravelodgeUK, Molly from the Social Media 
Team at Travelodge London Kings Cross Royal ScotResponded 19 Dec 2018Thank 
you for your review. We're pleased to hear that your stay was enhanced by 
the location of the Hotel. However, we apologise that you were unable to 
locate Team members. We hope to demonstrate a high standard of genuine 
customer care to all of our guests upon their arrival at the Hotel and 
throughout their stay, and we apologise if this was not displayed. We also 
hope to consistently provide a high standard of cleanliness within our 
rooms and bathrooms, and we're sorry to note that this was not displayed 
during your stay. We will certainly address this with the Hotel Team to 
reiterate the importance of attention to detail when servicing the rooms. 
Thank you again for your feedback, we hope to welcome you back to stay with 
us again in the near future.Read more</t>
  </si>
  <si>
    <t>https://www.tripadvisor.co.uk/Hotel_Review-g191265-d229508-Reviews-or60-Travelodge_Gatwick_Airport_Central-Horley_Surrey_England.html#REVIEWS</t>
  </si>
  <si>
    <t>https://www.tripadvisor.co.uk/Hotel_Review-g186338-d243667-Reviews-or1605-Travelodge_London_Kings_Cross_Royal_Scot-London_England.html#REVIEWS</t>
  </si>
  <si>
    <t>Relax23660855279 wrote a review Dec 20185 contributions1 helpful vote</t>
  </si>
  <si>
    <t>Very good value for moneyHad an amazing weekend away.sight seeing..theatre..cruise..shopping..and 
staying in The Royal Scott made our weekend perfect.we will definitely stay 
here again.great rooms.great food.comfertable rooms.ideal situation.Read 
moreReview collected in partnership with TravelodgeDate of stay: December 
2018HelpfulShare</t>
  </si>
  <si>
    <t>Sally T wrote a review Dec 2018Staffordshire, United Kingdom2 
contributions1 helpful vote</t>
  </si>
  <si>
    <t>Gazza87 wrote a review Feb 2020Santa Cruz de la Palma, Spain290 
contributions242 helpful votes</t>
  </si>
  <si>
    <t>Great price, clean and tidy, pleasant stayStaff are very polite, rooms are clean and warm, great location not far 
from kingscross tube station. Breakfast was really nice, plenty of choice. 
Perfect stopover for a night out, would definitely recommendRead moreReview 
collected in partnership with TravelodgeDate of stay: December 
2018HelpfulShare</t>
  </si>
  <si>
    <t>Excellent Overnight Before of after a flight.Staff very friendly. Pleasant tasting food in the restaurant and not too 
expensive. Beds so very comfortable. Room well furnished. All top marks. 
Normally stay at Premier Inn Gatwick North but personally this is half the 
price and a 2 minute cab journey to the terminal and it's only 6 pounds 
where the shuttle is 4 and even with the transportation cost it's still a 
great price to stay here. Top marks. Well done TravelodgeRead moreDate of 
stay: February 2020HelpfulShare</t>
  </si>
  <si>
    <t>LKonya82 wrote a review Dec 2018Middlesbrough, United Kingdom13 
contributions7 helpful votes</t>
  </si>
  <si>
    <t>Very badly run, noisy hotelMy husband lives and works in London and I had come to visit. We are stayed 
in hotels across London and expect a standard from Travellodge that this 
hotel falls very short of. Rooms are drab, worn out and need refitting. 
Staff at reception are slow and not helpful. We put the please clean the 
room sign on our door and came back to a still messy room and one of the 
cleaners had replaced our sign with the do not disturb sign so they had 
been in the room just to swap the sign so we had no clean towels etc. The 
hotel needs a lot of money spent and new management and staff as it's 
really letting the Travellodge name down!! Won't stay here again and don't 
recommend anyone else does!Read moreDate of stay: December 
2018HelpfulShareResponse from TravelodgeUK, Tilly from The Social Media 
Team at Travelodge London Kings Cross Royal ScotResponded 13 Jan 2019Thank 
you for submitting your review of our London Kings Cross Royal Scot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</si>
  <si>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David P wrote a review Dec 2018Barnsley, United Kingdom17 contributions4 
helpful votes</t>
  </si>
  <si>
    <t>https://www.tripadvisor.co.uk/Hotel_Review-g191265-d229508-Reviews-or65-Travelodge_Gatwick_Airport_Central-Horley_Surrey_England.html#REVIEWS</t>
  </si>
  <si>
    <t>A confortable place to stay close to the heart of LondonVery convenient for Kings+ or St Pancras 5/10 mins walk. 15/20 mins walk to 
Covent Garden, 30 mins Leicester Square. Often quicker than going by 
tube.Just the place for a couple of nights stay in London.Read moreReview 
collected in partnership with TravelodgeDate of stay: December 
2018HelpfulShare</t>
  </si>
  <si>
    <t>Wadeyboots@btinternet.com wrote a review Dec 2018Petersfield, United 
Kingdom4 contributions</t>
  </si>
  <si>
    <t>Bxlcanuk wrote a review Feb 2020Tazacorte, Spain81 contributions76 helpful 
votes</t>
  </si>
  <si>
    <t>Inexpensive and pleasant hotel close to Gatwick airportI paid under £30 for a single room. Room was spacious, clean, comfortable 
bed, good shower, WiFi and tv worked well, bus to Gatwick airport costs £4 
and runs every 15 mins. Excellent place to stay if you have an early 
morning departure from Gatwick airport.Read moreReview collected in 
partnership with this hotelDate of stay: February 20201 Helpful 
voteHelpfulShare</t>
  </si>
  <si>
    <t>DisgustingBooked this knowing travelodge have a good reputation, This is WORST ever 
we have stayed in. On returning to our room after a very long tiring day. 
Went to make a hot drink and all milk sachets were dry from mould obviously 
been in there months and when you slept in bed nearest wall strong stench 
of damp. I went to reception to complain about milk and was told she would 
log it and then asked ME to discared the contents. Next morning again 
complained but was told it was the suppier. Im sorry this is a basic thing 
which should have been checked and Im disgusted and felt sick at the 
thought, We were offered a free breakfast but we had a train to catch I 
have asked that this be looked into and some form of compensation I await 
to hear if not will be tempted to take this further as…Read moreDate of 
stay: December 2018HelpfulShareResponse from TravelodgeUK, Tilly from The 
Social Media Team at Travelodge London Kings Cross Royal ScotResponded 13 
Jan 2019Thank you for taking the time to write a review with regards to our 
London Kings Cross Royal Scot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</si>
  <si>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brian s wrote a review Feb 2020Province of Rome, Italy1 contribution1 
helpful vote</t>
  </si>
  <si>
    <t>https://www.tripadvisor.co.uk/Hotel_Review-g186338-d243667-Reviews-or1610-Travelodge_London_Kings_Cross_Royal_Scot-London_England.html#REVIEWS</t>
  </si>
  <si>
    <t>amal breakfast chefAmazing chef,hard working,nothing is too much trouble for her,Brilliant,she 
helps out with all aspects of the job and i will definitely be visiting 
again in the near future.Well done small,excellent chef.��Read moreDate of 
stay: February 20201 Helpful voteHelpfulShare</t>
  </si>
  <si>
    <t>Mark wrote a review Feb 2020Manchester, United Kingdom1 contribution1 
helpful vote</t>
  </si>
  <si>
    <t>Excellent serviceNice stay. Clean hotel. Bar staff amazing. Lucy looked after us very well! 
Highly recommend before a holiday away!! Managed to lock myself out of my 
room 45 seconds after getting in and they were more than helpful I’m 
getting me sorted.Read moreDate of stay: February 20201 Helpful 
voteHelpfulShare</t>
  </si>
  <si>
    <t>Chris S wrote a review Dec 2018Romford, United Kingdom95 contributions22 
helpful votes</t>
  </si>
  <si>
    <t>Very noisy, slow service but nice hotel.The hotel room was very nice. The only problem was that the room was really 
hot and we were on the front of the building so when we opened the window 
it was really noisy. There was noise throughout the night in the building 
too. When at the bar we had to wait for ages for a drink, often with no one 
behind the bar- we could see lots of staff standing in the office, but no 
one was in a rush to serve us!Read moreDate of stay: December 
2018HelpfulShareResponse from TravelodgeUK, Tilly from The Social Media 
Team at Travelodge London Kings Cross Royal ScotResponded 15 Jan 2019We 
appreciate the time you have taken to review our London Kings Cross Royal 
Scot hotel. We are really sorry to hear that the room temperature and noise 
spoiled your stay with us. We strive to make our customers as comfortable 
as possible and we would like to apologise if on this occasion we were not 
able to offer you a good night's sleep. Thanks again, we will continue to 
find new ways to improve the service we offer and hope to welcome you back 
to one of our hotels in the future.Read more</t>
  </si>
  <si>
    <t>https://www.tripadvisor.co.uk/Hotel_Review-g191265-d229508-Reviews-or70-Travelodge_Gatwick_Airport_Central-Horley_Surrey_England.html#REVIEWS</t>
  </si>
  <si>
    <t>gillian p wrote a review Dec 2018Manchester, United Kingdom600 
contributions179 helpful votes</t>
  </si>
  <si>
    <t>capriceh98 wrote a review Feb 2020Basingstoke, United Kingdom1 
contribution1 helpful vote</t>
  </si>
  <si>
    <t>Pretty decentNear airport with shuttles outside running regularly however they only take 
cash so just a warning. Rooms are big and comfortable, there isn't really 
any shops nearby if you don't drive. Great value for money.Read moreDate of 
stay: February 20201 Helpful voteHelpfulShare</t>
  </si>
  <si>
    <t>SassySaff wrote a review Feb 2020Bristol, United Kingdom8 contributions1 
helpful vote</t>
  </si>
  <si>
    <t>This experience was not the normal Travelodge standard, I will never stay 
here again.Arrived late, due to travelling. On the surface, the receptionist area was 
busy, and pleasant looking. This is where our experience ended. On walking 
to our room, we could see the hotel was very tired looking, however, on 
entering our room, we were over faced with a strong unpleasant smell? We 
were so tired, we decided not to say anything. The next morning, we could 
fully see the extent of where we were staying. The quality and standard of 
this room is seriously lacking. The veneer on the door was so stripped, and 
not maintained. The bathroom looked very grimy, and needs changed, I can’t 
remember ever seeing floor tiles like that?.. it didn’t look very clean 
either......it looked like someone had just wiped a cloth over the sink and 
bath...awful. I felt so uncomfortable staying…Read moreDate of stay: 
December 2018HelpfulShareResponse from TravelodgeUK, Tilly from The Social 
Media Team at Travelodge London Kings Cross Royal ScotResponded 13 Jan 
2019Thank you for taking the time to review our London Kings Cross Royal 
Scot hotel.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</si>
  <si>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Fearless14922636469 wrote a review Dec 20181 contribution</t>
  </si>
  <si>
    <t>last minute booking due to cancelled flightthe room was adequate - too hot and we were locked out of the aircon 
controls only there for 5 hours so was exactly what we needed a bed and 
shower the bed was comfortable and room clean we had a family room and if 
we had 2 children in the room it would have been very crampedRead 
moreReview collected in partnership with TravelodgeDate of stay: February 
20201 Helpful voteHelpfulShare</t>
  </si>
  <si>
    <t>Ann G wrote a review Feb 2020Hampshire, United Kingdom16 contributions2 
helpful votes</t>
  </si>
  <si>
    <t>terrible nightNoise at 3.30 from partying guests, Luke warm breakfast, smelly room 
leaking shower tray, bar no staffed all, the time say no more had a bad 
experience last time I stayed here couldn't believe it could happen 
again.Read moreReview collected in partnership with TravelodgeDate of stay: 
December 2018HelpfulShareResponse from TravelodgeUK, Tilly from The Social 
Media Team at Travelodge London Kings Cross Royal ScotResponded 13 Jan 
2019Thank you for taking the time to review our London Kings Cross Royal 
Scot hotel.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</si>
  <si>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magda_hau wrote a review Dec 2018Suceava150 contributions1 helpful vote</t>
  </si>
  <si>
    <t>Excellent and convenient location for North Terminal GatwickHaving used this hotel many times prior to flying out from Gatwick I have 
found it extremely convenient and there have been noticeable improvements 
over the past few years. The rooms are spacious and clean. The beds 
comfortable. The restaurant is serviceable with plenty of choice and 
special meal deals on offer. The staff have always been courteous and 
helpful. The big problem is the cost of the car park. I know that this is 
not necessarily under Travelodge control but there is no other choice but 
to use it for the overnight stay and at a cost of £16 for a 24 hour period 
I do believe this is a very high price for this facility - and it is listed 
as a facility by TravelodgeRead moreReview collected in partnership with 
this hotelDate of stay: February 20201 Helpful voteHelpfulShare</t>
  </si>
  <si>
    <t>Good location, comfortable roomVery satisfied about my stay. The room is big enough, the bathroom very 
little but it actually doesn't matter. Just one thing I didn't like: free 
wi fi available only 30 minutes. I don't remind staying the last years in 
any hotel without free Wi Fi .....Read moreReview collected in partnership 
with TravelodgeDate of stay: December 2018HelpfulShare</t>
  </si>
  <si>
    <t>SwindonTiny wrote a review Dec 2018Swindon97 contributions46 helpful votes</t>
  </si>
  <si>
    <t>Kismet wrote a review Feb 20206 contributions2 helpful votes</t>
  </si>
  <si>
    <t>Value for moneyAbout 10 minute walk from Kings Cross, rooms are compact and basic, and in 
need of some updating. You will not find a phone or a hair dryer, but I am 
sure reception will try to assist. Big thank you to Kerry at breakfast who 
made our stay so enjoyable, fighting against the odds to keep the customers 
happy - well done love.Read moreDate of stay: December 2018HelpfulShare</t>
  </si>
  <si>
    <t>https://www.tripadvisor.co.uk/Hotel_Review-g186338-d243667-Reviews-or1615-Travelodge_London_Kings_Cross_Royal_Scot-London_England.html#REVIEWS</t>
  </si>
  <si>
    <t>Awful experienceterrible terrible hotel, everything about it sucks it feels like an 
extortion racket, it was an awful experience, they charge you to check in 
early, to use the WIFI, and the food was awful - don't spend any money 
there. The parking costs about as much as a room. Its $17 for a terrible 
terrible hamburger that makes you long for Burger King. Coleslaw was 
terrible quality. $5 for the Wifi. $14 for the bus each way even though it 
takes for a like 4 minute ride - you can't walk this, because they don't 
allow for pedestrians in the UK. Staff were indifferent. It was a horrible 
experience, will not return ever, and now we plan to avoid travelling to 
Gatwick and to the UK in general.Read moreReview collected in partnership 
with TravelodgeDate of stay: February 20201 Helpful 
voteHelpfulShareResponse from TravelodgeUK, Hannah from The Social Media 
Team at Travelodge Gatwick Airport CentralResponded 20 Feb 2020Thank you 
for taking the time to share your experience with us. We offer our 
customers 30 minutes free WiFi per day within our hotels. Not all guest's 
require WiFi and due to being a budget brand, we are able to keep the price 
of our rooms as low as we can by offering extras such as WiFi for a small, 
additional price. We are sorry to learn of your disappointment with the 
food in our Bar Cafe. We hope to only serve food of good quality, cooked 
and presented to an acceptable, high standard. Where this is not the case, 
we would kindly advise raising this with the Team on site so that they can 
offer a resolution. However, We will certainly pass your comments on to the 
Management Team to ensure that we consistently provide good service within 
our Bar Cafes. If you wish to contact us directly so that we can discuss 
your experience further, please be aware that you can always contact our 
Customer Services team via our website. All customer feedback is valuable 
to us, so thank you again for your comments.Read more</t>
  </si>
  <si>
    <t>63Car0line63 wrote a review Dec 2018Coningsby, United Kingdom29 
contributions16 helpful votes</t>
  </si>
  <si>
    <t>Weekend breakHighly recommend this travel lodge central for sightseeing close to tube 
and King's Cross Station the staff are very friendly, it was clean and 
comfortable and breakfast was cooked well even though we had to wait to get 
a few items replenishedRead moreDate of stay: December 2018HelpfulShare</t>
  </si>
  <si>
    <t>https://www.tripadvisor.co.uk/Hotel_Review-g191265-d229508-Reviews-or75-Travelodge_Gatwick_Airport_Central-Horley_Surrey_England.html#REVIEWS</t>
  </si>
  <si>
    <t>Rick P wrote a review Dec 2018Liverpool, United Kingdom95 contributions56 
helpful votes</t>
  </si>
  <si>
    <t>James C wrote a review Feb 2020Northampton, United Kingdom71 
contributions34 helpful votes</t>
  </si>
  <si>
    <t>It was OK.Having read the reviews I was expecting the worst from this particular 
hotel. Someone else booked this hotel for me and it's not one I necessarily 
would have chosen. On the positive side, the staff were polite and friendly 
if essentially overworked. The room was clean enough. Breakfast was 
fine.Read moreDate of stay: December 2018HelpfulShareResponse from 
TravelodgeUK, Shaf from the Social Media Team. at Travelodge London Kings 
Cross Royal ScotResponded 17 Dec 2018Thank you for reviewing our London 
Kings Cross Royal Scot Travelodge. We're really pleased to hear you found 
the hotel team to be friendly and pleased to hear cleanliness was up to 
standards. Feedback is invaluable and our Hotel Managers regularly review 
their TripAdvisor reviews in order to fix any issues raised and pass on 
feedback to their team. Thank you once again and we do hope you will stay 
with us in the future.Read more</t>
  </si>
  <si>
    <t>Pre airport stopWe -myself,my partner &amp; my son -stayed here overnight before flying to 
Barcelona. This hotel was cheap &amp; reviewed well. How it has reviewed well 
is beyond me. I'll start with the room itself.... there was no soap in 
either dispensor in the room, had that of been all then I wouldn't be 
mentioning it. 2 of the 4 pillows had stains, as did both sets of bed 
sheets. The aircon unit ran like a backed up overflow all night with no way 
to turn it off. So no sleep for us. The one thing that did work was the 
wi-fi. On top of that we ordered food in the resturant that night, not so 
much a choice as a lack of options but nevermind. I wouldn't expected the 
food to be great or cheap. And it wasn't. It was servicable. My chicken 
burger wss fine but the serving of chips with it was laughably…Read 
moreDate of stay: February 20201 Helpful voteHelpfulShareResponse from 
TravelodgeUK, Zack from The Social Media Team at Travelodge Gatwick Airport 
CentralResponded 20 Feb 2020Thank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</si>
  <si>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Gavyn L wrote a review Feb 2020Cannock, United Kingdom3 contributions1 
helpful vote</t>
  </si>
  <si>
    <t>MrFeelGood wrote a review Dec 2018London, United Kingdom320 
contributions189 helpful votes</t>
  </si>
  <si>
    <t>Parking &amp; WifiI have stayed T this hotel every week for the last 4 months &amp; have to say 
All the staff are really nice,friendly &amp; very helpful just a couple of 
points which let it down. All the other travelodges I’ve stay in all do the 
same they want to charge you to use the WiFi which if you check the 
bandwidth of it it’s not worth paying for as the speed is far to slow to 
use for anything useful WiFi should come free like the majority of hotels 
are nowadays you can even go in a supermarket &amp; get free WiFi so there is 
no excuse also the Gatwick one is charging customers £16.00 a day to park 
on top of the price of rooms which works out rather expensive I know it’s 
close to the airport &amp; the land is owned by the airport but really !! The 
travelodge at Maidstone central has spaces for about 20…Read moreDate of 
stay: February 20201 Helpful voteHelpfulShare</t>
  </si>
  <si>
    <t>Jjenusan wrote a review Feb 20201 contribution</t>
  </si>
  <si>
    <t>Absolutely Filthy !!!!!!!!I‘m so Generous to rate it one star! This particular Travel Lodge is 
absolutely a dump! I think compare to other travel lodges I have been too, 
this one by mile is worst I have been too. Rape Drugs under the bed Rusty 
bathroom and mould everywhere Smell of piss It is a shame that a big 
company like this can’t afford to renovate or sort out their business.Read 
moreDate of stay: December 20184 Helpful votesHelpfulShareResponse from 
TravelodgeUK, Ben from the Social Media Team at Travelodge London Kings 
Cross Royal ScotResponded 12 Dec 2018Thank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</si>
  <si>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James S wrote a review Dec 2018Oxfordshire, United Kingdom2 contributions</t>
  </si>
  <si>
    <t>Service was amazing!!!The hospitality I received was beyond what I expected, came for a short 
stay with my partner. We was already under stress but the affection and 
care shown by Vinith was outstanding. Made us feel better and even offered 
us complimentary drinks on the house! Room was very clean and allowed us to 
have a pleasant stay on a quiet floor. Service was superb couldn’t 
recommend the level of service received by Vinith anywhere else. Will be 
back soon.Read moreDate of stay: January 2020HelpfulShare</t>
  </si>
  <si>
    <t>Andrew T wrote a review Feb 20205 contributions</t>
  </si>
  <si>
    <t>Not a place for a good bights sleepI have been staying here when in London on business several times over the 
past few months and so these comments are not based on just one experience. 
Pros It’s close to Kings Cross and St Pancras It’s cheap Cons The rooms 
don’t have air on so stifling in summer. Outside rooms have windows that 
let in the cold and noise from traffic. Even those at back of hotel are 
noisy. No phone or hairdryer in the rooms. Furniture is ghetto get a bit 
tatty. The Wi-fi is very poor and not worth paying for with very slow 
speeds and several rooms with no signal. Breakfast needs improving with 
more choice. Despite all the above the staff do there best and try to help. 
They did find me a quieter inside room at my last stay and from an earlier 
visit promised a free stay. Although I am…Read moreDate of stay: December 
2018HelpfulShareResponse from TravelodgeUK, Charley from the Social Media 
Team at Travelodge London Kings Cross Royal ScotResponded 7 Jan 2019Thank 
you for taking the time to review our London Kings Cross Royal Scot Hotel. 
We would like to apologise for the issues regarding the external noise and 
WiFi.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Your feedback has been noted and we thank you once 
again for reviewing our hotel. We do hope you will stay with us in the 
future.Read more</t>
  </si>
  <si>
    <t>overnight stay prior to flightThe Travelodge was excellent and as expected from previous stays. However, 
there was a £16 parking charge which was not obvious at the time of 
booking. Had we known this, we would have considered other options in the 
areaRead moreReview collected in partnership with TravelodgeDate of stay: 
February 2020HelpfulShareResponse from TravelodgeUK, Hannah from The Social 
Media Team at Travelodge Gatwick Airport CentralResponded 19 Feb 2020Thank 
you for taking the time to share your experience with us. We try to provide 
as much information as possible regarding the available parking facilities 
on the Hotel's booking page. Guests are also welcome to contact the Hotel 
directly prior to their arrival, and our Reception Teams will be more than 
happy to provide any further information or assistance regarding nearby car 
parks, number of spaces or whether it is possible to reserve spaces. 
However, we apologise for any inconvenience caused to you. We are always 
looking to improve the services we offer and we will pass your comments on 
to the relevant team. Thank you again for your review.Read more</t>
  </si>
  <si>
    <t>https://www.tripadvisor.co.uk/Hotel_Review-g186338-d243667-Reviews-or1620-Travelodge_London_Kings_Cross_Royal_Scot-London_England.html#REVIEWS</t>
  </si>
  <si>
    <t>https://www.tripadvisor.co.uk/Hotel_Review-g191265-d229508-Reviews-or80-Travelodge_Gatwick_Airport_Central-Horley_Surrey_England.html#REVIEWS</t>
  </si>
  <si>
    <t>AMH1969 wrote a review Dec 2018Torquay, United Kingdom88 contributions32 
helpful votes</t>
  </si>
  <si>
    <t>Adrian Loveridge wrote a review Feb 2020Christ Church Parish, Barbados1,238 
contributions27 helpful votes</t>
  </si>
  <si>
    <t>Sunday 2nd DecemberHaving traveled from Torquay by train and black cab from Paddington, it was 
nice to be checked in fast, room 674, big room and big bathroom. Went down 
to meet rest of our group and had a few drinks. The girls behind the bar, 
Milly &amp; Jorgeh were great and enjoyed a few giggles with us. Nice start to 
our holiday.Read moreDate of stay: December 2018HelpfulShare</t>
  </si>
  <si>
    <t>Coldest hotel room in nearly 70 yearsOn arrival thermostat could not be adjusted after several attempts and room 
was very cold. A small static electric heater had been placed in the room 
but inadequate to heat the room. Put on a jumper and climbed into bed to 
keep warm.Read moreReview collected in partnership with TravelodgeDate of 
stay: February 2020HelpfulShareResponse from TravelodgeUK, Hannah from The 
Social Media Team at Travelodge Gatwick Airport CentralResponded 19 Feb 
2020Thank you for taking the time to share your experience with us. We are 
sorry to learn you found your room too cold during your stay. We hope to 
provide a pleasant and homely environment and have taken measures to ensure 
this during the winter months, however we are sorry for any discomfort 
caused. We hope you will chose to stay with us in the future, where we will 
endeavour to restore your faith in Travelodge.Read more</t>
  </si>
  <si>
    <t>Isabel M wrote a review Feb 2020Glasgow, United Kingdom3 contributions</t>
  </si>
  <si>
    <t>GoPlaces57003298959 wrote a review Dec 20181 contribution</t>
  </si>
  <si>
    <t>Excellent stay, great staffWe just stayed overnight at this hotel en route to a family holiday. 
Absolutely no complaints, the staff were all enthusiastic, helpful and 
friendly while the room was clean, comfortable and quiet. We both got an 
excellent night's sleep.The shuttle bus can be a bit difficult to navigate 
to if you arrive late at night (after a delay) as we did. A staff member 
pointed out as we were heading back to the terminal that they can pre-book 
a taxi (£6) for cheaper than the shuttle (£4 cash each way) which was 
fantastic and I would recommend getting their help to do both directions if 
possible.Read moreDate of stay: February 2020HelpfulShare</t>
  </si>
  <si>
    <t>Good value for money, no complaintsI stayed for one night on business. I didn't choose breakfast or dinner 
because it's close to good restaurants. If you want peace and quiet it's 
not a great location, but it wasn't a problem for me. Basic room but 
spotless. En suite bathroom was also clean and the shower was perfect. The 
bed was firm but comfortable. The room was a bit cold at first, with the 
window open and heating off. But it soon warmed up once the heating was on. 
24 hour wifi was affordable. I would stay again.Read moreReview collected 
in partnership with TravelodgeDate of stay: December 2018HelpfulShare</t>
  </si>
  <si>
    <t>DrPixel wrote a review Dec 2018Durham, United Kingdom46 contributions21 
helpful votes</t>
  </si>
  <si>
    <t>JA90210 wrote a review Feb 2020Berlin, Germany1 contribution</t>
  </si>
  <si>
    <t>MIXED BAGSo my company booked me in here for 1 night Tuesday 4th December. I checked 
the reviews on here and they seemed to tie in with the views of other 
colleagues who had stayed here - very average. So, my experience based on a 
one night stay as follows: The good: about 5-10 mins walk from Kings Cross. 
The room on the 4th floor looked recently refurbished, it was relatively 
clean and warm. Small TV on the wall worked well (unlike in other hotels 
where I’ve had to re-tune or ring reception as it was “dead”) Whilst the 
staff weren’t enthusiastic, they were polite and friendly. Breakfast was 
just about ok. Most of it was pretty tasteless. but the coffee was good. 
The bad: toilet hadn’t been cleaned properly..still “traces” of the 
previous occupant which was pretty off putting. No soap…Read moreDate of 
stay: December 2018HelpfulShareResponse from TravelodgeUK, Charley from the 
Social Media Team at Travelodge London Kings Cross Royal ScotResponded 10 
Dec 2018Thank you for taking the time to review our London Kings Cross 
Royal Scot hotel. We are sorry to hear that your experience was spoiled in 
particular by the cleanliness of the room and the rooms general set up. We 
are also sorry to hear of your disappointment regarding the service 
received during your stay. On the other hand we are pleased to hear that 
you enjoyed the location of the hotel for your needs. We have passed on 
your comments and they will help us improve, in the meantime we would hope 
to welcome you again in the future and give us the opportunity to offer a 
fully enjoyable stay.Read more</t>
  </si>
  <si>
    <t>Affordable but loud!The motel is decently priced and is close to Gatwick, but it was very loud 
at night. Despite being informed that I was in a quiet area of the motel, a 
door slammed shut all throughout the night from guests coming and 
going.Read moreReview collected in partnership with TravelodgeDate of stay: 
February 2020HelpfulShareResponse from TravelodgeUK, James from the Social 
Media Team at Travelodge Gatwick Airport CentralResponded 18 Feb 2020Thank 
you for reviewing our Travelodge Gatwick Airport Central Hotel. We're happy 
to hear you were pleased with the location of the hotel but we're very 
sorry to hear of the internal noise experienced during your stay. Please 
rest assured the hotel managers check Tripadvisor reviews of their hotels 
so your comments will be reviewed by the hotel's team. Thank you again for 
leaving this review and we do hope that you choose to stay with us again in 
the future.Read more</t>
  </si>
  <si>
    <t>Paul C wrote a review Dec 20181 contribution</t>
  </si>
  <si>
    <t>mary m wrote a review Feb 2020Cranleigh, United Kingdom234 contributions179 
helpful votes</t>
  </si>
  <si>
    <t>does what it says on the packetno more or no less than you would expect for the money, staff extremely 
friendly and helpful, food was adequate, room was clean and provided 
everything you could need before travelling.the shuttle bus to terminal was 
very efficient.Read moreDate of stay: February 2020HelpfulShare</t>
  </si>
  <si>
    <t>Great Base for Exploring LondonExcellent value for money. Not many frills but it does have a 24-hour bar 
tended by very friendly staff. The prepaid breakfast plan gives you an 
unlimited full English breakfast, a good bargain in an otherwise expensive 
city.Read moreReview collected in partnership with TravelodgeDate of stay: 
November 2018HelpfulShare</t>
  </si>
  <si>
    <t>https://www.tripadvisor.co.uk/Hotel_Review-g191265-d229508-Reviews-or85-Travelodge_Gatwick_Airport_Central-Horley_Surrey_England.html#REVIEWS</t>
  </si>
  <si>
    <t>https://www.tripadvisor.co.uk/Hotel_Review-g186338-d243667-Reviews-or1625-Travelodge_London_Kings_Cross_Royal_Scot-London_England.html#REVIEWS</t>
  </si>
  <si>
    <t>https://www.tripadvisor.co.uk/Hotel_Review-g186338-d1812157-Reviews-or640</t>
  </si>
  <si>
    <t>William M wrote a review Feb 2020Crawley, United Kingdom1 contribution</t>
  </si>
  <si>
    <t>659jeanettey wrote a review Dec 20181 contribution</t>
  </si>
  <si>
    <t>Great spotWas put here for two nights after flight cancellations with easy jet. So 
was not happy upon arrival. The hotel itself, and the bedrooms in 
particular, were extremely clean, and well decorated. So it’s obviously 
well kept by the staff who currently run it. The staff were really friendly 
and welcoming. And dealt with the cancellations, which easy jet had dumped 
on them, with a calm and collected attitude. Jez and the rest of the team 
at the front desk working over the weekend are an invaluable asset.Read 
moreDate of stay: February 2020HelpfulShare</t>
  </si>
  <si>
    <t>Liz Marsh wrote a review Feb 20201 contribution</t>
  </si>
  <si>
    <t>you get what you pay forStayed in the Travel Lodge Kings Cross Royal Scot as it appeared to be a 
modern clean hotel near the venue I was attending for a music event. 
Thought I was getting a good offer for a hotel on a Sunday night (usually a 
little cheaper than other nights anyway), paid in advance for the best 
price. And I got what I paid for, Foyer and Bar of Hotel protrays a modern 
bright clean hotel. Rooms are antiquated, worn and dirty. Only consolation 
was the beds were clean and comfy, if a little narrow for anyone of a not 
slim build. Bathroom was ancient and in need of a good thorough clean. 
Carpets work and badly marked, wardrobes ancient, basic old worn table as a 
desk in the room, no drawers, one plastic chair (in a twin room), tiny 
television in corner of room. Walls marked and…Read moreReview collected in 
partnership with TravelodgeDate of stay: December 2018HelpfulShareResponse 
from TravelodgeUK, Tilly from The Social Media Team at Travelodge London 
Kings Cross Royal ScotResponded 23 Dec 2018Thank you for taking the time to 
review our London Kings Cross Royal Scot hotel.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</si>
  <si>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Kim wrote a review Dec 2018Romainville, France2 contributions</t>
  </si>
  <si>
    <t>Gatwick TravelodgeWe spent last night in very pleasant bar restaurant surroundings in the 
Gatwick Travelodge. We cannot reccomened it highly enough. Extreemly 
helpful, personable staff in every department. Spotlessly clean, very 
comfortable bed. Quiet throughout the night. Fantastic value for money 
breakfast.Read moreDate of stay: February 2020HelpfulShare</t>
  </si>
  <si>
    <t>Zoejaynexo wrote a review Feb 2020Southampton, United Kingdom25 
contributions25 helpful votes</t>
  </si>
  <si>
    <t>BedbugsI spend a horrible night in a room with bedbugs ! During the night I got 
several bites, thinking first it was a mosquito. But after having looked 
over and over in the bed what it could be, I saw a bedbug crawling over it 
! I first didn't know what kind of animal it was, but googeling for 
pictures I could clearly identify it as a bedbug ! I had badly swollen 
fingers from the bites for 3 days. The hotel management said they would 
take care of this problem in this particular room... I still won't go 
anywhere near this hotel again !Read moreDate of stay: November 
2018HelpfulShareResponse from TravelodgeUK, Shaf from the Social Media 
Team. at Travelodge London Kings Cross Royal ScotResponded 5 Dec 2018Thank 
you for reviewing our London Kings Cross Royal Scot Travelodge. We're 
really concerned to hear this and are aware you have already contacted our 
Customer Service team regarding this. Once we have had the third party pest 
team check the room there will be a detailed report of the findings which 
you will recieve upon request. Thank you again for reviewing our hotel.Read 
more</t>
  </si>
  <si>
    <t>Hotel before a morning flightThe hotel is literally 2/4 minutes away from Gatwick North Terminal and is 
so easily convenient to get to with the airport transfer buses. The staff 
at the hotel are superb and its extremely clean. Outside can sometimes be a 
little loud but I think that depends where in the hotel you are as we've 
stayed before in a different area and it was so quiet! You can get some 
loud guests but overall it's a decent hotel, especially for the price and 
if it's just a stop over.Read moreDate of stay: February 20201 Helpful 
voteHelpfulShare</t>
  </si>
  <si>
    <t>Jackie A wrote a review Dec 2018London, United Kingdom3 contributions1 
helpful vote</t>
  </si>
  <si>
    <t>James F wrote a review Feb 2020United Kingdom1 contribution</t>
  </si>
  <si>
    <t>Excellent service at the restaurantVinith was very helpful and provided a very good service, when I made an 
error with the order. The meal was good and the service quick and 
attentive. I would recommend the restaurant and will use it next time I 
visit.Read moreDate of stay: February 2020HelpfulShare</t>
  </si>
  <si>
    <t>Ill fittimg windows made room too noisyThis really was a big letdown after staying at the lovely Travelodge 
Liverpool Street. Very disappointed. I could not close window so noise 
unbelievable. Old tired room. Wardrobe panel had had liquid spilt on it so 
looked shoddy. Looked forward to my hot shower. Shame the shampoo/gel had 
been watered down to such an extent that it was just....water. Staff looked 
over worked as the hotel is HUGE with endless corridors. Restaurant staff 
very smily but food was just warm and parts badly cooked. In a good 
position. Glad I only stayed one night.Read moreReview collected in 
partnership with TravelodgeDate of stay: December 2018HelpfulShareResponse 
from TravelodgeUK, Molly from the Social Media Team at Travelodge London 
Kings Cross Royal ScotResponded 5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</si>
  <si>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https://www.tripadvisor.co.uk/Hotel_Review-g191265-d229508-Reviews-or90-Travelodge_Gatwick_Airport_Central-Horley_Surrey_England.html#REVIEWS</t>
  </si>
  <si>
    <t>Edward Cheesman wrote a review Dec 20184 contributions</t>
  </si>
  <si>
    <t>Sophieni209 wrote a review Feb 2020Exeter, United Kingdom66 contributions31 
helpful votes</t>
  </si>
  <si>
    <t>London Royal Scot TravelodgeBrilliant place- old fashioned, quality welcome, nice quiet location ( a 
great bonus in London) and full of charm, excellent breakfast and kind and 
friendly staff, and very good value for money - would recommend it 
highly.Read moreReview collected in partnership with TravelodgeDate of 
stay: December 2018HelpfulShare</t>
  </si>
  <si>
    <t>Close to Terminal but not close enough to walkI chose this hotel as I thought it was going to be closer to the airport. 
It still dictates a £4 bus ride from outside the terminal. Quite a steep 
price but when you compare it to the price of the other hotels it is 
actually pretty good value. The hotel has a lovely bar which serves food 
and reasonably priced drinks. The rooms are generic Travelodge style rooms 
and serve the purpose of 1 night stays well. There is coffee / tea 
facilities in each room, which is good for early departures. Buses leave 
every 15 minutes and go via the South Terminal to the North.Read moreDate 
of stay: February 2020HelpfulShare</t>
  </si>
  <si>
    <t>https://www.tripadvisor.co.uk/Hotel_Review-g186338-d243667-Reviews-or1630-Travelodge_London_Kings_Cross_Royal_Scot-London_England.html#REVIEWS</t>
  </si>
  <si>
    <t>CommanderE31 wrote a review Feb 2020Ashford, United Kingdom436 
contributions89 helpful votes</t>
  </si>
  <si>
    <t>maxi wrote a review Dec 2018Scotland, United Kingdom24 contributions9 
helpful votes</t>
  </si>
  <si>
    <t>Great stayWhat a great place to stay before flying out early morning. Bars been 
revamped with a more comfortable seating in bar. Much better than before, 
well worth a visit, will stay again. Here again soon, the food was average 
and drinks can be expensiveRead moreDate of stay: February 2020HelpfulShare</t>
  </si>
  <si>
    <t>SJ W wrote a review Feb 2020London, United Kingdom40 contributions7 helpful 
votes</t>
  </si>
  <si>
    <t>Try somewhere elseStayed on the 4th floor. The floor smells. The room very small. Bathroom 
very dated and shower strangley hurt when it was on. Brealfast was an ok 
price. But sausages and eggs were poor tasting. A friends key stopped 
working on the Sunday and they had one person on the desk and the que was 
out the door and along the street! Good location for the underground.Read 
moreDate of stay: November 2018HelpfulShareResponse from TravelodgeUK, 
Molly from the Social Media Team at Travelodge London Kings Cross Royal 
ScotResponded 5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</si>
  <si>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Veronica B wrote a review Dec 20186 contributions1 helpful vote</t>
  </si>
  <si>
    <t>Great location, shame about the hotel!I arrived at this hotel at 4pm on Monday 10th February, 2020. The check-in 
was quick and easy, but I was not impressed by the interior. Its my first 
time at a Travelodge but I am used to staying in Airport Hotels. My room 
was clean and spacious, but totally unusable. I My son is 6ft 5ins and 
weighs 300lbs (he's a football player), yet his feet hung off the kingsize 
bed when he laid down and I, at 6ft was too tall for the camp bed. The room 
has everthing but is basic and no frills! I complained to Reception who 
informs that a)the hotel is fully booked, b) all rooms have the same size 
beds c) the only way I can get a refund is if I go onto the Travelodge 
website and 'live chat'. Are you freaking kidding me!!! As instructed, I go 
onto the website to access the 'live chat'. …Read moreDate of stay: 
February 2020HelpfulShareResponse from TravelodgeUK, Zack from The Social 
Media Team at Travelodge Gatwick Airport CentralResponded 13 Feb 2020Thank 
you for taking the time to share your experience with us at our Gatwick 
Airport Central Travelodge. We are pleased to learn you were happy with the 
Hotels location, however please accept our apologies for the issues that 
impacted your stay. Your feedback is very important to us as it allow us to 
improve the service we offer. We really appreciate the time you have taken 
to write this review and we do hope you stay with us soon.Read more</t>
  </si>
  <si>
    <t>946mgh wrote a review Feb 20201 contribution</t>
  </si>
  <si>
    <t>Two stays to bookend a trip to BrugesThe first room we stayed in was great. Clean, modern, good value for money. 
The second was cold, dingy, dated, noisy and musky. The sheets smelt, we 
had a towel with a brown stain and the radiator made a clunking noise all 
night but didn’t warm the room. There was noise in the corridor every time 
someone came up the stairs which made our door shake and bang. Very 
annoying. When we advised the staff in the morning they didn’t seem to care 
but we paid the same ablmiunt for two very different stays which didn’t 
seem fair. Overall, not a bad stay but thedated rooms need updating 
drasticallyRead moreReview collected in partnership with this hotelDate of 
stay: November 2018HelpfulShareResponse from TravelodgeUK, Ben from the 
Social Media Team at Travelodge London Kings Cross Royal ScotResponded 5 
Feb 2019Thank you for taking the time to write a review about our London 
Kings Cross Royal Scot hotel. We are pleased to hear that the first room 
you were provided with was clean and of good value however we are sorry to 
learn that the second room you were given was cold, dated and noisy.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</si>
  <si>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Great StopoverEverything was well organised, clean and of good standard and good value. 
Location and transfer to airport were very convenient. Cooked food on site 
particularly welcome. Would be very happy to use again.Read moreReview 
collected in partnership with this hotelDate of stay: January 
2020HelpfulShare</t>
  </si>
  <si>
    <t>Jamster wrote a review Dec 20188 contributions</t>
  </si>
  <si>
    <t>ilya e wrote a review Feb 20202 contributions</t>
  </si>
  <si>
    <t>Awful placeOvernight for a conference, so booked by work. Receptionist initially 
ignored us, then hollowed for someone else to come out the back and 
proceeded to ignore the queue. Room allocated on 2nd floor. Incredibly 
small bathroom with nowhere to put anything. The door banged on the bath, 
just short of the toilet. Hand basin was nestled in a nook next to service 
void. Even this small, the cleaner managed to leave dirt and a bottle cap 
behind it. Room was very cold, end of November and all external windows 
were left open and the heater switched off. No instructions for the heater 
so it was pot luck. Bulbs blown in the room so no lamps working. The final 
insult was 2'6" single beds. Who sleeps in a 2'6"bed beyond the age of 8? 
Went out for dinner and on return…Read moreDate of stay: November 
2018HelpfulShareResponse from TravelodgeUK, Shaf from the Social Media Team 
at Travelodge London Kings Cross Royal ScotResponded 4 Dec 2018Thank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</si>
  <si>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Beware the cheap options.Although the hotel is very close to the North Terminal, if you want to get 
to it on foot you'd better have sturdy footwear (filthy, muddy puddles) and 
a hi-vis vest in your luggage (walking along the northbound A23 in the dark 
is not much fun). The alternative is a ripoff GBP4 each way transfer bus. 
Don't forget to make sure you have the right coins! In my room, the sink 
plug was in and could not be removed. An alternative room was not offered. 
I would be ok with this in a Youth Hostel, but in a business-style hotel I 
don't think this is acceptable. The bed was reasonably comfortable, but 
there was constant noise coming from the A23, and although I am not a light 
sleeper I found it quite difficult to sleep well (I was in the annexe, I 
don't know it the main building is…Read moreReview collected in partnership 
with TravelodgeDate of stay: February 2020HelpfulShareResponse from 
TravelodgeUK, Zack from The Social Media Team at Travelodge Gatwick Airport 
CentralResponded 13 Feb 2020Thank you for taking the time to share your 
experience with us. We are happy to learn you were pleased with the Hotels 
location, however we are sorry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</si>
  <si>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Carl H wrote a review Dec 201871 contributions18 helpful votes</t>
  </si>
  <si>
    <t>https://www.tripadvisor.co.uk/Hotel_Review-g191265-d229508-Reviews-or95-Travelodge_Gatwick_Airport_Central-Horley_Surrey_England.html#REVIEWS</t>
  </si>
  <si>
    <t>Don't believe all the bad reviewsWas apprehensive after reading some bad reviews. Arrived and check in was a 
little slow but there seemed to be staff missing. The room was spacious and 
clean with a small bathroom. The heating had been left on so it was 
sweltering but we opened the windows and turned heating off and it soon 
cooled down. The location was quiet overnight except the fire alarm going 
off. There was a sign apologising for this on reception in the morning. 
Breakfast was the usual Travelodge breakfast. Check out was quick. Overall 
the hotel was fine and location is great. I would stay againRead moreDate 
of stay: November 20181 Helpful voteHelpfulShareResponse from TravelodgeUK, 
Ben from the Social Media Team at Travelodge London Kings Cross Royal 
ScotResponded 5 Feb 2019Thank you for taking the time to write a review 
about our London Kings Cross Royal Scot hotel. We are pleased to hear that 
your room was clean and spacious and you liked the hotels location however 
we are sorry to learn of your disappointment with the delay on check in, 
the temperature of the room and that you were disturbed by a fire alarm. 
Feedback is invaluable and our Hotel Managers regularly review their 
TripAdvisor reviews in order to fix any issues raised and pass on feedback 
to their team. Thank you once again and we do hope you will stay with us in 
the future.Read more</t>
  </si>
  <si>
    <t>Kelly C wrote a review Feb 20201 contribution</t>
  </si>
  <si>
    <t>Reception staff amazingBright clean modern and good value but what made it was the amazing 
reception staff could not have done more or be more helpful a credit to 
your company. Special mention to : chris,emma and caroline .Read moreDate 
of stay: February 2020HelpfulShare</t>
  </si>
  <si>
    <t>Warwickmum wrote a review Feb 202015 contributions</t>
  </si>
  <si>
    <t>https://www.tripadvisor.co.uk/Hotel_Review-g186338-d243667-Reviews-or1635-Travelodge_London_Kings_Cross_Royal_Scot-London_England.html#REVIEWS</t>
  </si>
  <si>
    <t>Incredible value for moneyI wasn’t expecting much from this hotel room as it was so cheap and so 
close to the airport. But it was excellent. The young guy on reception was 
very friendly and efficient. My room was huge, the bed was so comfortable. 
Everything was spotlessly clean and the bathroom had a great selection of 
towels. The air conditioning was set at a sensible temperature so I didn’t 
get overly hot during the night. I had a great night sleep. The only things 
that could have been improved was the body/hair wash dispensers were empty 
and the TV remote didn’t work.Read moreDate of stay: February 
2020HelpfulShare</t>
  </si>
  <si>
    <t>Marianne B wrote a review Dec 20181 contribution</t>
  </si>
  <si>
    <t>Good rooms and very helpful staffI went to this hotel with my mother last week. She’s disabled (though not 
in a wheelchair) and I did not think it was relevant to mention it when I 
booked the room. We were given a room where we had to walk though the 
corridor and then go downstairs to have access to our room, which was far 
from convinient for my mother. I kindly asked the staff if it was possible 
to change our room, and Anabela, one staff member did her best to help us. 
We finally had another room, very nice room but the problem was that the 
door handle was a bit broken and we were locked inside the room until 
another very nice staff member (Whitney, if I remember correctly) helped us 
and showed us how to correctly open the door from inside the room. Apart 
from all of this, we had a pleasant stay and we were…Read moreDate of stay: 
November 2018HelpfulShareResponse from TravelodgeUK, Ben from the Social 
Media Team at Travelodge London Kings Cross Royal ScotResponded 5 Feb 
2019Thank you for taking the time to write a review about our London Kings 
Cross Royal Scot hotel. We are pleased to hear that you liked the hotels 
location and found the team to be helpful however we are sorry to learn of 
your disappointment with the location of the first room and problems with 
the door in the second. Feedback is invaluable and our Hotel Managers 
regularly review their TripAdvisor reviews in order to fix any issues 
raised and pass on feedback to their team. Thank you once again and we do 
hope you will stay with us in the future.Read more</t>
  </si>
  <si>
    <t>AldoEFC wrote a review Dec 20188 contributions5 helpful votes</t>
  </si>
  <si>
    <t>baptistet559 wrote a review Feb 2020Toulouse, France2 contributions</t>
  </si>
  <si>
    <t>Perfect location for a short stayI had to spend one night next to the Gatwick airport and Travelodge was 
perfect for a night. It was a good value for such a low price, nice room, 
very clean, comfortable bed and effectiv shower. ThanksRead moreReview 
collected in partnership with this hotelDate of stay: February 
2020HelpfulShare</t>
  </si>
  <si>
    <t>Don't waste your time / money.Rubbish place. Our "no smoking" room was smelly. Don't bother paying the 
advance fee for Wi-Fi ..... you have to go online &amp; enter the given 
password (standard practice for these GREEDY establishments that want you 
to pay for a service that most decent hotels provide for free) .... then 
after entering the password, you have to "jump through hoops" online, 
providing e-mail address &amp; password etc...... THEN there's still no 
connection. You can get a refund ... by calling an 0871 number, given by 
reception .. which costs MORE than your original Wi-Fi fee in the 1st place 
! AVOID THIS HOTEL !Read moreDate of stay: November 
2018HelpfulShareResponse from TravelodgeUK, Charley from the Social Media 
Team at Travelodge London Kings Cross Royal ScotResponded 3 Dec 2018Thank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</si>
  <si>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Sarah P wrote a review Dec 2018Mozambique Island, Mozambique36 
contributions19 helpful votes</t>
  </si>
  <si>
    <t>chepasbar wrote a review Feb 2020Canutells82 contributions44 helpful votes</t>
  </si>
  <si>
    <t>BreakfastVery disappointing all you can eat breakfast. Cold croissants very basic 
bread, a few dry pastries, babybel cheese and boxed cereals. Oh and a 
couple of yoghurt. Expensive room too at £155 excluding breakfast. Good 
location for St pancreas Euston and Kings Cross but that's it.Read moreDate 
of stay: December 2018HelpfulShareResponse from TravelodgeUK, Charley from 
the Social Media Team at Travelodge London Kings Cross Royal ScotResponded 
17 Dec 2018Many thanks for sharing your review at our London Kings Cross 
Royal Scot Travelodge with us. Please accept our apologies for your recent 
experience in our bar cafe. In such instances we would kindly suggest our 
guests make the hotel team aware. This would allow the team to discuss the 
matter raised with the kitchen team and enable them to offer a resolution. 
We understand on occasion this is not possible, please rest assured your 
feedback will be used to help us to avoid similar instances in the future. 
We thank you for your helpful comments and we do hope you stay with us 
again.Read more</t>
  </si>
  <si>
    <t>Missing the spotAs normal now the rooms are really good but do lack a few nice 
touches.......heating that actually worked for more than 15 minutes would 
be really good, I complained so many times it’s ridiculous. The room heats 
up then it goes cold so you have to turn on again, it’s a repetitive and 
not conducive to a good nights sleep. The breakfasts are truly horrible, 
£9.99 for cold food, the hash brown, sausages and scrambled eggs are 
tasteless, over cooked and hard......you could use to break windows. The 
bacon floppy tasteless. Oh my god the fruit juices, these taste like 
coloured water. There is nothing good about breakfast, it was a really an 
embarrassment as we had invited family to join us. We love Travelodge for 
the good value rooms but just because we like “cheap” rooms doesn’t…Read 
moreDate of stay: February 20201 Helpful voteHelpfulShareResponse from 
TravelodgeUK, James from the Social Media Team at Travelodge Gatwick 
Airport CentralResponded 12 Feb 2020Thank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</si>
  <si>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Derek T wrote a review Dec 201838 contributions20 helpful votes</t>
  </si>
  <si>
    <t>https://www.tripadvisor.co.uk/Hotel_Review-g191265-d229508-Reviews-or100-Travelodge_Gatwick_Airport_Central-Horley_Surrey_England.html#REVIEWS</t>
  </si>
  <si>
    <t>Better than expected!Yes, some of the bedroom and bathroom fittings are a little dated but the 
room was clean, tidy and a good size. The reception and restaurant areas 
have obviously been renovated. Enjoyed the breakfast and the staff were 
friendly. Whilst the hotel may be more "basic" than the bigger chains, it 
was definitely great value for money and would stay again and certainly 
recommend it.Read moreDate of stay: November 2018HelpfulShare</t>
  </si>
  <si>
    <t>Radostin G wrote a review Feb 2020Dublin, Ireland2 contributions5 helpful 
votes</t>
  </si>
  <si>
    <t>https://www.tripadvisor.co.uk/Hotel_Review-g186338-d243667-Reviews-or1640-Travelodge_London_Kings_Cross_Royal_Scot-London_England.html#REVIEWS</t>
  </si>
  <si>
    <t>Very pleasant stayHotel is just 5 min taxi ride from the North Terminal ( 6 pounds), 
exceptionally clean and really good value (30 pound for a double room). On 
the way back I used the shuttle (4 pounds) and it took around 10 min at 7AM 
to reach the South Terminal. Shuttle is running every 15 min 24/7. Hotel 
also offers all you can eat breakfast for 10 pounds running from 6AM to 
11AM. Kids eat free with one paying adult.Read moreReview collected in 
partnership with TravelodgeDate of stay: February 2020HelpfulShare</t>
  </si>
  <si>
    <t>Leigh B wrote a review Nov 2018Leeds, United Kingdom8 contributions9 
helpful votes</t>
  </si>
  <si>
    <t>rossseventyfour wrote a review Feb 20201 contribution</t>
  </si>
  <si>
    <t>Great!Stayed for 2 nights during our trip to London. Don't know what these bad 
reviews are all about! Our room was basic, but very clean. Had the bed made 
and fresh towels delivered on the second day. 24 hours bar - what more can 
I say?! Not cheap - but it's Central London... Breakfast was brilliant. 
Unlimited for £8.50. Good quality sausages and bacon. Lastly, thank you to 
Krishna and Millie on the bar for their excellent service!Read moreDate of 
stay: November 2018HelpfulShare</t>
  </si>
  <si>
    <t>Rip off parking and no heating£16 car parking was NOT MADE CLEAR (don't say it was when a bunch of other 
reviewers share my grievance). Heater didn't work so had to double over the 
duvet to get at least comfortable but still had an awful nights rest. After 
a long day and arriving at 3 in the morning this was not what I was wanting 
and I will be looking for alternatives in the future.Read moreReview 
collected in partnership with TravelodgeDate of stay: February 
2020HelpfulShareResponse from TravelodgeUK, Hannah from The Social Media 
Team at Travelodge Gatwick Airport CentralResponded 11 Feb 2020Thank you 
for taking the time to share your experience with us. We try to provide as 
much information as possible regarding the available parking facilities on 
the Hotel's booking page. Guests are also welcome to contact the Hotel 
directly prior to their arrival, and our Reception Teams will be more than 
happy to provide any further information or assistance regarding nearby car 
parks, number of spaces or whether it is possible to reserve spaces. 
However, we apologise for any inconvenience caused to you. We are sorry to 
learn you found your room too cold during your stay. We hope to provide a 
pleasant and homely environment and have taken measures to ensure this 
during the winter months, however we are sorry for any discomfort caused. 
If you wish to contact us directly so that we can discuss your experience 
further, please be aware that you can always contact our Customer Services 
team via our website. Thanks again for your feedback.Read more</t>
  </si>
  <si>
    <t>pandfelwood wrote a review Feb 20202 contributions</t>
  </si>
  <si>
    <t>Great HotelThe hotel was perfectly situated for the airport, less than 5 min drive to 
the airport by taxi, the taxi cheaper than the Shuttle Bus. Clean, 
comfortable room, hot shower and excellent buffet breakfast. Great 
value.Read moreReview collected in partnership with TravelodgeDate of stay: 
February 2020HelpfulShare</t>
  </si>
  <si>
    <t>chelseablueboy1 wrote a review Feb 2020Grimsby, United Kingdom2 
contributions2 helpful votes</t>
  </si>
  <si>
    <t>AJS-Lancashire wrote a review Nov 2018Chorley, United Kingdom174 
contributions28 helpful votes</t>
  </si>
  <si>
    <t>Mr Edward DonoghueStayed at Gatwick branch nice and cheap to start then after checking in it 
all started got there late in the day I parked in adjoining traveled get 
car park while the wife sorted the desk out £16 to park in their car park 
over night got to the bar £5.50 a pint for warm Guinness ordered 4 meals 
called fish and chips when they arrived sent them straight back absolute 
rubbish frozen munched up fish deep fried swapped for pizza never 
again,then after getting this months phone bill checked out one number for 
£3.50 it was travelogue had to phone because their site was down they 
should be wearing balaclavasRead moreDate of stay: January 2020HelpfulShare</t>
  </si>
  <si>
    <t>Needs Knocking Down.Stayed here because hotel prices in London were silly the night I needed 
to. I shouldn’t have bothered. Awful hotel that needs knocking down. Damp 
ceilings that are bulging, broken furniture, missing bits of plaster all 
over (Even in the lift areas let alone rooms), plug holes that don’t even 
have the filter bit. Carpets that mean I didn’t want to walk barefoot. 
There is dated, then there is falling apart. I’ve stayed in numerous 
Travel-lodges (I generally prefer premier inn) but this is a disgrace to 
the brand.Read moreDate of stay: November 2018HelpfulShareResponse from 
TravelodgeUK, Ben from the Social Media Team at Travelodge London Kings 
Cross Royal ScotResponded 9 Dec 2018Thank you for taking the time to write 
a review about our London Kings Cross Royal Scot hotel. We are sorry to 
learn of your disappointment with the room you were provided during your 
stay. This hotel is currently in the process of being upgraded to ensure we 
are able to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</si>
  <si>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https://www.tripadvisor.co.uk/Hotel_Review-g191265-d229508-Reviews-or105-Travelodge_Gatwick_Airport_Central-Horley_Surrey_England.html#REVIEWS</t>
  </si>
  <si>
    <t>Sydney_Alex wrote a review Feb 2020Sydney53 contributions24 helpful votes</t>
  </si>
  <si>
    <t>https://www.tripadvisor.co.uk/Hotel_Review-g186338-d243667-Reviews-or1645-Travelodge_London_Kings_Cross_Royal_Scot-London_England.html#REVIEWS</t>
  </si>
  <si>
    <t>Good airport hotel and great valueRefreshed two years ago this is now a VERY pleasant airport hotel. Great 
staff and clean, fresh amenities. Very good value. Breakfast buffet good 
value and nice range - free range eggs used! Had to return fish and chips 
fro refund - awful fish (the mashed dry grey generic fish in over-cooked 
batter - inedible! am already booked again.Read moreReview collected in 
partnership with TravelodgeDate of stay: February 2020HelpfulShare</t>
  </si>
  <si>
    <t>samantharH1466EI wrote a review Nov 2018sowerby8 contributions1 helpful vote</t>
  </si>
  <si>
    <t>Emily Anne wrote a review Feb 2020Veszprem, Hungary9 contributions</t>
  </si>
  <si>
    <t>Fine for a quick overnightAs I said it is fine for a quick overnight, not too noisy. The downside are 
the narrow beds, they feel narrower that a normal single and every time I 
have been there seems to be work on or bits sectioned off for work to be 
done. Having said that I have also been back several times so it is 
perfectly adequate for a budget option. And it's close to the British 
Museum and the stations.Read moreReview collected in partnership with this 
hotelDate of stay: November 2018HelpfulShare</t>
  </si>
  <si>
    <t>Andrew A wrote a review Nov 2018Leamington Spa, United Kingdom33 
contributions23 helpful votes</t>
  </si>
  <si>
    <t>The very kind staff returned an engagement ring to me in Canada!I stayed here in December before going home for Christmas, and everything 
was well.. until I noticed my small ruby ring was missing in the morning 
before leaving. It was pretty new and I wasn't used to wearing it, so I 
took it off in the night. I couldn't find it anywhere, and rushed to get to 
my flight crying and all. It didn't cost an arm and a leg, but it was 
important to me. I figured it was gone, that I dropped it somewhere, and 
someone might enjoy having it now. BUT, I received a letter in the mail in 
January, with my ring in it and a little note! It was found in the 
breakfast room and mailed to me in Canada. SO nice to have it back, I'm 
very appreciative of the kind staff who returned it to me. I will 
definitely stay here again!Read moreDate of stay: December 2019HelpfulShare</t>
  </si>
  <si>
    <t>Jane M wrote a review Feb 2020Bristol, United Kingdom20 contributions76 
helpful votes</t>
  </si>
  <si>
    <t>Bad even by Travelodge standardsdirty carpets, cold and improperly cooked food, dirty cutlery, largely 
indifferent staff, dusty dirty bathroom, could not possibly recommend. the 
only good thing was it was close to where I needed to be in London. End 
ofRead moreReview collected in partnership with TravelodgeDate of stay: 
November 2018HelpfulShareResponse from TravelodgeUK, Ben from the Social 
Media Team at Travelodge London Kings Cross Royal ScotResponded 3 Dec 
2018Thank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</si>
  <si>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Excellent stopoverGreat booking, staff, bedroom, bathroom and proximity to airport. Needed to 
stay due to travel from Bristol for an early morning flight so was very 
pleasantly surprised at the value for money of this hotel. Having used 
Megabus from Bristol for £9.70 (so no parking fees) and £30 for an 
overnight stay (I ate breakfast in the lounge due to early hour) I will use 
this arrangement again. The best thing was the temperature of the room, at 
last staff realise we don't need to be in a green house, the 'Quiet Floor' 
and delightfully hoppy beer despite the £6 .price tag. Well done 
TravelodgeRead moreDate of stay: January 2020HelpfulShare</t>
  </si>
  <si>
    <t>BoardingPass67706 wrote a review Nov 201824 contributions6 helpful votes</t>
  </si>
  <si>
    <t>Break awayWe had a wonderful stay rooms where very clean and tidy, comfortable beds. 
The staff where amazing helpful friendly, nothing to much trouble highly 
recommended to stay here good food ��. Would stay there again any time.Read 
moreDate of stay: November 2018HelpfulShare</t>
  </si>
  <si>
    <t>David H wrote a review Nov 2018Maryport, United Kingdom6 contributions2 
helpful votes</t>
  </si>
  <si>
    <t>Convienient, reasonably priced and with some great staffHave stayed at this hotel most weeks for the last couple of years whilst 
working in London. It is usually one of the most reasonably priced 
Travelodges in Central London, and is close to the good transport links 
from Kings Cross station. The hotel is clean, reasonably quiet for central 
London, and the service from most of the staff is really good - especially 
Samara and Anabela who are real 'stars' of customer service.Read moreDate 
of stay: November 2018HelpfulShare</t>
  </si>
  <si>
    <t>https://www.tripadvisor.co.uk/Hotel_Review-g191265-d229508-Reviews-or110-Travelodge_Gatwick_Airport_Central-Horley_Surrey_England.html#REVIEWS</t>
  </si>
  <si>
    <t>Alexandra B wrote a review Nov 2018Hasland, United Kingdom2 contributions1 
helpful vote</t>
  </si>
  <si>
    <t>cfc32 wrote a review Feb 2020London, United Kingdom16 contributions38 
helpful votes</t>
  </si>
  <si>
    <t>another pleasant stay. at airport hotelgood refurb. can relax in a very pleasant room at a very reasonable price 
compared to other local hotels. the rooms nicely decorated, hotel is bright 
and fresh with plenty of seating in the lounge /bar/restaurant area. food 
was good and breakfast very good for families.Read moreReview collected in 
partnership with TravelodgeDate of stay: January 2020HelpfulShare</t>
  </si>
  <si>
    <t>Disgusting CarpetsDon't take your shoes off! The carpet had clumps of gungy dirt on. The 
"wardrobe" had no doors and you could see where they'd just been taken off. 
The bathroom was revolting and old and rusty. Best of all was no net type 
curtain so all the rooms directly opposite can see straight into the room 
unless you leave the curtains permanently closed. I will never go back 
there.Read moreDate of stay: November 2018HelpfulShareResponse from 
TravelodgeUK, Charley from the Social Media Team at Travelodge London Kings 
Cross Royal ScotResponded 3 Dec 2018Thank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</si>
  <si>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https://www.tripadvisor.co.uk/Hotel_Review-g186338-d243667-Reviews-or1650-Travelodge_London_Kings_Cross_Royal_Scot-London_England.html#REVIEWS</t>
  </si>
  <si>
    <t>paulturner20152020 wrote a review Feb 2020St Helier, United Kingdom1 
contribution</t>
  </si>
  <si>
    <t>Coastal51561012134 wrote a review Nov 20181 contribution1 helpful vote</t>
  </si>
  <si>
    <t>Comfortable room and good valueComfortable room and bed, in quiet location as requested. Couldn't readily 
work out the shower/bath water temperature control. The room was clean and 
the welcome and help from the staff at reception was good.Read moreReview 
collected in partnership with TravelodgeDate of stay: January 
2020HelpfulShareResponse from TravelodgeUK, Zack from The Social Media Team 
at Travelodge Gatwick Airport CentralResponded 4 Feb 2020Thank you for 
taking the time to leave your review of our Gatwick Airport Central hotel. 
We're thankful to learn that our hotel team were helpful and friendly 
throughout your recent stay with us and we would like to thank you for 
sharing your fantastic experience with us. We're thrilled to hear you had a 
great stay and we will be sure to pass your feedback onto the hotel for 
you. Thank you again for your comments and we hope to welcome you back to 
us soon.Read more</t>
  </si>
  <si>
    <t>Not worth tryingNone of the receptionists showed any smile over 4days of my stay, when I 
checked in on the very cold day around 11pm, the windows of my room were 
wide open, the radiator was broken, the remote controller didn’t work 
anymore next day, we all kicked out of the building for 45 mins without any 
professional guidance at 5am as the fire alarm went off. One of the worst 
hotel experience ever.Read moreReview collected in partnership with 
TravelodgeDate of stay: November 2018HelpfulShareResponse from 
TravelodgeUK, Ben from the Social Media Team at Travelodge London Kings 
Cross Royal ScotResponded 3 Dec 2018Thank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</si>
  <si>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Seatonlady wrote a review Feb 2020Seaton, United Kingdom113 contributions33 
helpful votes</t>
  </si>
  <si>
    <t>Pioneer27454489829 wrote a review Nov 2018Littlehampton, United Kingdom1 
contribution</t>
  </si>
  <si>
    <t>Good for a short stayGood accommodation. Close to Kings Cross Train and Tube Stations. Friendly, 
helpful staff. Room clean and had all the basics for a short stay - tv and 
kettle. The room was on the 3rd floor and over looked a car park and the 
rest of the building. Lovely hot powerful shower in the bathroom. Bathroom 
door a bit tired looking. A good breakfast which filled us up for a journey 
home.Read moreReview collected in partnership with this hotelDate of stay: 
November 2018HelpfulShare</t>
  </si>
  <si>
    <t>NosiyStayed on the ground floor which was very convenient. However, the noise 
from the corridor - doors slamming, people talking - together with plumbing 
noises from above - did not enable a good nights sleep. Spoke with 
reception upon departure but they really were not bothered about what I was 
saying - probably heard it all before.Read moreReview collected in 
partnership with TravelodgeDate of stay: January 2020HelpfulShareResponse 
from TravelodgeUK, Niki from The Social Media Team at Travelodge Gatwick 
Airport CentralResponded 4 Feb 2020Thank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</si>
  <si>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rachelD9303JT wrote a review Feb 20201 contribution</t>
  </si>
  <si>
    <t>Susan B wrote a review Nov 2018Sidcup, United Kingdom2 contributions</t>
  </si>
  <si>
    <t>Royal ScotRoyal Scot not so royal, Quite basic, adequate, clean, good size 
Travelodge, in respect of rooms and restaurant, but found single beds far 
too small! Had to sleep like a corpse so not to fall out. Positive, very 
close to London st pancras station, Shops, Restaurants&amp; cafés.Read 
moreReview collected in partnership with TravelodgeDate of stay: November 
2018HelpfulShareResponse from TravelodgeUK, Molly from the Social Media 
Team at Travelodge London Kings Cross Royal ScotResponded 28 Nov 2018Thank 
you for your review. We're pleased to hear that your stay was enhanced by 
the location of the hotel and you found your room to be clean and of a good 
size for your stay. However, we apologise if you felt the beds were too 
small and this caused you discomfort. Thank you again for your feedback, 
and we hope to welcome you back to stay with us again soon.Read more</t>
  </si>
  <si>
    <t>Good overnight stay of you take own food.Great room for overnight stay but avoid the food, overpriced and 
microwaved. We paid £22 for burger and chips and mac n cheese, the burger 
patties were thin,pre cooked and microwaved I suspect, awful! Mac n cheese 
similar...I would not waste my money and take own food next time.Read 
moreReview collected in partnership with TravelodgeDate of stay: January 
2020HelpfulShareResponse from TravelodgeUK, Hannah from The Social Media 
Team at Travelodge Gatwick Airport CentralResponded 3 Feb 2020Thank you for 
taking the time to share your experience with us. We are sorry to learn of 
your disappointment with the food in our Bar Cafe. We hope to only serve 
food of good quality, cooked and presented to an acceptable, high standard. 
Where this is not the case, we would kindly advise raising this with the 
Team on site so that they can offer a resolution. However, We will 
certainly pass your comments on to the Management Team to ensure that we 
consistently provide good service within our Bar Cafes. We hope you will 
chose to stay with us in the future, where we will endeavour to restore 
your faith in Travelodge.Read more</t>
  </si>
  <si>
    <t>Steve L wrote a review Nov 2018Kingston upon Hull, England, United 
Kingdom13 contributions2 helpful votes</t>
  </si>
  <si>
    <t>https://www.tripadvisor.co.uk/Hotel_Review-g191265-d229508-Reviews-or115-Travelodge_Gatwick_Airport_Central-Horley_Surrey_England.html#REVIEWS</t>
  </si>
  <si>
    <t>You know what to expectYou know what to expect with Travelodge. Location was very good, 5 minutes 
walk from Kings Cross / St Pancras. Staff were very friendly when checking 
in and otherwise just left us to it. The room was very comfortable, a 
decent size and had everything we needed. The only issue we had was someone 
was smoking in another room and we could smell it in our room, though it 
didn't really affect our stay. Didn't have breakfast so can't rate that but 
the location means we would stay again.Read moreReview collected in 
partnership with TravelodgeDate of stay: November 2018HelpfulShare</t>
  </si>
  <si>
    <t>https://www.tripadvisor.co.uk/Hotel_Review-g186338-d1812157-Reviews-or645</t>
  </si>
  <si>
    <t>Grum wrote a review Nov 20183 contributions</t>
  </si>
  <si>
    <t>Shabby and corruptI was able to tolerate the late servings of breakfast and run down 
surroundings, but when my wife's debit /credit cards were taken (and 
fraudulently used)from our room,my patience was exhausted. I had to push 
relentlessly for an investigation, which was said to be thorough but 
certainly was not transparent. The manager,Louis did not have the decency 
to see me face to face and repeated requests I have made to see the key 
card log (which would show when and by whom my room was accessed ) have 
been ignored. Sadly also the Met Police have been similarly disinterested, 
relying on the hotel's investigation and not doing their own. A very 
unpleasant experience at this hotel who do not want to root out corrupt 
staff.Read moreDate of stay: July 2018HelpfulShareResponse from 
TravelodgeUK, Tilly from the Social Media Team at Travelodge London Kings 
Cross Royal ScotResponded 30 Nov 2018Thank you for submitting your review 
of our London Kings Cross Royal Scot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</si>
  <si>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VS00123 wrote a review Feb 20202 contributions</t>
  </si>
  <si>
    <t>https://www.tripadvisor.co.uk/Hotel_Review-g186338-d243667-Reviews-or1655-Travelodge_London_Kings_Cross_Royal_Scot-London_England.html#REVIEWS</t>
  </si>
  <si>
    <t>Parking is additional and expensive!!!We stayed at this hotel for an overnight stay. A good price for room nut on 
arrival the parking charge is anadditional £16 charge to an external 
company. I therefore would most likely not return and not recommend this 
hotel.Read moreDate of stay: February 2020HelpfulShareResponse from 
TravelodgeUK, Hannah from The Social Media Team at Travelodge Gatwick 
Airport CentralResponded 3 Feb 2020Thank you for taking the time to share 
your experience with us. We try to provide as much information as possible 
regarding the available parking facilities on the Hotel's booking page. 
Guests are also welcome to contact the Hotel directly prior to their 
arrival, and our Reception Teams will be more than happy to provide any 
further information or assistance regarding nearby car parks, number of 
spaces or whether it is possible to reserve spaces. However, we apologise 
for any inconvenience caused to you. We hope you will chose to stay with us 
in the future, where we will endeavour to restore your faith in 
Travelodge.Read more</t>
  </si>
  <si>
    <t>Guide08291398290 wrote a review Nov 20181 contribution</t>
  </si>
  <si>
    <t>hammer4life wrote a review Feb 20201 contribution</t>
  </si>
  <si>
    <t>ok for a weekendvery good location, close to the railway station, lost of restaurants, 
shopping area is not to far away, breakfast and dinner a bit poor its just 
an Continental breakfast, portion of dinner very smallno soap and shower 
gelRead moreReview collected in partnership with TravelodgeDate of stay: 
November 2018HelpfulShareResponse from TravelodgeUK, Charley from the 
Social Media Team at Travelodge London Kings Cross Royal ScotResponded 27 
Nov 2018May we thank you for sharing your experience with us. We are so 
happy to hear that you were pleased with the location of the Hotel and that 
your stay with us at London Kings Cross Royal Scot Travelodge was an 
overall positive one. We value your comments and a copy of your review will 
be sent to the Hotel Manager. Please allow us to thank you once again and 
we do hope you will stay with us again soon.Read more</t>
  </si>
  <si>
    <t>Value and comfortExcellent value for a double room, very comfortable bed and pillows. The 
room was clean and fresh and had everything you need. Bathroom and shower 
was great I couldnt complain about anything. Shuttle to Gatwick North 
terminal took 15 minutes at 6.30am and was £4.Read moreReview collected in 
partnership with TravelodgeDate of stay: January 2020HelpfulShare</t>
  </si>
  <si>
    <t>Navigator59092248642 wrote a review Nov 20181 contribution</t>
  </si>
  <si>
    <t>David S wrote a review Feb 2020Fincham, United Kingdom4 contributions</t>
  </si>
  <si>
    <t>Clean and friendlyEverything as expected from this chain, room clean and fresh, coffee could 
be improved. The car park is very expensive £16.00 per 24hrs even if you're 
only there for less than twelve you still have to pay for the 24Read 
moreReview collected in partnership with TravelodgeDate of stay: January 
2020HelpfulShare</t>
  </si>
  <si>
    <t>Worst experience of a Travelodge everWe got moved rooms three times as we got put in the wrong room twice - 
reception made the mistake, acknowledged it but didn't seem that fussed 
when they moved us at midnight. The third room despite being closer to what 
we had booked was freezing. The windows had been left open all day, it 
smelt damp, we slept with the duvets of the other twin beds on us as well, 
the heating wasn't on and there were pen marks all over the sheets. Had a 
terrible night sleep and not what we paid for or would expect from a 
Travelodge. We put a complaint through with the Travelodge and they still 
haven't responded to my husbands email. An incredibly distressing 
experience and a treat before our baby arrived totally ruined.Read 
moreReview collected in partnership with TravelodgeDate of stay: November 
2018HelpfulShareResponse from TravelodgeUK, Charley from the Social Media 
Team at Travelodge London Kings Cross Royal ScotResponded 27 Nov 2018Thank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</si>
  <si>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https://www.tripadvisor.co.uk/Hotel_Review-g191265-d229508-Reviews-or120-Travelodge_Gatwick_Airport_Central-Horley_Surrey_England.html#REVIEWS</t>
  </si>
  <si>
    <t>SMF2412 wrote a review Nov 2018Manchester, United Kingdom118 
contributions63 helpful votes</t>
  </si>
  <si>
    <t>Past Y wrote a review Feb 2020Cornwall, United Kingdom4 contributions1 
helpful vote</t>
  </si>
  <si>
    <t>A short break is fine - no luxury hereI’ve stayed here a few times. It was part refurbished a year ago but some 
of the rooms haven’t benefited much. My stay this time included a blocked 
sink where you had to wait for the water to slowly go down the plug hole 
and a faulty bathroom light switch which meant you had to try numerous 
times to turn it off. I didn’t report it on checking out as there was the 
usual queue at reception and not many staff around. It was noisy from the 
adjoining rooms as the walls are paper thin - on the fourth floor 
anyway.Read moreDate of stay: November 2018HelpfulShare</t>
  </si>
  <si>
    <t>Beware stealth car park chargeDidn’t appreciate being stung for £16 car park for an overnight stay. I 
booked using my phone and no, it wasn’t clear at the time of booking. Else 
I would have gone elsewhere. Room was noisy. Noisy AC (wasn’t on just kept 
bubbling away) staff were not particularly bothered about much.Read 
moreReview collected in partnership with TravelodgeDate of stay: January 
2020HelpfulShareResponse from TravelodgeUK, Hannah from The Social Media 
Team at Travelodge Gatwick Airport CentralResponded 2 Feb 2020Thank you for 
taking the time to share your experience with us. We try to provide as much 
information as possible regarding the available parking facilities on the 
Hotel's booking page. Guests are also welcome to contact the Hotel directly 
prior to their arrival, and our Reception Teams will be more than happy to 
provide any further information or assistance regarding nearby car parks, 
number of spaces or whether it is possible to reserve spaces. However, we 
apologise for any inconvenience caused to you. We are sorry to hear that 
you were disturbed by noise levels during your stay. We hope to ensure a 
peaceful night's stay for all of our guest's, without disruption, and we 
apologise if we were unsuccessful in achieving this on this occasion. If 
you wish to contact us directly so that we can discuss your experience 
further, please be aware that you can always contact our Customer Services 
team via our website. Thanks again for your feedback.Read more</t>
  </si>
  <si>
    <t>CathieH178 wrote a review Jan 2020London, United Kingdom2 contributions1 
helpful vote</t>
  </si>
  <si>
    <t>https://www.tripadvisor.co.uk/Hotel_Review-g186338-d243667-Reviews-or1660-Travelodge_London_Kings_Cross_Royal_Scot-London_England.html#REVIEWS</t>
  </si>
  <si>
    <t>overnight stayQuiet, Clean, comfortable bed, pleasant staff. Restaurant ok. Convenient 
airport hotel for overnight stay. 24 hour bus at the door to take you to 
the airport. I have used this hotel in the past and will do so again.Read 
moreReview collected in partnership with this hotelDate of stay: January 
2020HelpfulShare</t>
  </si>
  <si>
    <t>Journey39876475641 wrote a review Nov 2018York, United Kingdom1 contribution</t>
  </si>
  <si>
    <t>ADEQUATE FOR THE FREQUENT TRAVELLER BY TRAIN TO AND FROM KINGS CROSS.Good Value Room for London but very Room was very simple and basic. Clean 
throughout but musty corridors. Pass Key required for Public Toilets! Slow 
Queue at Check-In time of 3.00pm. Would suit the the budget-conscious 
traveller who is in and out of King Cross Station which is 10 minutes walk 
away.Read moreReview collected in partnership with TravelodgeDate of stay: 
November 2018HelpfulShare</t>
  </si>
  <si>
    <t>124ray wrote a review Jan 2020Liverpool, United Kingdom1 contribution</t>
  </si>
  <si>
    <t>Sherpa57134278292 wrote a review Nov 2018London, United Kingdom1 
contribution</t>
  </si>
  <si>
    <t>Great StayStayed here a few times before. Airport 2 minutes away. Airport Bus every 
20 minutes. Car park at hotel £16.00 24 hours. 3 adults and 1 child in the 
room. One large bed and two pull out beds which were comfortable. Paid £30 
plus vat. Room nice and clean, warm, tea coffee, TV. Shower and bath both 
worked well with hot water. Food but we didn't try.Read moreReview 
collected in partnership with this hotelDate of stay: January 
2020HelpfulShare</t>
  </si>
  <si>
    <t>Travelodge London Kings Cross Royal ScotRoom was no more than 4 meters away from lifts, which had a automated voice 
which activated each time the doors opened and closed. This has to be 
turned off at night. we got absolutely no sleep. Shower hose had more holes 
than the shower head. Most unpleasant stay ever at a TravelodgeRead 
moreReview collected in partnership with TravelodgeDate of stay: November 
2018HelpfulShareResponse from TravelodgeUK, Charley from the Social Media 
Team at Travelodge London Kings Cross Royal ScotResponded 26 Nov 2018Thank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</si>
  <si>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https://www.tripadvisor.co.uk/Hotel_Review-g191265-d229508-Reviews-or125-Travelodge_Gatwick_Airport_Central-Horley_Surrey_England.html#REVIEWS</t>
  </si>
  <si>
    <t>trackyb wrote a review Nov 2018Thirsk, United Kingdom75 contributions21 
helpful votes</t>
  </si>
  <si>
    <t>Andy H wrote a review Jan 20202 contributions</t>
  </si>
  <si>
    <t>Great stayHotel and room very clean. All staff very friendly and accommodating. Our 
room was a good size however we only had a window that was high up and it 
felt a little cooped! I would stay again but ask for a different room we 
were on the side of the hotel and got noise from the fans at the back of 
the hotel! Excellent breakfast with good quality itemsRead moreReview 
collected in partnership with this hotelDate of stay: November 
2018HelpfulShare</t>
  </si>
  <si>
    <t>Thomas kenberI have never stayed in a Travelodge as clean and friendly as this one. 
Didn’t want to go on holiday the next day could of just stayed here for a 
couple weeks great local pubs and amenities. Will be back very soon 
thoroughly enjoyed stayRead moreDate of stay: January 2020HelpfulShare</t>
  </si>
  <si>
    <t>https://www.tripadvisor.co.uk/Hotel_Review-g186338-d243667-Reviews-or1665-Travelodge_London_Kings_Cross_Royal_Scot-London_England.html#REVIEWS</t>
  </si>
  <si>
    <t>Tevy22 wrote a review Jan 20201 contribution</t>
  </si>
  <si>
    <t>xussia wrote a review Nov 201823 contributions10 helpful votes</t>
  </si>
  <si>
    <t>Overnight stayClean room,friendly staff, good food,reasonably priced couldn't of asked 
for more.will make this a permanent stop for all early morning flights 
leaving Gatwick takes the stress out of early flights with easy transfers 
to all terminalsRead moreDate of stay: January 2020HelpfulShare</t>
  </si>
  <si>
    <t>TheBigDog wrote a review Jan 20201 contribution</t>
  </si>
  <si>
    <t>Well located but can be noisyI’ve actually stayed here a few times on and off over the years. Primarily 
because it’s near enough to Kings Cross to be convenient, and the prices 
were reasonable. I stress ‘were’ because they seem to have aligned with the 
London average now so a Rio is around 100-150/night! It’s a big place the 
Royal Scott, about a 5-10 min walk from Kings Cross station. The staff are 
always friendly and helpful, and there is a half decent bar on the ground 
floor serving food. The staff in there are again very welcoming and 
friendly. It’s located next to quite a busy road so depending on where your 
room is located may well mean you get traffic/emergency service vehicles 
blasting by day and night. Rooms are equipped with desk, free tea and 
coffee, TV etc and the rooms I have stayed in have…Read moreDate of stay: 
November 2018HelpfulShare</t>
  </si>
  <si>
    <t>Nice stop overStopped over before an early flight and was checked in by by the polite 
receptionist who kindly let us know about the 24hr bar. So of course we had 
a fair few bevies in the evening to knock us out for a early night as well 
as a tasty pizza at a nice price. Room was clean and modern and all staff 
we encountered had a smile on there face, can’t fault the place.Read 
moreDate of stay: January 2020HelpfulShare</t>
  </si>
  <si>
    <t>AceOfSpades wrote a review Jan 20201 contribution</t>
  </si>
  <si>
    <t>TonyLee11 wrote a review Nov 2018Harrogate, United Kingdom275 
contributions97 helpful votes</t>
  </si>
  <si>
    <t>AMAZEBALLShaven’t stayed here in ages, refurb is so good. Bar and restaurant looks 
amazing and the food was just as good. Staff were all so nice and put a 
smile on our faces after a stress filled week. Deffo recommend to a friend 
and deffo stay againRead moreDate of stay: January 2020HelpfulShare</t>
  </si>
  <si>
    <t>1970's Soulless 'Style'I'm pretty sure that the last time I stayed at a Travelodge I promised 
myself it might be the last and this stay only served to remind me why. 
Starting with the positives; friendly staff, plenty of hot water and good 
pressure from the shower, reasonably comfortable bed. From there on in 
sadly it takes the description as 'basic' to a new level. Ok I should have 
read that should you require a hairdryer you should ask for one, but 
really? 129 quid a night room only and apart from a tv, shower soap and 
towels; chuck in a bed and that's it. What might you expect for that kind 
of money in King's Cross? Not much I suppose. And in that, Travelodge 
doesn't fall to disappoint.Read moreDate of stay: November 
2018HelpfulShareResponse from TravelodgeUK, Molly from the Social Media 
Team at Travelodge London Kings Cross Royal ScotResponded 22 Nov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</si>
  <si>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https://www.tripadvisor.co.uk/Hotel_Review-g191265-d229508-Reviews-or130-Travelodge_Gatwick_Airport_Central-Horley_Surrey_England.html#REVIEWS</t>
  </si>
  <si>
    <t>CaptainJinja wrote a review Nov 2018Sheffield, United Kingdom38 
contributions14 helpful votes</t>
  </si>
  <si>
    <t>Kate Lane wrote a review Jan 20201 contribution</t>
  </si>
  <si>
    <t>Cheap but needs a MAJOR renovationPositives : Location close to Kings Cross. Staff in reception, bar and 
dining area were excellent (friendly and efficient) Neutral : very basic 
rooms although this maybe reflects the price, breakfast buffet reasonable 
value Poor : Paid for wi-fi was terribly slow and I got faster connection 
from using my mobile phone as a hot spot. One small heater in room which 
clanked and clunked constantly. Bathroom simply needed condemning - paint 
peeling off damp patches, grout and sealant hanging out from between tiles, 
cracked toilet bowl - room 537 if you want to check. There's much better 
available for similar money elsewhereRead moreDate of stay: November 
2018HelpfulShareResponse from TravelodgeUK, Molly from the Social Media 
Team at Travelodge London Kings Cross Royal ScotResponded 22 Nov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</si>
  <si>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Lovely stay!All the staff were very polite and welcoming when I arrived, I thoroughly 
enjoyed my dinner and breakfast the following morning, the lady on checkout 
was very polite and I will definitely stay again!!Read moreDate of stay: 
January 2020HelpfulShare</t>
  </si>
  <si>
    <t>susi5922 wrote a review Nov 2018Conwy County, United Kingdom35 contributions</t>
  </si>
  <si>
    <t>William R wrote a review Jan 2020Malvern, England, United Kingdom75 
contributions40 helpful votes</t>
  </si>
  <si>
    <t>Short break in LondonMy daughter and I had a two night stay to do some sightseeing. We chose 
this travelodge as it was the cheapest and as we were planning to be out 
all day, just needed a clean comfortable room. The staff were very friendly 
and helpful, we arrived early and were able to leave our luggage in a 
secure room . The location is a good walk from Euston and kings cross but 
we are happy to walk . We used the Santander bikes , there’s a docking 
station just outside hotel. The room was an adequate size, beds clean and 
comfy tea and coffee with unlimited refills available at reception. The 
bathroom was a little tired and the extractor fan didn’t work but clean and 
included a bath which was lovely after a long day pounding the streets. 
Plenty of hot water. For the price there’s nothing to…Read moreReview 
collected in partnership with TravelodgeDate of stay: November 
2018HelpfulShare</t>
  </si>
  <si>
    <t>Noisy hotel building equipmentRumbling from central ventilation system pervaded the room. keeping me 
awake At midnight the in room heater started making loud gurgling noises so 
had to ask to move room at 0200 to at least get SOME sleepRead moreReview 
collected in partnership with TravelodgeDate of stay: January 
2020HelpfulShareResponse from TravelodgeUK, James from the Social Media 
Team at Travelodge Gatwick Airport CentralResponded 2 Feb 2020Thank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</si>
  <si>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https://www.tripadvisor.co.uk/Hotel_Review-g186338-d243667-Reviews-or1670-Travelodge_London_Kings_Cross_Royal_Scot-London_England.html#REVIEWS</t>
  </si>
  <si>
    <t>munrojem wrote a review Jan 2020St. George's, Grenada3 contributions</t>
  </si>
  <si>
    <t>Trek53192861736 wrote a review Nov 20181 contribution</t>
  </si>
  <si>
    <t>Great value stay close to the airportMy room was really clean, comfy beds and quiet- I got a great sleep before 
my early flight. I booked the room in the sale, so was a good price for 
what I needed, just a bed for the night. Check in was easy as was the check 
out. I only bought a drink in the restaurant, but it was quick friendly 
service and not overpriced.Read moreReview collected in partnership with 
this hotelDate of stay: January 2020HelpfulShare</t>
  </si>
  <si>
    <t>Ron M wrote a review Jan 2020Crackington Haven, United Kingdom51 
contributions7 helpful votes</t>
  </si>
  <si>
    <t>Pity about the parking chargeThe hotel itself was ok but the doubled parking charge of £16 was out of 
order - had it been stated on hotel details page I would not have booked 
there as could have stayed elsewhere for less total cost. The room 41 on 
the ground floor had a slight musty smell so not the usual Travelodge 
standard.Read moreReview collected in partnership with TravelodgeDate of 
stay: January 2020HelpfulShare</t>
  </si>
  <si>
    <t>https://www.tripadvisor.co.uk/Hotel_Review-g191265-d229508-Reviews-or135-Travelodge_Gatwick_Airport_Central-Horley_Surrey_England.html#REVIEWS</t>
  </si>
  <si>
    <t>KimboEvans wrote a review Jan 2020Kidderminster, United Kingdom24 
contributions13 helpful votes</t>
  </si>
  <si>
    <t>Night before our flight to USA£16 to park the car for 24 hours isn’t bad, but considering we wasn’t 
staying for 24 hours its a rip off. No option to pay for a certain amount 
of hours, just 24. Paid for a superior room but it didn’t look any 
different to a standard room. Stains all over the carpets, stains on the 
bedsheets and dirty towels. The one towel looked as if someone had been in 
and wiped a face full of foundation off. Not very clear in the photos but 
its there and its disgusting. £75 I paid for the room, when I could have 
paid £40 and got exactly the same in a standard room. This was just a stop 
over close to Gatwick Airport ready for our flight to Florida for our 
honeymoon.Read moreDate of stay: January 2020HelpfulShareResponse from 
TravelodgeUK, James form the Social Media Team at Travelodge Gatwick 
Airport CentralResponded 30 Jan 2020Thank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</si>
  <si>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Great locationI chose this hotel based on location and spent just the one night 
in-between Paris, France and York, UK. It's a great location, 10 minutes 
walk from Kings Cross/St. Pancras Int'l with several bus routes passing 
close by the hotel. The staff were friendly and helpful and the room 
comfortable. The breakfast options were good, light vs full English. It met 
my expectations.Read moreReview collected in partnership with 
TravelodgeDate of stay: November 2018HelpfulShare</t>
  </si>
  <si>
    <t>katy c wrote a review Jan 2020Liverpool, United Kingdom1 contribution</t>
  </si>
  <si>
    <t>My stayI was really pleased with my stay here in January. I booked the same day as 
I arrived because I was unwell and needed to rest before continuing my trip 
and the reception staff and housekeeping provided me with a room extra 
quick so I could rest. They went above. I would definitely go back here 
again.Read moreReview collected in partnership with this hotelDate of stay: 
January 2020HelpfulShare</t>
  </si>
  <si>
    <t>Go799562 wrote a review Jan 20202 contributions</t>
  </si>
  <si>
    <t>Katyork wrote a review Nov 20182 contributions</t>
  </si>
  <si>
    <t>Gatwick TravelodgeThe hotel is convenient, clean and great value for a stop over at gatwick. 
The staff were very friendly. Only pain was that the Bus to hotel is £4 
each way and you need cash. Did not see that advertised anywhere.Read 
moreReview collected in partnership with this hotelDate of stay: January 
2020HelpfulShare</t>
  </si>
  <si>
    <t>Overnight stay on the way back from Heathrow - staff member Remy gave us 
great customer service and brilliant room!We came to stay overnight after a long trip from Heathrow. Remy made us 
feel very welcome and upgraded our twin room to a double room on 6th floor 
with excellent view of the city. It’s made us feel so much better after a 
very tiring 10 hour flight and tube ride through central London ☺️ - THANK 
YOU REMYRead moreDate of stay: November 2018HelpfulShare</t>
  </si>
  <si>
    <t>Tourist17500491127 wrote a review Nov 20181 contribution</t>
  </si>
  <si>
    <t>gills117 wrote a review Jan 2020Cartagena, Spain30 contributions6 helpful 
votes</t>
  </si>
  <si>
    <t>Overpriced for the standardBasic basic hotel, absolutely not worth the money, standard was that of a 
local b&amp;b not a chain of hotels. The facilities were not matching that of a 
normal travelodge the only thing that made it a travelodge was the throw on 
the bed. The heating as a small electric heater and the windows were so 
thin that the room never heated up so take extra clothing in this weather 
if you decide to stay the night!Read moreReview collected in partnership 
with this hotelDate of stay: November 2018HelpfulShareResponse from 
TravelodgeUK, Ben from the Social Media Team at Travelodge London Kings 
Cross Royal ScotResponded 3 Dec 2018Thank you for taking the time to write 
a review about our London Kings Cross Royal Scot hotel. We are sorry to 
learn that you did not find your room to be of great value, and we are 
sorry to learn of the disappointment caused by other aspects of your stay. 
Feedback is invaluable and our Hotel Managers regularly review their 
TripAdvisor reviews in order to fix any issues raised and pass on feedback 
to their team. Thank you once again and we do hope you will stay with us in 
the future.Read more</t>
  </si>
  <si>
    <t>ExcellentExcellent stop over for early morning Gatwick flight ... everything on site 
bar / food ..large room clean very comfortable bed and very quiet . The 
best Travelodge I stayed in and I’ve stayed in a lot !! ��Read moreReview 
collected in partnership with this hotelDate of stay: January 
2020HelpfulShare</t>
  </si>
  <si>
    <t>johowley wrote a review Nov 2018Brighton, United Kingdom2 contributions</t>
  </si>
  <si>
    <t>https://www.tripadvisor.co.uk/Hotel_Review-g191265-d229508-Reviews-or140-Travelodge_Gatwick_Airport_Central-Horley_Surrey_England.html#REVIEWS</t>
  </si>
  <si>
    <t>Awful reception staffI stay in lots of Travelodges. This is the worst one in London for no other 
reason than the awful reception staff. No hello. No smile. Friendless. 
Heaven help you if something goes wrong with the rooms and you need to be 
moved.Read moreReview collected in partnership with this hotelDate of stay: 
November 2018HelpfulShareResponse from TravelodgeUK, Molly from the Social 
Media Team at Travelodge London Kings Cross Royal ScotResponded 22 Nov 
2018Thank you for your review. It is the utmost importance to us that 
guests receive a warm welcome and their needs are met during their visit. 
We apologise if a high standard of genuine, attentive customer care was not 
demonstrated to you upon your arrival at the Hotel. We will certainly 
address this with the Management Team. Once again thank you for your 
comments.Read more</t>
  </si>
  <si>
    <t>https://www.tripadvisor.co.uk/Hotel_Review-g186338-d243667-Reviews-or1675-Travelodge_London_Kings_Cross_Royal_Scot-London_England.html#REVIEWS</t>
  </si>
  <si>
    <t>Phil M wrote a review Jan 20201 contribution</t>
  </si>
  <si>
    <t>Parking prices are extortionateDon't park at this hotel because the price of parking is ridiculous. £128 
for 8 days. It used to be half that. The staff seem to be sympathetic but 
can't do anything about it. Travelodge need to get a grip before people 
stop staying.Read moreReview collected in partnership with TravelodgeDate 
of stay: January 2020HelpfulShare</t>
  </si>
  <si>
    <t>WorldwideWebster wrote a review Nov 2018Brighton, United Kingdom119 
contributions61 helpful votes</t>
  </si>
  <si>
    <t>Nothing wrong hereNothing wrong with this place. C'mon, it's a Travelodge. First of all, be 
wary that there are two TL's in proximity to Kings Cross and this one is 
slightly further away than the other. An easy 10 minute walk, but probably 
not for a lone nervous traveller after dark. Nothing sinister, the route 
just looks a bit shabby by night. Rooms, breakfast, etc all as to be 
expected. Would not rush back, but would not avoid if I had to stay in the 
area again.Read moreDate of stay: November 2018HelpfulShare</t>
  </si>
  <si>
    <t>Go38180994848 wrote a review Jan 20201 contribution</t>
  </si>
  <si>
    <t>Angela K wrote a review Nov 20181 contribution</t>
  </si>
  <si>
    <t>FlawlessOutstanding will come and service. The hotel was exceptionally comfortable 
and cream and brilliant value for money. I would definitely not hesitate to 
recommend this hotel and will be returning if I ever need to stay overnight 
before a flight.Read moreReview collected in partnership with 
TravelodgeDate of stay: January 2020HelpfulShare</t>
  </si>
  <si>
    <t>Short but good stayI stayed here for three nights in November 2018. It's need of a renovation 
- unpleasant blue carpet, old school shower curtain (but good shower 
pressure, hot water), small TV, tiny twin beds (one wrong move and you're 
on the floor). I was happy that it was clean and I felt comfortable. Good 
breakfast (although on the first morning the sausages had a "chemical" 
taste). Strange alarm system/drill that was a bit of a shock. Not sure but 
I think it might happen every day. Great location with lots of restaurants, 
pubs, transport (tube and train), supermarkets, etc. a stone's throw away. 
Overall, not the most glamorous place to stay but it got the job done 
especially as I spent very little time in the room itself. The staff were 
lovely. Good price for London. Don't worry about the…Read moreReview 
collected in partnership with this hotelDate of stay: November 
2018HelpfulShare</t>
  </si>
  <si>
    <t>https://www.tripadvisor.co.uk/Hotel_Review-g191265-d229508-Reviews-or145-Travelodge_Gatwick_Airport_Central-Horley_Surrey_England.html#REVIEWS</t>
  </si>
  <si>
    <t>Getaway08176775362 wrote a review Nov 20181 contribution</t>
  </si>
  <si>
    <t>daniel b wrote a review Jan 2020United States29 contributions7 helpful votes</t>
  </si>
  <si>
    <t>Cold room cold breakfast staff uninterestedRoom had no heating hotel seemed old and noisy, staff uninterested how my 
stay was, breakfast was mainly cold eggs were powdery fresh orange was 
warm. Staff on check in were helpful Bar staff were slow and not very 
helpful staff on reception at check out seemed glad to see you go not 
interested on how your stay was etcRead moreReview collected in partnership 
with TravelodgeDate of stay: November 2018HelpfulShareResponse from 
TravelodgeUK, Shaf from the Social Media Team. at Travelodge London Kings 
Cross Royal ScotResponded 21 Nov 2018Thank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</si>
  <si>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https://www.tripadvisor.co.uk/Hotel_Review-g186338-d1812157-Reviews-or650</t>
  </si>
  <si>
    <t>Great staff, but get the executive level room, called SuperPlusIf you need to stay near Gatwick Airport for a flight, this is the THE 
place. But get the SuperPlus level room. The few extra pounds are worth it. 
Amenities such as free espresso machine, chocolates, larger bed, nicer 
bathroom, and newer feeling really help to relax you before or after 
boarding your plane. The staff, especially, is really fine and helpful. The 
hotel is about 1 mile from the airport, about 10 pounds by taxi which is 
right outside the arrival terminal. Going back to Gatwick is a few pounds 
by airport bus that stops right in front of the hotel door. Convenient and 
quick. If you want a meal, they have a standard breakfast buffet. For 
dinner there is a menu. I tried a few items and they were all very tasty 
and well presented for an airport hotel. Stay…Read moreDate of stay: 
November 2019HelpfulShare</t>
  </si>
  <si>
    <t>https://www.tripadvisor.co.uk/Hotel_Review-g186338-d243667-Reviews-or1680-Travelodge_London_Kings_Cross_Royal_Scot-London_England.html#REVIEWS</t>
  </si>
  <si>
    <t>lauriescotland1 wrote a review Jan 20201 contribution</t>
  </si>
  <si>
    <t>Gatwick TravelodgeRoom was what we expected. Good service and comfortable social area in the 
bar/restaurant. Check in and out quick and simple. Only comment would like 
to have hairdryer and ironing board in standard rooms. Like that you always 
know what you are going to get when you go to a TravelodgeRead moreReview 
collected in partnership with this hotelDate of stay: January 
2020HelpfulShare</t>
  </si>
  <si>
    <t>Discover177700 wrote a review Nov 20182 contributions</t>
  </si>
  <si>
    <t>Fire alarmWe have stayed in this hotel 3 or 4 times before never had a problemBut 
this time we had the fire alarm go off at 5.30 am in the morning,everybody 
was outside in the freezing cold weather but at least it was dryIt turned 
out somebody was smoking in their room, there was no apology or explanation 
from any of the staff and if we had not asked about the incident when we 
checked out we would have been none the wiserRead moreReview collected in 
partnership with TravelodgeDate of stay: November 2018HelpfulShare</t>
  </si>
  <si>
    <t>lockeycroft47 wrote a review Jan 2020York, United Kingdom2 contributions</t>
  </si>
  <si>
    <t>PERFECTIONThe only thing I can say about the hotel and the staff and the food and 
drinks is YOU CANNOT IMPROVE ON PERFECTION the hotel in side and out side 
was great the food was great and the room was nice warm no noiseRead 
moreReview collected in partnership with this hotelDate of stay: January 
2020HelpfulShare</t>
  </si>
  <si>
    <t>Vacation20521144909 wrote a review Nov 20181 contribution</t>
  </si>
  <si>
    <t>https://www.tripadvisor.co.uk/Hotel_Review-g191265-d229508-Reviews-or150-Travelodge_Gatwick_Airport_Central-Horley_Surrey_England.html#REVIEWS</t>
  </si>
  <si>
    <t>Good if you are visiting Londonthis is a basic, older and a bit tired hotel but central for visiting 
London and good value as a base with access to the West End; it is clean 
and comfortable for a short stay with lots of good restaurants nearby.Read 
moreReview collected in partnership with TravelodgeDate of stay: November 
2018HelpfulShare</t>
  </si>
  <si>
    <t>Jon - Travel &amp; Experience Life wrote a review Jan 2020Manchester, United 
Kingdom907 contributions39 helpful votes</t>
  </si>
  <si>
    <t>https://www.tripadvisor.co.uk/Hotel_Review-g186338-d243667-Reviews-or1685-Travelodge_London_Kings_Cross_Royal_Scot-London_England.html#REVIEWS</t>
  </si>
  <si>
    <t>Abcdefg wrote a review Nov 2018Southend-on-Sea, United Kingdom3 
contributions2 helpful votes</t>
  </si>
  <si>
    <t>Surprised..Booked one of the Premier rooms but was still surprised how good the room 
and hotel actually was. Not sure how new the hotel is, but everything 
seemed very clean and fresh. Room was clean and spacious. Bathroom was 
fresh and had a good shower. My rate also included wifi and breakfast all 
for around £55. Only complaint would be the Breakfast, which was a serve 
yourself, was all a little dried out. Nice good, but just felt had been 
left out a bit too long. Would certainly look to stay there again if I 
needed too. Note, parking for guests was £16 for 24 hours.Read moreDate of 
stay: January 2020HelpfulShare</t>
  </si>
  <si>
    <t>ShelbyBryenton wrote a review Jan 20205 contributions</t>
  </si>
  <si>
    <t>Money valueHotel was a cheaper stay for London but quite felt like it with the basic 
room.PositivesCheapShort walk to stationFood places near by (McDonalds/ 
five guys) Tube direct into London £20 taxi from the strand to the hotel 
Slight negatives First arrived no one greeted us and had to actually ask a 
staff member to check us in. Didnt give us any information about dinner or 
breakfast, surrounding areas or even when check out was. Room was basic 
windows didn’t open and bathroom was tiny but what we paid for the one 
night it was almost uncomplainable. Bed was very comfy though and the tv 
was a nice touch. Kept getting disturbed in the morning (3x) by cleaners 
and even by security asking why we hadn’t checked out when we booked late 
check out.Read moreReview collected in partnership with TravelodgeDate of 
stay: November 2018HelpfulShare</t>
  </si>
  <si>
    <t>Great value for money.Very good value for money especially considering the location. Short (and 
cheap) taxi ride away from both Gatwick terminals. One of the cleanest 
travelodges I've stayed at. Room and bathroom both spotless.Read moreReview 
collected in partnership with TravelodgeDate of stay: January 
2020HelpfulShare</t>
  </si>
  <si>
    <t>Passport58106331132 wrote a review Jan 2020Stafford, United Kingdom1 
contribution</t>
  </si>
  <si>
    <t>Perfect for AirportWe stayed for just one night before a flight, easy check in, room perfect 
for just the one night, great dining room &amp; lovely pizza for evening meal. 
Breakfast next morning was one of the best, all staff very attentive &amp; 
helpful. We will be staying here again.Read moreReview collected in 
partnership with this hotelDate of stay: January 2020HelpfulShare</t>
  </si>
  <si>
    <t>annie h wrote a review Nov 2018midlands20 contributions21 helpful votes</t>
  </si>
  <si>
    <t>iowmax wrote a review Jan 2020Newport11 contributions3 helpful votes</t>
  </si>
  <si>
    <t>Wonderful stayStayed here for am couple of nights from Sunday and had a great time. Rooms 
were clean and comfortably heated and the showers were wonderful (powerful 
and hot). What made the visit for us though were the staff members who made 
us feel very welcome despite the modernisation going on in the building 
(not that we were inconvenienced by it at all). They gave us hairdryers, 
irons and ironing boards and there was plenty of opportunity to stock up on 
tea/coffee/milk for the room. I must in particular, mention one of the bar 
staff-Ali-, who on a very busy Monday night was extremely courteous, sweet 
and professional despite the fact that he seemed to be the only one there. 
He served everyone with charm, speed and good humour-what a gentleman.. I 
wish him all the best for the future.Read moreReview collected in 
partnership with this hotelDate of stay: November 2018HelpfulShare</t>
  </si>
  <si>
    <t>GREAT STAY BEFORE FLYING AWAYStuart was both the evening and morning receptionist. My wife saw a display 
advert for EVO Taxi's 01293 922811 who were doing a £6 charge to the Gawick 
(for either North or South) you have to book which Stuart kindly did for 
the following morning. The bus would have been £4 each and stopping on 
route, whereas the taxi was straight there. In the morning Stuart was able 
to let the driver know we where his customers. We used EVO's again after 
our trip, as were staying another night at the same Travelodge, still £6 
for the both of us and we only had to wait ten minutes.Read moreReview 
collected in partnership with TravelodgeDate of stay: January 20201 Helpful 
voteHelpfulShare</t>
  </si>
  <si>
    <t>Marc T wrote a review Nov 20181 contribution</t>
  </si>
  <si>
    <t>Great overnight stop, but for the noisy road at nightPerhaps due to living in the rural North, I found it difficult to sleep 
with all the road traffic. Windows lack soundproofing.The room and service 
were excellent though.Breakfast was very relaxed with plenty of good 
options.Read moreReview collected in partnership with this hotelDate of 
stay: November 2018HelpfulShare</t>
  </si>
  <si>
    <t>https://www.tripadvisor.co.uk/Hotel_Review-g186338-d243667-Reviews-or1690-Travelodge_London_Kings_Cross_Royal_Scot-London_England.html#REVIEWS</t>
  </si>
  <si>
    <t>https://www.tripadvisor.co.uk/Hotel_Review-g191265-d229508-Reviews-or155-Travelodge_Gatwick_Airport_Central-Horley_Surrey_England.html#REVIEWS</t>
  </si>
  <si>
    <t>TheDadDude wrote a review Jan 2020Philadelphia, Pennsylvania50 
contributions11 helpful votes</t>
  </si>
  <si>
    <t>Ben D wrote a review Nov 20181 contribution</t>
  </si>
  <si>
    <t>Good price, small room, bad breakfast.Good price and near kings cross station. Staff were very nice. Housekeepers 
cleaned the room well but not the nicest room so not their fault. It was 
also damp. Needs some renovation, good carpet clean etc.Room was very 
small, other rooms in the building were bigger.Breakfast was really bad. 
Worst I've had in a hotel.Wi-Fi was also very weak.Overall good value if 
you just want a small room in London, only for sleeping.Read moreReview 
collected in partnership with TravelodgeDate of stay: November 
2018HelpfulShare</t>
  </si>
  <si>
    <t>Clean, good staff, very tiny, shower flooded the bathroom floorThe staff was friendly and helpful, the room clean but really small, the 
bed was fine. The shower had a short curtain that did not contain the water 
well, and on top of that the shower drain was clogged, so it quickly leaked 
out onto the bathroom floor. I think even if the drain was not clogged, the 
curtain was inadequate. Also, only 30 minutes of free wifi, then you had to 
pay.Read moreReview collected in partnership with TravelodgeDate of stay: 
January 2020HelpfulShareResponse from TravelodgeUK, Ben from the Social 
Media Team at Travelodge Gatwick Airport CentralResponded 4 Feb 2020Thank 
you for taking the time to write a review about our Gatwick Airport Central 
hotel. We're pleased to hear that you found the team to be friendly and 
helpful and the room was clean however we are sorry to learn of your 
disappointment with the room size and of the problems with the shower. We 
appreciate all the feedback we receive and our Hotel Managers regularly 
review their TripAdvisor reviews in order to fix any issues raised and pass 
on feedback to their team. Thank you once again and we do hope you will 
stay with us in the future.Read more</t>
  </si>
  <si>
    <t>exl0nd0ngirl wrote a review Jan 20201 contribution</t>
  </si>
  <si>
    <t>Bengt A wrote a review Nov 20186 contributions</t>
  </si>
  <si>
    <t>Good as a starting point for tourist in LondonGood location only a few hundred yards from Kings Cross &amp; St Pancras 
underground station. The room at Travelodge London Kings Cross Royal Scot 
was big enough for me and my fiancee, though a little cold and noice from 
heavy trafic. Breakfast, English breakfast is not the best I know and only 
a small selection of yougert and musli or flakes. The service in the dining 
room could be more alert and more coffee makers. Service in the bar could 
be more efficient and nicerRead moreDate of stay: November 2018HelpfulShare</t>
  </si>
  <si>
    <t>Couldn't breath so got no sleep. Horrible stayThe ac didn't turn down so the room was unbearably stuffy The windows are 
all locked shut at Travelodges. We had a 4 a.m start but didn't get any 
sleep because we couldn't breath! It defeated the whole point of staying 
near to the airport. The staff said they'd fixed the problem from reception 
but nothing changed and we continued to not sleep until it was time to 
leave. Travelling that morning was hellish. Never would I stay there again. 
Unbolt your windows ffs!Read moreReview collected in partnership with 
TravelodgeDate of stay: January 2020HelpfulShareResponse from TravelodgeUK, 
Ben from the Social Media Team at Travelodge Gatwick Airport 
CentralResponded 27 Jan 2020Thank you for taking the time to write a review 
about our Gatwick Airport Central hotel. We are sorry to learn of your 
disappointment with the room temperature. We strive to make our customers 
as comfortable as possible and we would like to apologise if on this 
occasion we were not able to offer you a good night's sleep. We appreciate 
all the feedback we receive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</si>
  <si>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https://www.tripadvisor.co.uk/Hotel_Review-g186338-d243667-Reviews-or1695-Travelodge_London_Kings_Cross_Royal_Scot-London_England.html#REVIEWS</t>
  </si>
  <si>
    <t>Scenic59715575387 wrote a review Nov 2018London, United Kingdom1 
contribution</t>
  </si>
  <si>
    <t>LEISUREVery good value for money, a last minute booking.Great location and 
friendly staff. Very quiet location yet very central. I would advice it to 
friends and family. Maybe the price of the breakfast is not very 
competitive therefore I did not try it.Read moreReview collected in 
partnership with TravelodgeDate of stay: October 2018HelpfulShare</t>
  </si>
  <si>
    <t>https://www.tripadvisor.co.uk/Hotel_Review-g191265-d229508-Reviews-or160-Travelodge_Gatwick_Airport_Central-Horley_Surrey_England.html#REVIEWS</t>
  </si>
  <si>
    <t>Chloe Donald wrote a review Nov 201834 contributions6 helpful votes</t>
  </si>
  <si>
    <t>Alex H wrote a review Jan 20207 contributions3 helpful votes</t>
  </si>
  <si>
    <t>Not the bestStayed here for 3 nights with my girlfriend. Bedroom didn't have much too 
it. We also got two single beds when we asked for a double. Small TV with 
not many channels. Small kettle with sugars, milks, coffees &amp; tea bags. The 
whole room looked a bit under-kept and could have done with some work. 
Theres a reason these places are cheap though I suppose.Read moreDate of 
stay: November 2018HelpfulShare</t>
  </si>
  <si>
    <t>Don’t eat the foodBed ok ,room ok, staff ok. The food was bad to inedible.I think I will walk 
around and see what the food is like before I would dream of trying it The 
room was really noisy.noisy plumbing and running water sounds I gave up 
trying to sleep at 0330 .Read moreReview collected in partnership with 
TravelodgeDate of stay: January 2020HelpfulShare</t>
  </si>
  <si>
    <t>PrincipeAzzurro38 wrote a review Jan 2020London, United Kingdom26 
contributions15 helpful votes</t>
  </si>
  <si>
    <t>Culture42568519123 wrote a review Nov 2018Doncaster, United Kingdom1 
contribution</t>
  </si>
  <si>
    <t>In need of updatingRoom was clean but dated. Bathroom &amp; shower could definately do with an 
upgrade. Overall room was acceptable for price. Used the bar once but staff 
too busy talking to each other and one other person at the bar to serve 
anybody else..Bar not comfy or welcoming - Again would benefit from an 
upgradeRead moreReview collected in partnership with this hotelDate of 
stay: November 2018HelpfulShare</t>
  </si>
  <si>
    <t>Bargain!Stayed overnight as my flight was early the next day. Self check in 
machines available to speed up your check-in. Spacious and clean room. 
Decent bar and restaurant and of course, ideally located just minutes from 
the Terminals. Bargain at £29!Read moreDate of stay: January 
2020HelpfulShare</t>
  </si>
  <si>
    <t>Lee D wrote a review Nov 2018West Sussex, United Kingdom4 contributions</t>
  </si>
  <si>
    <t>lizwright2008 wrote a review Jan 20201 contribution</t>
  </si>
  <si>
    <t>1 night stayExcellent in every way. Would highly recommend. Service good, food 
reasonably priced. Comfortable bed, tidy clean room.This is the second time 
I have stayed and I would not consider anywhere else. Very convenient 
shuttle bus service makes this hotel a no brainer!Read moreReview collected 
in partnership with TravelodgeDate of stay: January 2020HelpfulShare</t>
  </si>
  <si>
    <t>Great looking hotel outsideThe first impression of the hotel was good. It is in a good location with 
Kings cross a 10min walk. But beyond the reception the hotel (including the 
room) was small, poorly maintained (décor wise) more like a hospital asylum 
than a London Hotel The food, well if I'd hade the option I would have 
eaten out (all meals)Read moreReview collected in partnership with 
TravelodgeDate of stay: November 2018HelpfulShareResponse from 
TravelodgeUK, Ben from the Social Media Team at Travelodge London Kings 
Cross Royal ScotResponded 3 Dec 2018Thank you for taking the time to write 
a review about our London Kings Cross Royal Scot hotel. We are pleased to 
hear that you liked the hotels location however are sorry to learn of your 
disappointment with the maintenance in the room you were provided. This 
hotel is currently in the process of being refurbished to ensure all the 
rooms are up to our usual high standard. Feedback is invaluable and our 
Hotel Managers regularly review their TripAdvisor reviews in order to fix 
any issues raised and pass on feedback to their team. Thank you once again 
and we do hope you will stay with us in the future.Read more</t>
  </si>
  <si>
    <t>Jonny041 wrote a review Jan 2020London, United Kingdom727 contributions187 
helpful votes</t>
  </si>
  <si>
    <t>Lin94 wrote a review Nov 2018Louth, United Kingdom11 contributions11 
helpful votes</t>
  </si>
  <si>
    <t>Clean and refurbished rooms.Staying here for 1 night. The hotel has been refurbished so it looks smart 
with clean rooms complete with USB charging sockets by bed and digital 
vending machines in reception. We paid £29 so price is good too!Read 
moreDate of stay: January 2020HelpfulShare</t>
  </si>
  <si>
    <t>Lovely staff.The rooms are badly in need of updating. However, the bed was comfortable 
and clean. Having a room at the back meant there was no traffic noise - 
apart from the odd "two-tone" . The staff were helpful and friendly. 
Breakfast on the first morning was pretty chaotic but it was Remembrance 
Sunday and nearly everybody wanted to get away at the same time! The 
evening meal was cheap and tasty - very good value for money. Monday's 
breakfast was far more civilised with plenty of food available. All in all, 
pretty good value for money &amp; would stay there again.Read moreDate of stay: 
November 2018HelpfulShare</t>
  </si>
  <si>
    <t>Samantha1966 wrote a review Jan 2020Alice Springs, Australia8 contributions</t>
  </si>
  <si>
    <t>easy stop at Gatwick airportExcellent for stop over near the airport. Super rooms, great reasonable 
evening menu, good all you can eat breakfast &amp; easy bus transfer too &amp; from 
the airport for only 4 pounds each. Booked online on the website super 
easy.Read moreReview collected in partnership with TravelodgeDate of stay: 
January 2020HelpfulShare</t>
  </si>
  <si>
    <t>https://www.tripadvisor.co.uk/Hotel_Review-g186338-d243667-Reviews-or1696-Travelodge_London_Kings_Cross_Royal_Scot-London_England.html#REVIEWS</t>
  </si>
  <si>
    <t>https://www.tripadvisor.co.uk/Hotel_Review-g191265-d229508-Reviews-or165-Travelodge_Gatwick_Airport_Central-Horley_Surrey_England.html#REVIEWS</t>
  </si>
  <si>
    <t>Joe W wrote a review Jan 20201 contribution</t>
  </si>
  <si>
    <t>JoeReally good customer service , clean room and quiet bar. My friends and I 
enjoyed our quick night stay. No disturbances and interruptions during our 
stay . Would recommend to a friend/ family member..Read moreDate of stay: 
January 2020HelpfulShare</t>
  </si>
  <si>
    <t>Companion50959904496 wrote a review Jan 2020Andover, United Kingdom2 
contributions</t>
  </si>
  <si>
    <t>Value room. Disastrous food.Good value room with close location for Gatwick and good transfer, arranged 
by reception. Dinner menu very limited and food very sub-standard. Mass 
produced and tasteless. Drinks highly overpriced. (£3+ for tonic 
water!)with poor selection if you are a beer drinkerRead moreReview 
collected in partnership with TravelodgeDate of stay: January 
2020HelpfulShare</t>
  </si>
  <si>
    <t>greenhaulageltd wrote a review Jan 20209 contributions1 helpful vote</t>
  </si>
  <si>
    <t>travel lodge gatwick airport centraltraveled to the Gatwick Airport travelodge as ut had a sale on for the 
rooms about £5 cheaper than East Grinstead about 5 miles away where i 
normally stay so i would try Gatwick for a change hotel staff room ect was 
as good as any travelodge no problems at all but what was a bit harsh was 
the minimum £16 parking charge on the hotel car park and i was only there 
for 8 hours at East Grinstead there is loads of local free parking 
including a free council run one with overnight free parkingRead moreReview 
collected in partnership with TravelodgeDate of stay: January 20201 Helpful 
voteHelpfulShare</t>
  </si>
  <si>
    <t>agaralison wrote a review Jan 2020Port Elizabeth, South Africa1 contribution</t>
  </si>
  <si>
    <t>https://www.tripadvisor.co.uk/Hotel_Review-g186338-d243667-Reviews-or1705-Travelodge_London_Kings_Cross_Royal_Scot-London_England.html#REVIEWS</t>
  </si>
  <si>
    <t>Pleasant overnight stayVery comfortable bed and room clean with everything we needed. The staff 
were efficient, helpful and extremely friendly. Position good for Gatwick 
flights , we had a very early morning flight so we could even have the new 
reduced breakfast before we left. Alison, South Africa.Read moreReview 
collected in partnership with TravelodgeDate of stay: January 
2020HelpfulShare</t>
  </si>
  <si>
    <t>guestg636 wrote a review Nov 2018Thirsk4 contributions1 helpful vote</t>
  </si>
  <si>
    <t>https://www.tripadvisor.co.uk/Hotel_Review-g191265-d229508-Reviews-or170-Travelodge_Gatwick_Airport_Central-Horley_Surrey_England.html#REVIEWS</t>
  </si>
  <si>
    <t>Jo W W wrote a review Jan 2020.6 contributions1 helpful vote</t>
  </si>
  <si>
    <t>Hotel disappointingOur bedroom was definitely in need of renovation. There was mould on the 
walls in places.The continental breakfast was adequate.It was handy for 
Kings Cross but I would not stay again. The area around the hotel was a bit 
grotty.Read moreReview collected in partnership with this hotelDate of 
stay: November 2018HelpfulShareResponse from TravelodgeUK, Ben from the 
Social Media Team at Travelodge London Kings Cross Royal ScotResponded 3 
Dec 2018Thank you for taking the time to write a review about our London 
Kings Cross Royal Scot hotel. We are sorry to learn of your disappointment 
with the room you were provided. This hotel is currently in the process of 
being refurbished to ensure all the rooms are up to our usual high 
standards. Feedback is invaluable and our Hotel Managers regularly review 
their TripAdvisor reviews in order to fix any issues raised and pass on 
feedback to their team. Thank you once again and we do hope you will stay 
with us in the future.Read more</t>
  </si>
  <si>
    <t>If its good enough for the pilotsWhat a wonderful hotel. Clean comfortable and luxurious all for a very low 
cost. Upon departing we encountered a pilot checking out. I think that says 
it all. The only downside is the cost of the shuttle bus but that is hardly 
the fault of this wonderful hotelRead moreReview collected in partnership 
with TravelodgeDate of stay: January 2020HelpfulShare</t>
  </si>
  <si>
    <t>Alison wrote a review Nov 2018York, United Kingdom4 contributions2 helpful 
votes</t>
  </si>
  <si>
    <t>StayThe staff were really friendly and helpful. They made our stay good as they 
accepted our luggage into the store early on the first day and we left it 
there until later when we checked out . The room was clean and 
comfortable.Read moreReview collected in partnership with this hotelDate of 
stay: November 2018HelpfulShare</t>
  </si>
  <si>
    <t>Mariaoct_12 wrote a review Jan 2020Nicosia, Cyprus100 contributions11 
helpful votes</t>
  </si>
  <si>
    <t>Voyage61341891988 wrote a review Nov 20181 contribution</t>
  </si>
  <si>
    <t>Very comfortableThe room was very big and clean. Comfortable beds. Good location near the 
airport. The staff was very friendly and helpful. The shower was clean with 
good pressure. Only stayed for 1 night. I recommend the hotel.Read moreDate 
of stay: January 2020HelpfulShare</t>
  </si>
  <si>
    <t>Room too hotThe room itself was disabled room on the ground floor, which was subject to 
lots of noise from people passing by and people returning after a night 
out. It was hard to feel comfortable with all this noise. However the most 
discomforting part of my stay was the heat that my room produced. I had to 
go ask the reception at 4am if they could turn on the air conditioning unit 
as I was having difficulty turning that on. They did but it made very 
little impact on the room. The following day I asked to be moved room as I 
had slept for less than 3 hours that night. They promised me that I would 
be moved and that after people checked out I could have alternative room. 
They failed to keep this promise as I retuned later that day to find that 
they had no rooms left. The man on the reception…Read moreReview collected 
in partnership with this hotelDate of stay: November 
2018HelpfulShareResponse from TravelodgeUK, Ben from the Social Media Team 
at Travelodge London Kings Cross Royal ScotResponded 14 Nov 2018Thank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</si>
  <si>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Dreamer08193043135 wrote a review Nov 2018Edinburgh, United Kingdom1 
contribution</t>
  </si>
  <si>
    <t>https://www.tripadvisor.co.uk/Hotel_Review-g191265-d229508-Reviews-or175-Travelodge_Gatwick_Airport_Central-Horley_Surrey_England.html#REVIEWS</t>
  </si>
  <si>
    <t>janice r wrote a review Jan 2020Cardiff, United Kingdom28 contributions24 
helpful votes</t>
  </si>
  <si>
    <t>Good Budget HotelThe hotel was clean and warm. The staff were friendly and helpful. I was 
lucky and got a room at the end of a corridor, so I had no neighbours and 
had a very quiet night. Breakfast was good with plenty of choice. I ate in 
the hotel one evening and I feel that the standard of evening food needs to 
be improved greatly. On another evening I had a superb meal at a local 
italian restauraunt.Overall I would recommend as good value for London.Read 
moreReview collected in partnership with this hotelDate of stay: October 
2018HelpfulShare</t>
  </si>
  <si>
    <t>ideal stop overlovey clean , quiet hotel within easy reach of Gatwick airport. good food 
plus a bar to relax in. comfortable bed and spacious rooms at a reasonable 
rate. We had a family room which was perfect for us. I have already booked 
to stay here again in MarchRead moreDate of stay: December 2019HelpfulShare</t>
  </si>
  <si>
    <t>https://www.tripadvisor.co.uk/Hotel_Review-g186338-d243667-Reviews-or1710-Travelodge_London_Kings_Cross_Royal_Scot-London_England.html#REVIEWS</t>
  </si>
  <si>
    <t>Pat M wrote a review Jan 2020Greater London, United Kingdom3 contributions</t>
  </si>
  <si>
    <t>Travelodge Gatwick Airport CentralVery good value for money. Only stayed one night but reception very 
helpful. Rooms clean and tidy and well equipped. Beds comfortable and 
showers clean. Evening meal tasty and good value. Bar, Restaurant and 
Lounge clean and very welcoming. Didn't have breakfast so can't comment on 
this.Read moreReview collected in partnership with TravelodgeDate of stay: 
January 2020HelpfulShare</t>
  </si>
  <si>
    <t>Wanderer30747284748 wrote a review Nov 20181 contribution</t>
  </si>
  <si>
    <t>https://www.tripadvisor.co.uk/Hotel_Review-g186338-d1812157-Reviews-or655</t>
  </si>
  <si>
    <t>Discover20644141843 wrote a review Jan 2020Rawmarsh, United Kingdom2 
contributions1 helpful vote</t>
  </si>
  <si>
    <t>Disgusting HotelMy stay at the Royal Scot was appalling. The first room I was given 824, 
was really difficult to get to with the large bags we had, as there was no 
lift access to it and we were offered no help. On entering the room it 
stank of mould and bleach, when we entered the room the carpet was 
saturated and black mould could be seen on the walls in the corners of the 
room. It was awful.Returning to reception I was given no apology, I was 
told there were no double rooms left, which is what I had booked, so I was 
offered a twin room and told they would put the beds together. We were not 
offered help with our bags when changing rooms. On arriving to the new 
room, 534, the beds had not been put together and there was a shelf 
preventing them being put together. The room was very noisy and…Read 
moreReview collected in partnership with TravelodgeDate of stay: November 
2018HelpfulShareResponse from TravelodgeUK, Molly from the Social Media 
Team at Travelodge London Kings Cross Royal ScotResponded 13 Nov 2018Thank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</si>
  <si>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Great hotel expensive to parkWe enjoyed our stay the hotel was great.However £16 for a night ‘s parking 
is ridiculous. I would have put it in the long stay for a extra night 
probably at no extra cost. The hotel was well run, convenient for local 
facilities.Pity about the parking.Read moreReview collected in partnership 
with TravelodgeDate of stay: January 20201 Helpful voteHelpfulShareResponse 
from TravelodgeUK, Zack from The Social Media Team at Travelodge Gatwick 
Airport CentralResponded 13 Jan 2020Thank you for leaving your review of 
our Gatwick Airport Central hotel. We are pleased to hear that you were 
happy with the location of the hotel and that you were pleased with your 
stay in the hotel, however we are sorry to hear of your disappointment with 
the parking charge at the hotel. Please be assured the hotel managers check 
Tripadvisor reviews of their hotels so your comments will be reviewed by 
the hotel's team. Thank you again for leaving this review and we do hope 
that you choose to stay with us again in the future.Read more</t>
  </si>
  <si>
    <t>Curious12896574534 wrote a review Jan 20201 contribution</t>
  </si>
  <si>
    <t>Good clean hotel at a good priceConvenient location to the airport and no hassle tranfers to terminals, 
very friendly welcoming professional staff. A good clean hotel, Value for 
money, not only for the room, but breakfast excellent as well.Read 
moreReview collected in partnership with TravelodgeDate of stay: January 
2020HelpfulShare</t>
  </si>
  <si>
    <t>Derek H wrote a review Nov 201810 contributions4 helpful votes</t>
  </si>
  <si>
    <t>https://www.tripadvisor.co.uk/Hotel_Review-g191265-d229508-Reviews-or180-Travelodge_Gatwick_Airport_Central-Horley_Surrey_England.html#REVIEWS</t>
  </si>
  <si>
    <t>jwallllll wrote a review Jan 20204 contributions</t>
  </si>
  <si>
    <t>Poor Quality for Travelodge standardsA poor hotel, the room was small and advise don't book if more than 1 
person. room security was appalling the locks were hanging off.The food was 
a disgrace during evening although breakfast seemed okRead moreReview 
collected in partnership with TravelodgeDate of stay: November 
2018HelpfulShareResponse from TravelodgeUK, Molly from the Social Media 
Team at Travelodge London Kings Cross Royal ScotResponded 13 Nov 2018Thank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</si>
  <si>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Mick C wrote a review Nov 201816 contributions7 helpful votes</t>
  </si>
  <si>
    <t>Power failurePower failure on Tuesday early morning and no one apologised to the 
customers. I was in the shower and nearly fell because of the power 
failure. There should be a stand by to automatically switch on. It 
shouldn't happenRead moreDate of stay: January 2020HelpfulShareResponse 
from TravelodgeUK, James from the Social Media Team at Travelodge Gatwick 
Airport CentralResponded 12 Jan 2020Thank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</si>
  <si>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Julian B wrote a review Jan 2020Jersey, United Kingdom105 contributions51 
helpful votes</t>
  </si>
  <si>
    <t>Very poor.Stayed over remembrance weekend, along with loads of other attendees. 
Service poor. Room dirty. Bar service virtually non existant. Breakfast 
really poor, had to wait while 'chef' cooked more bacon, egg and sausage 
for the 'unexpected guests'. NOT.Read moreDate of stay: November 
2018HelpfulShareResponse from TravelodgeUK, Tilly from the Social Media 
Team at Travelodge London Kings Cross Royal ScotResponded 20 Nov 2018Thank 
you for your feedback about our London Kings Cross Royal Scot hotel. We are 
really sorry to hear of your experience. Please accept our sincerest 
apologies and we will pass your comments onto the hotel as this does not 
reflect Travelodge standards. If you wish to contact us directly to give us 
more feedback, please be aware that you can always contact our Customer 
Services team with your review. Thank you again for your feedback.Read more</t>
  </si>
  <si>
    <t>Road09608112140 wrote a review Nov 20181 contribution</t>
  </si>
  <si>
    <t>Cheap and convenientFor an overnight stay for connecting flight, it is far cheaper to stay here 
than the hotels connected directly to the terminals and still very close. 
If you pre-order a taxi, it costs £10 and you get to the hotel in 5 
minutes, and the bus stops directly outside the entrance too. The hotel is 
a quarter of the price you would pay if you stayed in the terminal hotels. 
The rooms and beds are comfortable and the only drawback is that free wifi 
is only available for a short period of time.Read moreDate of stay: 
December 2019HelpfulShare</t>
  </si>
  <si>
    <t>Basic hotel at a reasonable costThis is a decent hotel at a reasonable price for London. The facilities are 
basic and the rooms are functional but clean. Breakfast was good but few 
options for people with allergies.Shower was partly broken but use ableRead 
moreReview collected in partnership with TravelodgeDate of stay: November 
2018HelpfulShare</t>
  </si>
  <si>
    <t>cemedwards wrote a review Jan 20202 contributions1 helpful vote</t>
  </si>
  <si>
    <t>https://www.tripadvisor.co.uk/Hotel_Review-g186338-d243667-Reviews-or1715-Travelodge_London_Kings_Cross_Royal_Scot-London_England.html#REVIEWS</t>
  </si>
  <si>
    <t>Working away from home at Christmas.I stayed 3 nights whilst working away from home over Christmas. Being able 
to bring my dogs made it much more bearable! The bed was very comfy and 
staff were great, especially when I had a minor panic because I'd left my 
phone at work and didn't have an alarm clock (the TV has an alarm 
function).Read moreReview collected in partnership with TravelodgeDate of 
stay: December 2019HelpfulShare</t>
  </si>
  <si>
    <t>N15SouthernRailway wrote a review Nov 2018St Helens, United Kingdom154 
contributions19 helpful votes</t>
  </si>
  <si>
    <t>Marie P wrote a review Jan 2020Oldham, United Kingdom30 contributions13 
helpful votes</t>
  </si>
  <si>
    <t>Good for location and price but a bit more maintenance would be well 
receivedThe near central location is great and ideal for train travellers as kings 
cross is close by. The cost is very reasonable to. Breakfast is ok but is 
worse than rival offerings in the same budget hotel sector such as premier 
in and holiday inn. The rooms and corridors are a bit shabby and need 
refurbishment but are kept clean, have stayed twice and would stay 
again.Read moreDate of stay: November 2018HelpfulShare</t>
  </si>
  <si>
    <t>dianaen wrote a review Nov 2018Worcester, United Kingdom280 
contributions148 helpful votes</t>
  </si>
  <si>
    <t>Nice hotel and friendly staff.The hotel itself is good. It is not as near to the airport as I thought. 
There is a shuttle at £4pp and a taxi is £12. This is all extra expense 
especially if there are a few people together. As there is a premier Inn 
within wslking distance this is the easiest option so to tempt people to 
stay at the travel lodge it should be cheaper to get there.Read moreReview 
collected in partnership with TravelodgeDate of stay: December 
2019HelpfulShare</t>
  </si>
  <si>
    <t>Just what you'd expect from a TravelodgeI stayed here because it was convenient for my meetings and the station. 
The staff were friendly and helpful. The foyer area was spacious and 
welcoming, and the cafe looked OK - although I didn't eat there. Ad you 
would expect in a city centre the room was very small, but it was clean and 
the bed was comfortable. Given the area it was very quiet. The bathroom 
could do with a bit of a re-furb, and in bathroom that tiny, a shower would 
be more appropriate than I bath. Frankly it would have taken a 
contortionist to get in and out of that bath.Read moreDate of stay: 
November 2018HelpfulShare</t>
  </si>
  <si>
    <t>Liammac wrote a review Jan 20202 contributions</t>
  </si>
  <si>
    <t>MGOK26 wrote a review Nov 2018Dundalk, Ireland1 contribution1 helpful vote</t>
  </si>
  <si>
    <t>Holiday stop overFirst class everyone was helpful and nice and the food was good very 
helpful bar staff nothing was to much for them the room was nice 
temperature and the heating switch was easy to understand so would use 
again when I fligh ou of GatwickRead moreDate of stay: December 
2019HelpfulShare</t>
  </si>
  <si>
    <t>Travelodge Royal Scot, King's CrossLocation, ten to fifteen minute walk from King's Cross / St. Pancras, is 
very good. Hotel is clean, comfortable and it's good to see it getting a 
much needed face-lift. Staff are helpful and friendly. Samara, on 
reception, was as always, outstanding. Her professionalism, competency and 
welcoming personality always adds to the pleasure of staying at this 
location. Any request, question or issue is always addressed promptly, 
efficiently and with a smile. Samara, you're a star!Read moreReview 
collected in partnership with TravelodgeDate of stay: October 
2018HelpfulShare</t>
  </si>
  <si>
    <t>catbissomcam wrote a review Nov 20184 contributions1 helpful vote</t>
  </si>
  <si>
    <t>https://www.tripadvisor.co.uk/Hotel_Review-g191265-d229508-Reviews-or185-Travelodge_Gatwick_Airport_Central-Horley_Surrey_England.html#REVIEWS</t>
  </si>
  <si>
    <t>Good for locationGood location and very comfortable beds but room was very dated, small and 
the bathroom was a bit grim - very small and bath was very high!! Struggled 
to get in and out! But would stay again as location is very handyRead 
moreReview collected in partnership with TravelodgeDate of stay: November 
2018HelpfulShare</t>
  </si>
  <si>
    <t>Terence G wrote a review Jan 2020Pattaya, Thailand15 contributions7 helpful 
votes</t>
  </si>
  <si>
    <t>mark g wrote a review Nov 2018Powys, United Kingdom4 contributions</t>
  </si>
  <si>
    <t>Excellent valuePerfect hotel for early flight from Gatwick. Clean, quiet and welcoming. 
Good value and good Shuttle Bus service to airport. Restaurant dinner menu 
is limited but provides adequate food. I will go again.Read moreReview 
collected in partnership with TravelodgeDate of stay: January 
2020HelpfulShare</t>
  </si>
  <si>
    <t>Overnight stayGreat place reasonable price I overnight in London every 6 weeks the Royal 
Scott is great it’s our second visit we always stay around kings cross and 
Euston area due to the close proximity to the hospitalRead moreReview 
collected in partnership with this hotelDate of stay: November 
2018HelpfulShare</t>
  </si>
  <si>
    <t>https://www.tripadvisor.co.uk/Hotel_Review-g186338-d243667-Reviews-or1720-Travelodge_London_Kings_Cross_Royal_Scot-London_England.html#REVIEWS</t>
  </si>
  <si>
    <t>GlasgowGal123 wrote a review Jan 2020Glasgow, United Kingdom40 
contributions15 helpful votes</t>
  </si>
  <si>
    <t>Jeanne F wrote a review Nov 2018Burton upon Trent, United Kingdom14 
contributions3 helpful votes</t>
  </si>
  <si>
    <t>Overnight stayVery friendly and helpful reception staff. Rooms a little dated, especially 
the bathroom which was small, adequate but small. Quiet, no noise from the 
corridors or outside. This Travelodge worked well for our needs I hope this 
review is showing on the right hotel, or like on arrival I have the wrong 
one.Read moreDate of stay: November 2018HelpfulShare</t>
  </si>
  <si>
    <t>Good value and friendly staffPositives: Staff were fantastic, very helpful and friendly on reception and 
in restaurant. Room and hotel clean. Family room spacious with 2 singles 
made up and one double. Improvements: price of parking for hotel guests is 
quite expensive for 24hours £16. Could do with a longer free period (1hour) 
or a tiered payment rather than jumping straight up to paying for 24hours 
after an hour. Also more travel cots available. I had a 5 month old with me 
and there was none left An option rather than full breakfast would have 
been good. I’m dairy and soy free so there limited food I could have. But 
kids eat breakfast free with a paying adult A separate area to order food 
than the bar would be helpful as it got busy in evening and took a while to 
order them get the foodRead moreReview collected in partnership with 
TravelodgeDate of stay: January 2020HelpfulShare</t>
  </si>
  <si>
    <t>Navigator62695717314 wrote a review Nov 2018Liverpool, United Kingdom1 
contribution</t>
  </si>
  <si>
    <t>Kristi wrote a review Jan 20201 contribution</t>
  </si>
  <si>
    <t>Very handy and friendlyReasonable (for London) prices, clean room, handy for the station, with 
friendly staff. Being able to leave my suitcase for pretty much a whole day 
and pick it up after meetings on my way home was a really big plus.Read 
moreReview collected in partnership with this hotelDate of stay: October 
2018HelpfulShare</t>
  </si>
  <si>
    <t>Customer care zero!Hotel was clean and the food was good.However when it came to small details 
that actually matter there was no interest from the reception staff to help 
you. My son (4year old)left his comforter blanket behind as we stayed the 
night before our early flight.it has no money value but emotional value.it 
was a simple mistake easy to fix but after multiple calls to try arrange to 
get it back I have had no luck. For me it is the small details that make 
differenceRead moreDate of stay: January 2020HelpfulShareResponse from 
TravelodgeUK, Ben from the Social Media Team at Travelodge Gatwick Airport 
CentralResponded 11 Jan 2020Thank you for taking the time to write a review 
about our Gatwick Airport Central hotel. We're pleased to hear that you 
found the hotel to be clean and you liked the food however we are sorry to 
learn of your disappointment with the service from the hotel team. It’s 
really important to us that our teams provide a fantastic service to our 
guests and remain professional at all times so we are sorry to learn that 
you feel this was not the case on this occasion. We appreciate all the 
feedback we receive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</si>
  <si>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Rosie B wrote a review Jan 2020Brisbane30 contributions5 helpful votes</t>
  </si>
  <si>
    <t>David J wrote a review Nov 2018Redhill, United Kingdom43 contributions9 
helpful votes</t>
  </si>
  <si>
    <t>Perfect pre-flight accommodationWe stayed here on New Years' Eve (ikr!) so we'd be close to Gatwick for our 
early flight the next morning. It went seamlessly. We had a standard family 
room and an upgraded 'super' double. Both were spacious, quiet and comfy. 
The food in the restaurant was pretty good too, along with the service. 
Easy to get to airport on the bus. Recommended.Read moreReview collected in 
partnership with this hotelDate of stay: December 2019HelpfulShare</t>
  </si>
  <si>
    <t>Budget offering wins with location and retro exteriorI had previously stayed here for one night in the summer and back then 
found the Travelodge Kings Cross Royal Scot to be overheated and 
overcrowded. But a second stay in November was a much better experience. 
This time I had a decent sized first floor room with air conditioning, but 
the room was already a reasonable temperature so I didn't need to use the 
aircon. Of course the outside temperature was far lower than when I was 
here in July, which probably helped. There's a good choice for breakfast 
and although I had to wait quite a while to be seated, that was the only 
issue. Unlike some Travelodges, this hotel offers more than just a place to 
sleep - there is a (limited) menu available in the evenings, a bar, and a 
reasonable amount of public space. The staff seem very good and…Read 
moreDate of stay: November 2018HelpfulShare</t>
  </si>
  <si>
    <t>Danny S wrote a review Nov 2018Moreton, United Kingdom11 contributions3 
helpful votes</t>
  </si>
  <si>
    <t>https://www.tripadvisor.co.uk/Hotel_Review-g191265-d229508-Reviews-or190-Travelodge_Gatwick_Airport_Central-Horley_Surrey_England.html#REVIEWS</t>
  </si>
  <si>
    <t>Great for the priceGreat place for a 1 night cheap stay. If I was going to complain about 
anything, it was that the external windows aren't double glazed so you can 
hear external noise, and there is no privacy curtain, so you have to keep 
the black out curtains shut if you want any privacy. Other than that can't 
really complain.Read moreReview collected in partnership with this 
hotelDate of stay: November 2018HelpfulShare</t>
  </si>
  <si>
    <t>Marco wrote a review Jan 2020Whitstable, United Kingdom156 contributions12 
helpful votes</t>
  </si>
  <si>
    <t>What you would expectAlways use Gatwick Airport Central Travelodge when having an early morning 
flight. Decent clean nice sized rooms, easy check in and good location. The 
bar / restaurant is ok although on the pricey side. Car park is separately 
run to the hotel so very expensive for parking, many people park in the 
road outside.Read moreDate of stay: August 2019HelpfulShare</t>
  </si>
  <si>
    <t>https://www.tripadvisor.co.uk/Hotel_Review-g186338-d243667-Reviews-or1725-Travelodge_London_Kings_Cross_Royal_Scot-London_England.html#REVIEWS</t>
  </si>
  <si>
    <t>angelafarrance wrote a review Jan 2020Hastings, United Kingdom612 
contributions123 helpful votes</t>
  </si>
  <si>
    <t>caG5809UD wrote a review Nov 2018York, United Kingdom4 contributions1 
helpful vote</t>
  </si>
  <si>
    <t>Pit stopStayed in a basic room in the ground floor, it was clean and serviceable. 
As others have said parking is pricey at £16 but if you get a bus to the 
terminal it’s £4 pp each way so the same, as I was going to park as planned 
in long stay but working out bus trips there was nothing in it, we ate in 
the cafe/bar, it was ok, burgers, pizzas etc friendly staff so nothing to 
complain about, on the plus it saved us getting up at 2.30am from home.Read 
moreDate of stay: January 2020HelpfulShare</t>
  </si>
  <si>
    <t>Appalling service in a system crisisTravelodge updated their computer system and at Royal Scot that knocked the 
booking system off ALL day. They did not know how to do a manual booking 
service and gave us and other guests room keys for rooms already occupied. 
The one we had the people had found other guests entering their room late 
at night twice. We waited 2 hours before from 11pm before the manager 
eventually made the decision to find alternative hotels for us. We got to 
bed at 2am yet they knew of us at Royal Scot since 11am!! They put the 
wrong hotel on the email feedback so I could not give them feedback. I have 
had a refund after 2 letters of complaint and waiting 3 weeks for them to 
respond! NEVER using Travelodge again.Read moreDate of stay: October 20181 
Helpful voteHelpfulShare</t>
  </si>
  <si>
    <t>sharon m wrote a review Jan 2020Dorchester, United Kingdom14 contributions9 
helpful votes</t>
  </si>
  <si>
    <t>Diane M wrote a review Nov 20181 contribution</t>
  </si>
  <si>
    <t>AdequateHotel was adequate for the price however the parking cost of a minimum of 
£16 is outrageous. Mostly because this isn’t stated when you book the room. 
Ridiculous cost for 11 hours overnight parking. We actually used Park on my 
drive website and got it for £6 just over the road from the hotel.Read 
moreDate of stay: January 2020HelpfulShare</t>
  </si>
  <si>
    <t>Excellent friendly staff and clean comfortable roomLovely girl booked us in. Thank you Anabel. Very friendly and chatty. Thank 
you very much indeed. Clean room. Bathroom is a bit outdated. Could do with 
a refit. The room was lovely clean and comfortable.Read moreDate of stay: 
November 2018HelpfulShare</t>
  </si>
  <si>
    <t>Kate S wrote a review Jan 2020Huntingdon, United Kingdom18 contributions6 
helpful votes</t>
  </si>
  <si>
    <t>Coastal84174 wrote a review Nov 2018Wigan, United Kingdom1 contribution</t>
  </si>
  <si>
    <t>Great locationGreat location for central London and Kings Cross St Pancras. Hotel in need 
of an upgrade in general but room was clean. No noise from street traffic 
or other guests and that was with the window open! Staff very friendly and 
helpful. Tea and coffee in the room but no hairdryer.Read moreReview 
collected in partnership with this hotelDate of stay: November 
2018HelpfulShare</t>
  </si>
  <si>
    <t>Quick stop overnight!We picked this hotel as it’s so close to the airport and we had an early 
morning flight, great value for money for its location. However the 
travelodge app/ website states that there are often discounts available for 
guests if asked for at reception, we were only staying at the hotel for 8 
hours paid which o explained and thought this would mean we would be 
eligible - unfortunately not we still had to pay a basic rate of £16 for 24 
hours, this is almost as much as the room cost me! You are unable to pay 
for any less, this seems a bit silly seen as plenty of people must use it 
as a short pit stop. Unfortunately the bathroom wasn’t very clean a lot of 
hair left behind which I’m beginning to think is just what I should expect 
when staying at travelodges now. Staff were friendly…Read moreDate of stay: 
January 2020HelpfulShare</t>
  </si>
  <si>
    <t>BoardingPass724628 wrote a review Jan 20207 contributions1 helpful vote</t>
  </si>
  <si>
    <t>Elizabeth V wrote a review Nov 2018Las Palmas de Gran Canaria, Spain2 
contributions1 helpful vote</t>
  </si>
  <si>
    <t>Kind and helpful staffWhile staying at the hotel my friend was ill. Giovannah kindly gave us a 
late checkout to assist us. Have stayed before and would definitely stay 
again. Beds are comfortable, good shower, clean rooms and a good breakfast. 
What more to you need? Easy walk to Kings Cross.Read moreDate of stay: 
November 2018HelpfulShare</t>
  </si>
  <si>
    <t>Xmas 2019After booking a stay for nearly a week, a month in advance and paying for a 
super room, only on Xmas day, the day after arriving was I informed by 
reception there would be no housekeeping for "more than one night stayers" 
over Xmas. Allegedly it was to give the house keeping team Xmas off....? 
What in an Airport hotel? But some house keeping did work, (they told me on 
3 times normal pay) to clean the rooms of the guests that stayed only one 
night. Absolutely ridiculous! What business punishes its loyal customers 
first. Very poor management decision. Consequently the corridors and lifts 
were full of discarded rubbish, food and so on for nearly 3 days, 
disgusting. Why did they not advise this when I was booking, or before 
arrival and I then would changed my booking and stayed in a…Read moreDate 
of stay: December 2019HelpfulShare</t>
  </si>
  <si>
    <t>https://www.tripadvisor.co.uk/Hotel_Review-g191265-d229508-Reviews-or195-Travelodge_Gatwick_Airport_Central-Horley_Surrey_England.html#REVIEWS</t>
  </si>
  <si>
    <t>Trip43515622291 wrote a review Jan 2020Isle of Man, United Kingdom2 
contributions</t>
  </si>
  <si>
    <t>https://www.tripadvisor.co.uk/Hotel_Review-g186338-d243667-Reviews-or1730-Travelodge_London_Kings_Cross_Royal_Scot-London_England.html#REVIEWS</t>
  </si>
  <si>
    <t>Gatwick CentralBasic but clean and comfortable. All the staff that dealt with me we're 
pleasant and professional. Nice and quiet so I slept well. The breakfast 
was very good. I will definitely stay again when I have to overnight at 
Gatwick.Read moreReview collected in partnership with TravelodgeDate of 
stay: January 2020HelpfulShare</t>
  </si>
  <si>
    <t>Navigate54511889055 wrote a review Nov 2018Leeds, United Kingdom1 
contribution</t>
  </si>
  <si>
    <t>jean p wrote a review Jan 2020Bristol, United Kingdom5 contributions</t>
  </si>
  <si>
    <t>Travelodge near kings crossGreat value , good rapport frm staff , clean and relevant facilities in 
room and hotel generally - very well looked after by all staff - excellent 
location and value for the purposes of my visit to London.Read moreReview 
collected in partnership with TravelodgeDate of stay: October 
2018HelpfulShare</t>
  </si>
  <si>
    <t>Excellent value for moneyClean, comfortable quiet. Unable to find any negatives about my stay. 
Excellent value for the price I paid. I wouldn’t stay anywhere else when 
travelling to/from Gatwick airport. I would highly recommended a stay 
hereRead moreReview collected in partnership with TravelodgeDate of stay: 
January 2020HelpfulShare</t>
  </si>
  <si>
    <t>kelly w wrote a review Jan 202041 contributions22 helpful votes</t>
  </si>
  <si>
    <t>mousepractice wrote a review Nov 2018Swansea, United Kingdom244 
contributions35 helpful votes</t>
  </si>
  <si>
    <t>https://www.tripadvisor.co.uk/Hotel_Review-g186338-d1812157-Reviews-or660</t>
  </si>
  <si>
    <t>Gatwick Airport TravelodgeGatwick Airport Travelodge I stayed only 1 night, the room was cleaned and 
well maintained, all be it a little warm, turning off the air con help that 
lol, the food was hot and filling but a little expensive, that’s expected 
because of where it is, the shuttle bus was quick and efficient from bus 
stop 9 (where people usually get dropped off in a car) £4 each way!! The 
bed was comfortable and warm, relaxing evening.Read moreReview collected in 
partnership with TravelodgeDate of stay: January 20201 Helpful 
voteHelpfulShare</t>
  </si>
  <si>
    <t>Good Budget HotelThis hotel is about a five minute walk from the tube/train stations at 
Kings Cross, St Pancras and Euston are only slightly further along. Lots of 
places to eat/shops etc also nearly. The hotel seems to have been refurbed, 
our room was freshly painted and the curtains and bedding were new. 
Bathroom a bit small and could have done with a bit of refreshing but clean 
enough. No noise overnight, although some door slamming in the morning. 
Slow closers on the doors would have helped. Bar is open 24 hours, not sure 
about the food part though, we didn't eat in. They could have done with 
more staff though, waited a while for someone to appear at the desk, he 
seemed to have been behind the bar as well. Some disgruntled people 
complaining about not being able to check in till 3pm, which…Read moreDate 
of stay: November 20181 Helpful voteHelpfulShare</t>
  </si>
  <si>
    <t>smurf1969 wrote a review Nov 2018Island of Anglesey, United Kingdom5 
contributions2 helpful votes</t>
  </si>
  <si>
    <t>mandyrichardson1 wrote a review Jan 20201 contribution</t>
  </si>
  <si>
    <t>London tripStayed for 3 nights, walking distance from train stations. We were at the 
back of hotel so think it was quieter than would be at the front, room had 
secondary glazing, room adequate for what we needed, bathroom very small, 
rooms old and very worn looking now, in some desperate need of upgrading. 
Breakfast was great, and staff were lovely.Read moreDate of stay: November 
2018HelpfulShare</t>
  </si>
  <si>
    <t>Overnight stayPlenty of parking, spacious hotel. Queues for self check but wouldn’t give 
out keys so had to queue again. Staff uninterested in customers and 
wouldn’t engage in conversation. Bar area nice spacious and welcoming. Loud 
within the hotel but what you expect from an airport hotel when people 
coming and going at all timesRead moreReview collected in partnership with 
TravelodgeDate of stay: December 2019HelpfulShare</t>
  </si>
  <si>
    <t>https://www.tripadvisor.co.uk/Hotel_Review-g191265-d229508-Reviews-or200-Travelodge_Gatwick_Airport_Central-Horley_Surrey_England.html#REVIEWS</t>
  </si>
  <si>
    <t>https://www.tripadvisor.co.uk/Hotel_Review-g186338-d243667-Reviews-or1735-Travelodge_London_Kings_Cross_Royal_Scot-London_England.html#REVIEWS</t>
  </si>
  <si>
    <t>dianegrubb2020 wrote a review Jan 20201 contribution1 helpful vote</t>
  </si>
  <si>
    <t>Barbara W wrote a review Nov 2018Liverpool, United Kingdom12 contributions7 
helpful votes</t>
  </si>
  <si>
    <t>London Overnight stayGood price for one night stay in London, about 20 minute walk from Euston 
so easy to get to. St Pancras and King's Cross stations about 10 minute 
walk away. Also plentiful busses nearby, but if you enjoy walking it is 
easy to walk to some of the sights such as St Paul's and the Thames.Read 
moreReview collected in partnership with this hotelDate of stay: October 
2018HelpfulShare</t>
  </si>
  <si>
    <t>Travel LodgeWorst place to stay ! Quilt fitted sideways in cover no heating in the room 
hotel wont accept cash food was terrible room was very noisy kitchen staff 
very rude was woke up by false fire alarms at 4-45 am stood outside for 
over 2 hours and not even a coffee offered or apology at 10.05 am we had no 
access to any food anywere after having worst night sleep ever no heating 
in the room it was colder than a fridge we reported this but nothing was 
done there was no milk to make a coffee and none at reception fire brigade 
said the alarms are always going off for no reason never again would we 
stay at a Travel LodgeRead moreReview collected in partnership with 
TravelodgeDate of stay: December 2019HelpfulShareResponse from 
TravelodgeUK, James from the Social Media Team at Travelodge Gatwick 
Airport CentralResponded 3 Jan 2020Thank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</si>
  <si>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Destination261868 wrote a review Nov 20182 contributions</t>
  </si>
  <si>
    <t>doshihit wrote a review Jan 20201 contribution</t>
  </si>
  <si>
    <t>Travelodge ExperienceThis was the first time that we have ever stayed at aTravelodge, and were 
not disappointed. The accommodation was clean, comfortable and within a 
short bus ride to central London. Staff were friendly and hard working.Read 
moreReview collected in partnership with this hotelDate of stay: October 
2018HelpfulShare</t>
  </si>
  <si>
    <t>clean, comfortable , basicconvenient overnight stay for a very early morning flight. basic but 
comfortable and friendly staff. very good transfer options to the airport. 
didn't have breakfast as early flight. shower was too small.Read moreReview 
collected in partnership with TravelodgeDate of stay: December 
2019HelpfulShare</t>
  </si>
  <si>
    <t>Daphne wrote a review Jan 2020Greater Manchester, United Kingdom61 
contributions28 helpful votes</t>
  </si>
  <si>
    <t>HowardA23 wrote a review Nov 2018Liverpool, United Kingdom2 contributions1 
helpful vote</t>
  </si>
  <si>
    <t>Brilliant stayI honestly couldn’t fault this hotel reading some of the reviews I was put 
off and expected the worst. Well I had a lovely stay rooms where cleaned 
and fresh bedding each day heard not one bit of noise and for the staff on 
reception where brilliant couldn’t be more helpful I think if people are 
going to knit pick about this hotel maybe they should go and book a 5* and 
not a travel lodge. I had a great stay and would definitely return as did 
the other couple we travelled with !!!Read moreDate of stay: November 
2018HelpfulShare</t>
  </si>
  <si>
    <t>Easy to get too for Gatwick FlightsGreat price, very nice hotel, only one very minor negative, don’t drink in 
the bar if you are not used to paying top prices, it’s expensive, but then 
you are virtually in the airport so it’s to be expected although a little 
shocking when you’re asked for £14 for a Pint and a VAT, the food in the 
bar was well presented although a small for me. the room was excellent 
clean and comfortable, great shower in the morning, the receptionist when 
we arrived was superb, sadly we don’t have her name and when we checked out 
at 5AM the next morning she wasn’t on, but she was extremely professional, 
curtious and helpful as well as polite. Thank you Travel lodge for a 
restful evening.Read moreDate of stay: December 2019HelpfulShare</t>
  </si>
  <si>
    <t>Testeditbeforeyou wrote a review Dec 2019Geneva, Switzerland1 contribution</t>
  </si>
  <si>
    <t>https://www.tripadvisor.co.uk/Hotel_Review-g186338-d243667-Reviews-or1740-Travelodge_London_Kings_Cross_Royal_Scot-London_England.html#REVIEWS</t>
  </si>
  <si>
    <t>hardbottleaimee wrote a review Nov 2018Leeds, United Kingdom1 contribution</t>
  </si>
  <si>
    <t>TERMS AND CONDITIONS AIN'T NO RELAITYWell I would not degrade this hotel but if you choose this place, 
especially Gatwick Airport Central, be my guest at your own risk! Our room 
wasn't cleaned but we were still charged. Our bathroom started leaking and 
smelt stingy (which we eventually demanded to change of course (rooms)). 30 
minutes free Wifi every 24 hours if you forget to take your master or 
credit card..... OMG! It was something crazy believe meRead moreReview 
collected in partnership with TravelodgeDate of stay: December 
2019HelpfulShareResponse from TravelodgeUK, Shaf from the Social Media 
Team. at Travelodge Gatwick Airport CentralResponded 1 Jan 2020Thank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</si>
  <si>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Good stayThe room was spacious and very clean. The staff were polite, friendly and 
very helpful. We paid extra for breakfast when booking and I’m glad we did 
as this is highly quality. Especially, for the price paid you cannot fault 
any of it.Read moreReview collected in partnership with this hotelDate of 
stay: November 2018HelpfulShare</t>
  </si>
  <si>
    <t>T9300AHtraceyc wrote a review Nov 2018Staffordshire, United Kingdom2 
contributions</t>
  </si>
  <si>
    <t>https://www.tripadvisor.co.uk/Hotel_Review-g191265-d229508-Reviews-or205-Travelodge_Gatwick_Airport_Central-Horley_Surrey_England.html#REVIEWS</t>
  </si>
  <si>
    <t>cazf35 wrote a review Dec 2019Crawley, United Kingdom4 contributions</t>
  </si>
  <si>
    <t>Don't bother worst TravelodgeThis is the worst Travelodge I have ever stayed at. The rooms weren't ready 
despite checking in in the evening. Actually had to accept a different type 
of room if we wanted to check in then, which we needed to due to dinner 
reservations and a show booking. The rooms we did get were dirty, mould in 
the bathroom, poorly maintained, the power sockets in one room were not 
working, the kettle in the other room was filthy, The reception staff 
offered no apology. I have since contacted Travelodge via email with no 
reply. I am a frequent Travelodge customer, this is the worst and the lack 
of customer service following my stay will put me off staying in other 
properties.Read moreReview collected in partnership with TravelodgeDate of 
stay: October 2018HelpfulShareResponse from TravelodgeUK, Charley from the 
Social Media Team at Travelodge London Kings Cross Royal ScotResponded 21 
Nov 2018Thank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</si>
  <si>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Appalling customer serviceWe have checked into the travel.lodge Gatwick airport poverty cross to 
start with we were given our room on paper and key only to find when we got 
to the room another couple were in the room when we complained the 
receptionist said the other couple had spoken to them and told the 
reception but not one single apology was given to us for the embarrassment 
of trying to get into another room, the room was very basic smelled of damp 
and mould around the door frame for what we paid there are much better 
hotels at gatwick which you would receive better service from.Read moreDate 
of stay: December 2019HelpfulShareResponse from TravelodgeUK, Shaf from the 
Social Media Team. at Travelodge Gatwick Airport CentralResponded 1 Jan 
2020Thank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</si>
  <si>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Sue H wrote a review Nov 20181 contribution</t>
  </si>
  <si>
    <t>Adil C wrote a review Dec 2019London, United Kingdom1 contribution</t>
  </si>
  <si>
    <t>Birthday weekendParty of 3 family members. 60+ age group, enjoying a 5 day break to 
celebrate a birthday. Value for money hotel, ideally situated for 
sightseeing. Reception staff, bar and waiting staff all very pleasant and 
happy to help. Food on offer also good value and enjoyable. Some bedrooms 
may benefit from redecoration- however they were still clean and 
comfortable. Would definitely stay here again. Thank you to all members of 
staff, especially Dora- breakfast waitress. The Hinton-Porter-White 
family.Read moreDate of stay: November 2018HelpfulShare</t>
  </si>
  <si>
    <t>Worst experience ever! No heater, unclean room and 4am fire alarm!1. Unclean room! Had coffee and chocolate stains all over the tables and 
the bathroom floor was filthy! 2. Customer service was appalling! Had two 
come down twice from my room to complain about the cleaning of the room and 
that they were supposed to send someone up to clean the room! It never 
happened! 3. Broken thermostat/air conditioning unit! The air conditioning 
unit in our room was broken, so the room was freezing! Reception told us 
that the all the thermostats where broken in the 3rd floor! They knew about 
this, but refused to tell us at checkin! No heater supplied, so had to wear 
our coats to bed! 4. 4am FIRE ALARM!! This was the worst! We were woken up 
to a fire alarm at 4am! Everyone left the building with most in their 
underwear and pjs in the freezing cold (bearing…Read moreReview collected 
in partnership with TravelodgeDate of stay: December 
2019HelpfulShareResponse from TravelodgeUK, Shaf from the Social Media 
Team. at Travelodge Gatwick Airport CentralResponded 1 Jan 2020Thank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</si>
  <si>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wanda w wrote a review Dec 2019Hopton on Sea, United Kingdom5 
contributions1 helpful vote</t>
  </si>
  <si>
    <t>https://www.tripadvisor.co.uk/Hotel_Review-g186338-d243667-Reviews-or1745-Travelodge_London_Kings_Cross_Royal_Scot-London_England.html#REVIEWS</t>
  </si>
  <si>
    <t>Rosie B wrote a review Nov 2018Bournemouth, United Kingdom29 
contributions10 helpful votes</t>
  </si>
  <si>
    <t>Fire alarm no sleep. Poor evacuation skillsEvacuated due to fire alarm. Very poor evacuation proceedures. Am concerned 
if they ever have a real fire. Love this hotel but will never stay here 
again due to my concerns. Will stay at other hotels nearby. Would like to 
know if they called fire service straight away. Took long time to arrive. 
Also dont let them put you on 6th floor. My arthritic knees and back didnt 
like the stairs. Also wonder why they put people in wheelchairs on 6th 
floor. Maybe a phone in the room would be good for people with special 
needsRead moreDate of stay: December 2019HelpfulShareResponse from 
TravelodgeUK, Shaf from the Social Media Team. at Travelodge Gatwick 
Airport CentralResponded 1 Jan 2020Thank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</si>
  <si>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Wouldn't choose to stay here againI was booked into this hotel after an unexpected stay in London. The front 
desk staff were excellent- really friendly and helpful. However, the hotel 
was run down and I don't think I would choose to stay there again. I had no 
cold water in my room and this was quickly rectified after a trip to the 
front desk. The towels in my room were dirty and the electric socket was 
coming away from the wall. The hotel was quite loud and I certainly didn't 
have the best night's sleep. The breakfast was good, the same as any other 
Travelodge.Read moreDate of stay: October 2018HelpfulShare</t>
  </si>
  <si>
    <t>Michael H wrote a review Dec 2019Matlock, England, United Kingdom2 
contributions</t>
  </si>
  <si>
    <t>Booked room unavailableThis was a very short overnight stay. I arrived at 01.30 to find my booked 
SuperRoom was unavailable. No explanation was offered and I accepted a 
standard room, which was clean, quiet and comfortable. The air conditioning 
temperature control seemed ineffective and the TV remote was missing. I did 
not use the restaurant facilities. Information on the airport bus service 
could have been more comprehensive.Read moreReview collected in partnership 
with TravelodgeDate of stay: December 2019HelpfulShare</t>
  </si>
  <si>
    <t>Freedom65437321671 wrote a review Nov 20181 contribution</t>
  </si>
  <si>
    <t>https://www.tripadvisor.co.uk/Hotel_Review-g191265-d229508-Reviews-or210-Travelodge_Gatwick_Airport_Central-Horley_Surrey_England.html#REVIEWS</t>
  </si>
  <si>
    <t>PerfectA very clean, welcoming and enjoyable stay. Staff were very forth-coming 
and helpful. Room was extremely clean and comfortable. Breakfast was 
adequate but could do with a little more variety. Overall a great stay!Read 
moreReview collected in partnership with TravelodgeDate of stay: October 
2018HelpfulShare</t>
  </si>
  <si>
    <t>Giancarlo T wrote a review Dec 20192 contributions</t>
  </si>
  <si>
    <t>620張如e wrote a review Nov 2018Taipei6 contributions</t>
  </si>
  <si>
    <t>Excellent airport hotel optionConvenient and well connected to Gatwick airport. Rooms are fully 
functional hotel atmosphere is welcoming. Cleaneness could be improved both 
in the rooms and the corridors. The carpet is quite tired.Read moreReview 
collected in partnership with TravelodgeDate of stay: December 
2019HelpfulShare</t>
  </si>
  <si>
    <t>mervyndawe wrote a review Dec 2019Stroud, United Kingdom1 contribution</t>
  </si>
  <si>
    <t>the front desk is outstanding!the front desk is outstanding! they were very nice and responsible. the 
location is great for taking night bus to airport. the room is great! 
Everything was very nice here. I highly recommend if you visit to 
Edinburgh, have a stay here!Read moreReview collected in partnership with 
TravelodgeDate of stay: October 2018HelpfulShare</t>
  </si>
  <si>
    <t>Travelodge GatwickVery expensive parking and bathroom not very clean. Parking was charged per 
24 hours and hourly parking could not be purchased making a 10 hour stay 
very expensive. This was not made clear on booking.Read moreReview 
collected in partnership with TravelodgeDate of stay: December 
2019HelpfulShareResponse from TravelodgeUK, Ben from the Social Media Team 
at Travelodge Gatwick Airport CentralResponded 6 Jan 2020Thank you for 
taking the time to write a review about our Gatwick Airport Central hotel. 
We are sorry to learn of your disappointment with the cleanliness of the 
bathroom and the parking costs.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</si>
  <si>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https://www.tripadvisor.co.uk/Hotel_Review-g186338-d243667-Reviews-or1750-Travelodge_London_Kings_Cross_Royal_Scot-London_England.html#REVIEWS</t>
  </si>
  <si>
    <t>Adventure19832479181 wrote a review Nov 2018Leicester, United Kingdom1 
contribution</t>
  </si>
  <si>
    <t>Clean and comfortableStayed for one night - just needed somewhere to sleep after working in 
London and then taking in a concert. Had low expectations as a cheaper 
option and only 2* (I think) but room was comfortable and clean, service 
efficient so fitted the bill. Didn't have the chance to try the food or any 
of the extras.Read moreReview collected in partnership with this hotelDate 
of stay: October 2018HelpfulShare</t>
  </si>
  <si>
    <t>https://www.tripadvisor.co.uk/Hotel_Review-g191265-d229508-Reviews-or215-Travelodge_Gatwick_Airport_Central-Horley_Surrey_England.html#REVIEWS</t>
  </si>
  <si>
    <t>Steve H wrote a review Nov 20182 contributions</t>
  </si>
  <si>
    <t>thanks!First time at this hotel, fabulous central location close to rail and 
underground, great value and v helpful staff with duty manager Jake setting 
a friendly and welcoming tone as soon as we walked in, many thanksRead 
moreDate of stay: October 2018HelpfulShare</t>
  </si>
  <si>
    <t>Alex C wrote a review Dec 2019Benidorm, Spain23 contributions10 helpful 
votes</t>
  </si>
  <si>
    <t>Curiosity39104795375 wrote a review Nov 20181 contribution</t>
  </si>
  <si>
    <t>Good for stop overOver very welcoming no matter when you arriving . I stopped here prior to 
my holiday and also when I returned . 24/7 bar and food which is great for 
a one on a delay ( like myself). Both rooms I stayed in was ok but could do 
with an upgrade to the heating as either it worked intermittent or was too 
load and not about to sleep. Breakfast as always is great there and comfort 
is good. Does not affect me but I really feel that WIFI should be included 
free for longer than 30 mins a day. A lot of competitors have this already. 
However overall I do love Travelodge’s across the UK and would not hesitate 
to book againRead moreDate of stay: December 2019HelpfulShare</t>
  </si>
  <si>
    <t>peterlapping wrote a review Dec 20191 contribution</t>
  </si>
  <si>
    <t>Tired hotelNeeds full modernisation, room without tel, no iron, poor décor. The room 
was cold and had a very small electric heater which was not suitable given 
the size of the room. It had an ironing board but no iron and no telephone 
to call the reception.Read moreReview collected in partnership with 
TravelodgeDate of stay: October 2018HelpfulShareResponse from TravelodgeUK, 
Ben from the Social Media Team at Travelodge London Kings Cross Royal 
ScotResponded 5 Nov 2018Thank you for taking the time to write a review 
about our London Kings Cross Royal Scot hotel. We are sorry to learn of 
your disappointment with the facilities and decoration in this hotel. We 
are currently refurbishing the hotel to ensure we can provide all our 
guests with a positive experience. Feedback is invaluable and our Hotel 
Managers regularly review their TripAdvisor reviews in order to fix any 
issues raised and pass on feedback to their team. Thank you once again and 
we do hope you will stay with us in the future.Read more</t>
  </si>
  <si>
    <t>Late nightThis was a very good stay, it was excellent value and in a great location, 
staff very friendly and helpful regardless of arrival time, breakfast was 
fresh, good selection and a very comfortable dining areaRead moreReview 
collected in partnership with TravelodgeDate of stay: December 
2019HelpfulShare</t>
  </si>
  <si>
    <t>Flyer22655761310 wrote a review Nov 2018Harrogate, United Kingdom1 
contribution</t>
  </si>
  <si>
    <t>Sarah B wrote a review Dec 2019Chelmsford, United Kingdom425 
contributions75 helpful votes</t>
  </si>
  <si>
    <t>London stayThe staff were friendly and helpful and the breakfast was good. The room 
was small for a family room but clean. The bed could have been more 
comfortable in order to get a better night’s sleep. Great location for an 
overnight stay though.Read moreReview collected in partnership with this 
hotelDate of stay: October 2018HelpfulShare</t>
  </si>
  <si>
    <t>Brilliant stopoverWe had an early flight so decided to stay overnight. It is spotless and we 
were impressed with our large airy room. There is nowhere to eat nearby 
without driving so we opted to eat in the hotel. We all were impressed with 
our meals including our vegetarian daughter. They do a 2 course meal for 
£14 per head but we were beaten after just one course. WiFi is free for 30 
mins and then charged at £3 for 24 hours. We paid for parking whilst we 
stayed but chose to use Gatwick valet parking which proved to be more cost 
effective than leaving our car for a week.Read moreDate of stay: December 
2019HelpfulShare</t>
  </si>
  <si>
    <t>https://www.tripadvisor.co.uk/Hotel_Review-g191265-d229508-Reviews-or220-Travelodge_Gatwick_Airport_Central-Horley_Surrey_England.html#REVIEWS</t>
  </si>
  <si>
    <t>https://www.tripadvisor.co.uk/Hotel_Review-g186338-d243667-Reviews-or1755-Travelodge_London_Kings_Cross_Royal_Scot-London_England.html#REVIEWS</t>
  </si>
  <si>
    <t>Culture03468916916 wrote a review Nov 20181 contribution</t>
  </si>
  <si>
    <t>Simonblonde wrote a review Dec 2019London, United Kingdom112 
contributions68 helpful votes</t>
  </si>
  <si>
    <t>KP reviewHotel room adequate, however not enough towels in bathroom and we got 
locked out of our room on 2nd day of stay as reception staff had not set up 
our door cards correctly. Breakfast was a little chaotic (coffee machines 
not working properly)..Read moreReview collected in partnership with this 
hotelDate of stay: October 2018HelpfulShare</t>
  </si>
  <si>
    <t>Great before a flight!Stayed the night before an early flight, so we didn't have a mad rush in 
the morning. Spotlessly clean, very friendly and helpful staff. We opted 
for the cooked buffet breakfast, which was superb and thoroughly 
recommended.Read moreDate of stay: December 20191 Helpful voteHelpfulShare</t>
  </si>
  <si>
    <t>Filippo B wrote a review Dec 201912 contributions2 helpful votes</t>
  </si>
  <si>
    <t>One night stay before an early flightNice room for the money, but there's no free parking. I paid £16 for 24h 
parking and the ticket machine allows to pay for 24h slots only. So 
eventually I paid £39 for the room and £16 for parking. Next time I'll park 
the car at the airport straight away and I'll go for a more expensive 
hotelRead moreReview collected in partnership with TravelodgeDate of stay: 
December 2019HelpfulShare</t>
  </si>
  <si>
    <t>Navigator18298264525 wrote a review Nov 2018Lutterworth, United Kingdom1 
contribution</t>
  </si>
  <si>
    <t>Carey H wrote a review Dec 20197 contributions5 helpful votes</t>
  </si>
  <si>
    <t>Surprisingly relievedI'd read quite a lot of reviews about this Travelodge online whilst booking 
and was filled with trepidation as I decided to book it regardless (on a 
budget, needed cheap). I was relieved to find it in much better condition 
than many had suggested. The public areas were not shabby and I did not 
find them in urgent need of repair. I kinda liked the Art Deco hints on the 
3rd floor. My bathroom had water, both hot and cold, at a good pressure. I 
tested both the bath (evening) and the shower (in the busy 7:30-8am period) 
and had no problems. It was pretty much standard Travelodge fodder and 
would be happy to rebook thereRead moreReview collected in partnership with 
this hotelDate of stay: October 2018HelpfulShare</t>
  </si>
  <si>
    <t>Don't use the carparkHotel was excellent, room clean and immaculate. Staff polite, helpful and 
professional. However, the carpark rate has increased from £8 per day to 
£16 (with hotel discount). Used the hotel twice previously when away for a 
week, £8 was reasonable. However has now double and alas will be seeking an 
alternative hotel with carpark (one already found).Read moreReview 
collected in partnership with TravelodgeDate of stay: December 
2019HelpfulShare</t>
  </si>
  <si>
    <t>Laura H wrote a review Dec 2019Margate, United Kingdom29 contributions7 
helpful votes</t>
  </si>
  <si>
    <t>Great stay, few nigglesStayed here for 2 nights prior to flying and what can I say? What a lovely 
hotel, the rooms are modern and comfortable, clean and warm. The food is 
amazing, we had breakfast, dinner and snacks during our stay and can not 
fault any of it, compliments to the chef x I've seen previous comments 
regarding the food, all I can say in response is, if you're expecting a 
Michelin or fine dining experience then go somewhere else, what you get 
here is good food, pizzas are handmade so won't look like takeaway or shop 
brought, they are tasty and huge, great for sharing x We have one or two 
niggles, firstly our bed was not and as we discovered, could not be, 
clipped together, as a result my husband (who is disabled) managed to fall 
between them, although it was funny (he was fine) we did…Read moreDate of 
stay: December 2019HelpfulShare</t>
  </si>
  <si>
    <t>https://www.tripadvisor.co.uk/Hotel_Review-g191265-d229508-Reviews-or225-Travelodge_Gatwick_Airport_Central-Horley_Surrey_England.html#REVIEWS</t>
  </si>
  <si>
    <t>https://www.tripadvisor.co.uk/Hotel_Review-g186338-d243667-Reviews-or1760-Travelodge_London_Kings_Cross_Royal_Scot-London_England.html#REVIEWS</t>
  </si>
  <si>
    <t>rbaker323 wrote a review Dec 2019St Austell, United Kingdom1 contribution</t>
  </si>
  <si>
    <t>Londonboy210788 wrote a review Nov 2018London2 contributions1 helpful vote</t>
  </si>
  <si>
    <t>Poor room, poor staff.Paid for entry into room as travelled from Cornwall and advised poor 
weather - room not ready on arrival, no explanation and certainly no 
apology. Room hot - terrible. Outside window was a vent from an extractor 
fan - awful. Will never go back; probably never use a travel lodge 
again.Read moreReview collected in partnership with TravelodgeDate of stay: 
December 2019HelpfulShareResponse from TravelodgeUK, Shaf from the Social 
Media Team. at Travelodge Gatwick Airport CentralResponded 26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</si>
  <si>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One of the most inconvenient stays.Wrong rooms booked on the system,I had booked twin rooms and it was double 
rooms that they said I had booked, the staff did not believe their guests. 
Key issues on both nights of our stay. Put in a room already occupied.Read 
moreReview collected in partnership with TravelodgeDate of stay: October 
2018HelpfulShareResponse from TravelodgeUK, Tilly from the Social Media 
Team at Travelodge London Kings Cross Royal ScotResponded 12 Nov 2018Thank 
you for submitting your review of our London Kings Cross Royal Scot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</si>
  <si>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sarahclarke2019 wrote a review Dec 2019Reading, United Kingdom1 contribution</t>
  </si>
  <si>
    <t>Navigate04625834781 wrote a review Oct 20181 contribution</t>
  </si>
  <si>
    <t>Great value, shame about the expensive car parkWe have now used the Travelodge twice for an overnight stay at Gatwick and 
have had a great stay both times. The rooms are large and comfortable and 
good value for money. However, the parking cost is now extortianate! It 
used to be £8 and now its £16! Not worth it in my opinion and if this 
doesn't change, I would think about staying somewhere else instead.Read 
moreReview collected in partnership with TravelodgeDate of stay: December 
2019HelpfulShare</t>
  </si>
  <si>
    <t>Short stayI went to London for a weekend course and found Travelodge London Kings 
Cross Royal Scot was near the venue. I was so pleased not to have to travel 
too far and I was also pleased at the price - it was not too high for me. I 
thoroughly enjoyed the privacy and the opportunity to have a relaxed 
bath.Read moreReview collected in partnership with this hotelDate of stay: 
October 2018HelpfulShare</t>
  </si>
  <si>
    <t>Smashdog wrote a review Dec 2019London, United Kingdom31 contributions8 
helpful votes</t>
  </si>
  <si>
    <t>Very welcomingI stayed one night at this hotel before my flight in the morning. Really 
lovely place. So convenient for the airport with a shuttle bus every 15 
mins. The staff were very friendly and customer focused. I was made to feel 
very welcome. Would definitely recommend.Read moreDate of stay: December 
2019HelpfulShare</t>
  </si>
  <si>
    <t>19MB90 wrote a review Oct 2018Liverpool, United Kingdom3 contributions1 
helpful vote</t>
  </si>
  <si>
    <t>JustJoan77 wrote a review Dec 2019Southend on Sea15 contributions16 helpful 
votes</t>
  </si>
  <si>
    <t>Does the JobWhat can I say it does the job. The rooms are basic but clean and 
functional. The beds are large and comfortable. The location is great for 
the airport and central Horley if you fancy getting out. Great value for 
money.Read moreReview collected in partnership with this hotelDate of stay: 
December 2019HelpfulShare</t>
  </si>
  <si>
    <t>Worst Travelodge experienceI am never concerned about booking a Travelodge as you know what you get. 
This was quite the opposite... On arrival, we were greeted (if you can call 
it that) by a receptionist whose first words were "Yes?". She was too busy 
on her phone to help and told us to go to the other side and wait (this was 
the only encounter of rude, unhelpful staff we had). Once we get our room 
key and made it in to one of the working lifts, it was the wrong room 
(double instead of twin which was booked). Able to change room with no 
issue and dropped bags off before heading out. Main issues were the single 
glazed window and mold. The window was covered in condensation throughout 
the whole stay, no matter what we did to try and clear it. There was so 
much condensation that it dripped down and caused…Read moreDate of stay: 
October 2018HelpfulShareResponse from TravelodgeUK, Shaf from the Social 
Media Team. at Travelodge London Kings Cross Royal ScotResponded 31 Oct 
2018Thank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</si>
  <si>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sjb3310 wrote a review Dec 2019UK22 contributions23 helpful votes</t>
  </si>
  <si>
    <t>Storyteller291849 wrote a review Oct 20181 contribution</t>
  </si>
  <si>
    <t>One of the nicest hotels I’ve stayed in.This hotel was fantastic value for money and has had a multi million pound 
makeover. The staff were very polite and the rooms very clean and 
comfortable. The food wasn’t so good especially the “big burger” it was 
more like tinned burgers stuck together but the pizzas were amazing. 
Absolutely recommend this hotel to anyone and transfer fee by taxi is only 
£6 for a family of 4.Read moreReview collected in partnership with 
TravelodgeDate of stay: December 2019HelpfulShare</t>
  </si>
  <si>
    <t>Noisy! Terrible! Chaos!Noisy neighbors! Young lads were extremely drunk! So much so security was 
up to their door at least 3 times up to 3am!! They smashed something up in 
the room, screamed and shouted and still security did nothing! Every door 
in the whole place slams shut so sleep was a no no! I had booked a quiet 
room, if mine was a quiet room I hate to think what the others were 
like!!Not happy with my stay at all, never been so tired on what was 
supposed to be a quiet relaxing holiday! Disorganised chaos at its finest. 
0 stars ⭐️Read moreReview collected in partnership with this hotelDate of 
stay: October 2018HelpfulShareResponse from TravelodgeUK, Shaf from the 
Social Media Team. at Travelodge London Kings Cross Royal ScotResponded 30 
Oct 2018Thank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</si>
  <si>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https://www.tripadvisor.co.uk/Hotel_Review-g191265-d229508-Reviews-or230-Travelodge_Gatwick_Airport_Central-Horley_Surrey_England.html#REVIEWS</t>
  </si>
  <si>
    <t>Magsstephen wrote a review Dec 2019Nutbourne, United Kingdom6 
contributions5 helpful votes</t>
  </si>
  <si>
    <t>https://www.tripadvisor.co.uk/Hotel_Review-g186338-d243667-Reviews-or1765-Travelodge_London_Kings_Cross_Royal_Scot-London_England.html#REVIEWS</t>
  </si>
  <si>
    <t>Getaway08529980201 wrote a review Oct 20181 contribution</t>
  </si>
  <si>
    <t>Travel lodge stayVery good service st reception,breakfast always good ,rooms comfortable, 
dinners don’t waste your money ,like staying at the hotel ,have stayed on 
many occasions but will only be eating breakfast in future not the 
dinnersRead moreReview collected in partnership with TravelodgeDate of 
stay: December 2019HelpfulShare</t>
  </si>
  <si>
    <t>GoodOverall a pleasant stay.* Rooms were clean, housekeeping was thorough and 
friendly. * Walls are very thin - didn't get any sleep the first night. 
Bought earplugs after that which solved the problem. * (most) staff are 
very friendly and ready to help you. * Hotel has a great location, you're 
at king's cross in a matter of minutes.* we arrived early and were able to 
store our luggage at the hotel which was very convenient. Same thing when 
we checked out, we picked up our luggage at the end of the day.Read 
moreReview collected in partnership with this hotelDate of stay: October 
2018HelpfulShare</t>
  </si>
  <si>
    <t>Tariq127 wrote a review Dec 2019Staffordshire, United Kingdom199 
contributions35 helpful votes</t>
  </si>
  <si>
    <t>Lillott84 wrote a review Oct 2018Horsley, United Kingdom8 contributions2 
helpful votes</t>
  </si>
  <si>
    <t>Overnight before EurostarGood price B&amp;B before we jumped on the Eurostar. 2 adults and a child 
(4yrs) in a small family room with plenty of room for what we needed! 5 to 
10 minute walk (with little legs) from St Pancras / Kings Cross. The 
bedroom decor wise wasnt great but it was just somewhere to put our heads 
for the night. Breakfast was great loads of choice and tasty. A sneaky 
croissant or 2 for the train as well ����. We had a bit of an issue and 
needed to swap rooms and the customer service we received was excellent - 
Edvin &amp; Giovanah were professional, friendly and very helpful. Thank you 
for making our build up to Disney so enjoyable.Read moreDate of stay: 
October 2018HelpfulShare</t>
  </si>
  <si>
    <t>Disabled Room reviewStopped here before a early morning outbound flight &amp; on my return from my 
holiday. I stopped in a super room which in my opinion is well worth the 
extra money i didn't really use the coffee machine although the kit kats in 
room is a nice finishing touch. I also like the you can dim the main lights 
right down which is nice when you want to start getting settled before bed. 
The room i had 653 is one of the biggest in the hotel and it was lovely to 
have such space and also have a view and watch the planes come into land. 
On my outbound flight i had booked for the room to be made up has a double 
however it wasn't but this wasnt a problem for the staff on duty and the 
nice pleasant lady with glasses i believe she was a supervisor or manager 
came up stairs and clipped the beds…Read moreDate of stay: December 
2019HelpfulShare</t>
  </si>
  <si>
    <t>https://www.tripadvisor.co.uk/Hotel_Review-g186338-d1812157-Reviews-or665</t>
  </si>
  <si>
    <t>LittleDM wrote a review Dec 2019United Kingdom71 contributions12 helpful 
votes</t>
  </si>
  <si>
    <t>axcolley wrote a review Oct 2018Edinburgh, United Kingdom1 contribution</t>
  </si>
  <si>
    <t>Great stay, lovely staff.We stayed here the night before our flight out of Gatwick, at £39 for the 
super room plus £16 parking for the night I have very little complaint. 
It’s close to the airport so there was quite a bit of noise of planes 
coming in and taking off and the odd siren but frankly that’s to be 
expected being so close to the airport and didn’t ruin the stay at all. The 
room was clean and tidy and came with a coffee machine. The hotel also has 
a bar that serves food saving us the issue of trying to find somewhere 
inexpensive to eat. Would happily book here again in future. Only downsides 
- £16 for parking wasn’t made clear on the website when we booked and you 
can’t check in until 3pm, most other Travelodge a I’ve been to are 2pm. 
Neither would stop me booking again thoughRead moreDate of stay: December 
2019HelpfulShare</t>
  </si>
  <si>
    <t>dmv501 wrote a review Dec 20191 contribution</t>
  </si>
  <si>
    <t>Avoid if you want a guaranteed twinRooms do what they say on the tin for the price - acceptably clean and good 
location. Had disappointing customer service checking in to our twin room. 
Despite booking twin 5 months in advance, told none were available and the 
booking only guaranteed us a room. So no regard for supply and demand or 
forward thinking about room allocation. Asked for a solution as double was 
not appropriate. Between receptionist and manager - kept waiting for over 
an hour. Manager seemed more willing to supply us with reasons why his job 
was very hard than offer a solution. A rooms miraculously turned up after 
an hour of waiting - felt they were waiting for us to give up rather than 
offer a solution. Manager never gave updates as to what he was doing or 
returned to apologise after finding the…Read moreReview collected in 
partnership with TravelodgeDate of stay: October 2018HelpfulShareResponse 
from TravelodgeUK, Tilly from the Social Media Team at Travelodge London 
Kings Cross Royal ScotResponded 12 Nov 2018We appreciate the time you have 
taken to review our London Kings Cross Royal Scot hotel. It’s really 
important to us that our staff provide a fantastic service to our customers 
and remain professional at all times so we are sorry to learn that you feel 
this was not the case on this occasion. We are however pleased to hear that 
your room was clean it is a good location for you. Your comments will be 
passed on to our hotel colleagues to ensure that the correct level of 
service is provided at all times.Read more</t>
  </si>
  <si>
    <t>Non existent wifiAlthough the hotel did what said on the tin, the wifi access did not work 
and the staff were unable to resolve the problem aside from offering a 
customer service number to call for me to sort out the issueRead moreReview 
collected in partnership with TravelodgeDate of stay: December 
2019HelpfulShareResponse from TravelodgeUK, Zack from The Social Media Team 
at Travelodge Gatwick Airport CentralResponded 19 Dec 2019Thank you for 
submitting your helpful review of our Gatwick Airport Central Travelodge 
and taking the time to share your experience with us. We're so sorry to 
hear you experienced WiFi connectivity issues on your recent stay with us. 
In such instances we would suggest this is reported to the reception team 
to enable them to report this to Arqiva and resolve this for you. Your 
feedback is important to us and we can confirm the hotel have been notified 
of your experience. Thank you again for your review.Read more</t>
  </si>
  <si>
    <t>jerryr0bins0n wrote a review Oct 20187 contributions</t>
  </si>
  <si>
    <t>katiewatts12345 wrote a review Dec 2019Derby, United Kingdom1 contribution</t>
  </si>
  <si>
    <t>Travel Lodge KXBasic - the bedroom was clean and well maintained, but the bathroom a 
little shabby and the water for the bath tapid to cold the breakfast was 
virtually inedible The reception staff were dismissive and on one occasion 
rudeRead moreReview collected in partnership with TravelodgeDate of stay: 
October 2018HelpfulShare</t>
  </si>
  <si>
    <t>Markw3209 wrote a review Oct 2018Nottingham, United Kingdom49 
contributions10 helpful votes</t>
  </si>
  <si>
    <t>Ridiculous parking pricesMyself and my partner we’re going to NYC and we live in Derby so needed a 
hotel - booked this as it was incredibly cheap and convenient, all in all 
the stay was absolutely fine. The only downside it that you have to pay for 
24 hours of parking which I believe is £16... we had an early flight so we 
were there for around 5 hours, £16 was ridiculous baring in mind I think we 
paid around £35 for the room.Read moreDate of stay: December 
2019HelpfulShareResponse from TravelodgeUK, Shaf from the Social Media 
Team. at Travelodge Gatwick Airport CentralResponded 19 Dec 2019Thank you 
for reviewing our Gatwick Airport Central Travelodge. We're really sorry to 
learn of your disappointment regarding the parking charges. Unfortunately 
this hotel car park is owned by a third party and we do not have control 
over the rates they charge at. We do provide this information on our 
website. Feedback is invaluable and our Hotel Managers regularly review 
their TripAdvisor reviews in order to fix any issues raised and pass on 
feedback to their team. Thank you once again and we do hope you will stay 
with us in the future.Read more</t>
  </si>
  <si>
    <t>Super impressed...and pleasantly surprised!We’ve just arrived for a 3 day visit with the kids, to London for the half 
term break. We thought we’d take a punt and turn up 30 minutes earlier than 
we were meant to and see if the room was ready for us, which it was - 
result. The checking in process was handled quickly and the lady on the 
desk gave us a warm welcome and offered us in help in terms of directions 
that we might need. Our room (we’d booked a ‘family superior’ room) was on 
the top (4th) floor, which was easily accessible with the use of the lifts. 
The room itself is the nicest travelodge room I’ve ever stayed in - it’s 
clear that it’s been recently renovated as everything seems very new in the 
room. It’s equipped with tea and coffee facilities (normal kettle AND a 
lavazza espresso machine!), a flat screen…Read moreDate of stay: October 
2018HelpfulShare</t>
  </si>
  <si>
    <t>https://www.tripadvisor.co.uk/Hotel_Review-g191265-d229508-Reviews-or235-Travelodge_Gatwick_Airport_Central-Horley_Surrey_England.html#REVIEWS</t>
  </si>
  <si>
    <t>The Travel Times wrote a review Dec 2019London, United Kingdom8 
contributions1 helpful vote</t>
  </si>
  <si>
    <t>https://www.tripadvisor.co.uk/Hotel_Review-g186338-d243667-Reviews-or1770-Travelodge_London_Kings_Cross_Royal_Scot-London_England.html#REVIEWS</t>
  </si>
  <si>
    <t>tigga1969 wrote a review Oct 2018Lincolnshire, United Kingdom1 contribution</t>
  </si>
  <si>
    <t>Great room. Bit noisy.We’ve stayed here three times now. Rooms are great value for the money and 
the hotel is very close to the airport, which is incredibly convenient. For 
the money, it is difficult to complain. The staff and friendly, but appear 
a little disorganised. The rooms aren’t very sound proof either. We heard 
some children screaming in the hallway which woke us up. And could hear the 
person next door taking their shower. And some rooms on the first floor 
aren’t accessible via an elevator. They have a `second’ first floor, which 
requires you to walk down a long corridor and up some stairs. That’s fine 
if you don’t have suitcases with you! Overall, great value. Rooms are clean 
and beds are comfy. Just some minor annoyances.Read moreDate of stay: 
December 2019HelpfulShareResponse from TravelodgeUK, Shaf from the Social 
Media Team. at Travelodge Gatwick Airport CentralResponded 19 Dec 2019Thank 
you for reviewing our Gatwick Airport Central Travelodge. We're really 
pleased to hear you liked the location of the hotel and rooms were good 
value for money. We're sorry to hear your stay had been affected with the 
internal noise and hotel team service were not up to standards on this 
occasion. Feedback is invaluable and our Hotel Managers regularly review 
their TripAdvisor reviews in order to fix any issues raised and pass on 
feedback to their team. Thank you once again and we do hope you will stay 
with us in the future.Read more</t>
  </si>
  <si>
    <t>Brilliant staffRecently visited the Travelodge Kings cross in London and the hotel was 
just what we needed. The room was everything we needed and clean and the 
staff were amazing. Hope to be visiting it again very soon.Read moreReview 
collected in partnership with this hotelDate of stay: October 
2018HelpfulShare</t>
  </si>
  <si>
    <t>john waters wrote a review Dec 20191 contribution</t>
  </si>
  <si>
    <t>Kath J wrote a review Oct 2018Bourton, United Kingdom43 contributions17 
helpful votes</t>
  </si>
  <si>
    <t>One night stayMy friend and I wanted somewhere reasonably priced to stay for one night in 
London, and we found it at this hotel. We were able to check in early for 
£10 which was a bonus. Check out is 12 noon, which is very good; however we 
were out well before then. The twin room was very adequate, hanging space 
and a god sized tv. The bathroom was fine with very hot water. A great 
value for money location,Read moreReview collected in partnership with this 
hotelDate of stay: October 2018HelpfulShare</t>
  </si>
  <si>
    <t>could be betterI was travelling from Gatwick airport today and was disgusted at what i 
witnessed, a women called "Emma" for whom looked like the manager was 
speaking to her staff as if they weren't human, in all my years i would 
never think a manager would abuse her power on such a scale to force a 
member of her staff to walk out, Disgraceful! not only that she did not 
smile once or welcome any customer who was checking in. Im not sure what 
kind of hotel would let there staff be treated like that but from what i 
have seen i will not be returning to Travelogue and i will be shocked if 
they still have staff by the new years.Read moreDate of stay: December 
2019HelpfulShareResponse from TravelodgeUK, James from the Social Media 
Team at Travelodge Gatwick Airport CentralResponded 18 Dec 2019Thank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</si>
  <si>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panther9992019 wrote a review Dec 20191 contribution</t>
  </si>
  <si>
    <t>AliQ43 wrote a review Oct 2018Durham, United Kingdom49 contributions26 
helpful votes</t>
  </si>
  <si>
    <t>Suited my needsI was arriving late and exiting early. Staff were helpful and the room was 
clean and warm. WiFi was fine and there was a 24hour Bar, which was great, 
as I just wanted to have a glass of wine before bedRead moreReview 
collected in partnership with TravelodgeDate of stay: December 
2019HelpfulShare</t>
  </si>
  <si>
    <t>2ns Stay at Royal Scot - close to Kings CrossBooked this hotel for a 2 night stay having stayed last year. Excellent 
location for Kings Cross/St Pancras bus routes and tube station giving 
access all over the city.Staff are very friendly and helpful at this Hotel. 
Rooms are dated but clean and comfortable although our room on this 
occasion was missing the drawers/table between the beds presumably damaged 
and removed, which was a bit disappointing . Bathrooms are small but clean 
~ my only criticism is no glasses or plastic cups provided in Travelodge 
bathrooms. This is obviously an older hotel and some maintenance work was 
going on but this didn’t effect our stay. Good value for money when staying 
in London which is why it is one of my first choices when staying in London 
and I will be staying here again in January. Would…Read moreReview 
collected in partnership with TravelodgeDate of stay: October 
2018HelpfulShare</t>
  </si>
  <si>
    <t>177Pauline wrote a review Dec 2019Manchester, United Kingdom6 
contributions5 helpful votes</t>
  </si>
  <si>
    <t>Hotel very good restaurant not so goodRoom, reception staff excellent, perfect location for Gatwick Airport. Good 
value for money. Restaurant experience not so good, had to wait 15 minutes 
before we had a drink, 25 minute wait for posh fish finger sandwich which 
was disgusting.Read moreDate of stay: December 2019HelpfulShare</t>
  </si>
  <si>
    <t>ScholesA wrote a review Oct 2018Manchester, United Kingdom10 contributions3 
helpful votes</t>
  </si>
  <si>
    <t>PoorThe hotel is in serious need of renovation. The bedrooms look old, the 
bathroom was dirty looking and looked like it needs some serious TLC. The 
lifts weren’t operating properly and one was out of order; looked like the 
walls were falling in. The iron I borrowed spewed water everywhere so it 
took me more time to iron my “wet” clothes. Only upside was the 
friendliness and helpfulness of one of the receptionists. I won’t be 
staying here again and wouldn’t recommend anyone else. Mine was a last 
minute booking for work but I’m sure you can get better value for money 
elsewhere.Read moreDate of stay: October 2018HelpfulShareResponse from 
TravelodgeUK, Charley from the Social Media Team at Travelodge London Kings 
Cross Royal ScotResponded 6 Nov 2018Thank you for taking the time to review 
our London Kings Cross Royal Scot Hotel. We would like to apologise for the 
issues that you experienced during your stay such as the fact that the 
lifts were out of order. On the other hand, it's great to hear that you 
found the team to be friendly. Thanks again for submitting your review and 
we hope to welcome you back soon to enjoy a fully comfortable stay.Read more</t>
  </si>
  <si>
    <t>DreadfulFire alarms and non existent early breakfast It’s understandable that 
nothing can be done about the fire alarm going off at 4am but the fire was 
caused by an portable electric heater in a bedroom. In this day and age why 
are they in the rooms anyway? So having stood in the car park with mothers 
with baby’s wrapped up in blankets trying to prevent them from being cold, 
we were eventually allowed back to our rooms, giving up on going back to 
bed due to an impending early flight I packed my case and headed down for 
the continental breakfast. What a joke. 1 shrivelled up croissant and stale 
bread for toast. The place looked like a bomb had dropped on it. The coffee 
machine delivered a Luke warm cup of mud. The juice machine delivered 
yellow water. Don’t know where any of the staff…Read moreDate of stay: 
December 2019HelpfulShareResponse from TravelodgeUK, Shaf from the Social 
Media Team. at Travelodge Gatwick Airport CentralResponded 17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</si>
  <si>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https://www.tripadvisor.co.uk/Hotel_Review-g186338-d243667-Reviews-or1775-Travelodge_London_Kings_Cross_Royal_Scot-London_England.html#REVIEWS</t>
  </si>
  <si>
    <t>https://www.tripadvisor.co.uk/Hotel_Review-g191265-d229508-Reviews-or240-Travelodge_Gatwick_Airport_Central-Horley_Surrey_England.html#REVIEWS</t>
  </si>
  <si>
    <t>sjcoldboy wrote a review Dec 2019Northampton, United Kingdom5 
contributions4 helpful votes</t>
  </si>
  <si>
    <t>188mrg wrote a review Oct 2018Corby, United Kingdom33 contributions9 
helpful votes</t>
  </si>
  <si>
    <t>Did what it said on the boxBooked to stay overnight before and after a trip on Eurostar from St 
Pancras. It was a good choice. A busy hotel but efficient. Good for a one 
night stay over, but not sure if I would stay any longer. Travelodge 
normally do what they do well, this was no exception.Read moreReview 
collected in partnership with this hotelDate of stay: October 
2018HelpfulShare</t>
  </si>
  <si>
    <t>Gatwick hotel - watch out for parking chargesGood price if booked early for staying at a London airport. Just snatches 
defeat from victory for car parking costs and appallingly cooked 
breakfasts. Location excellent but some additional training required for 
staff regarding hospitality standards including how to greet customers.Read 
moreDate of stay: December 2019HelpfulShareResponse from TravelodgeUK, Shaf 
from the Social Media Team at Travelodge Gatwick Airport CentralResponded 
17 Dec 2019Thank you for reviewing our Gatwick Airport Central Travelodge. 
We're really pleased to hear you liked the location of the hotel and sorry 
to learn of your disappointment regarding the parking charges. We are sorry 
to hear the breakfasts were not to your liking and greetings were not up to 
standards on this occasion. Feedback is invaluable and our Hotel Managers 
regularly review their TripAdvisor reviews in order to fix any issues 
raised and pass on feedback to their team. Thank you once again and we do 
hope you will stay with us in the future.Read more</t>
  </si>
  <si>
    <t>StandardKat wrote a review Oct 2018Telford, United Kingdom1 contribution</t>
  </si>
  <si>
    <t>Ok for one cheap nightWe stayed for one night and the hotel was as expected for the money we 
paid. It took three attempts to first get working keys for the room with 
one of us having to go down and back up. The reception area looked quite 
nice but when we eventually got into the room, it was tired and basic. The 
bed was comfy and the bedding was clean, but those were the highlights of 
the room. The wallpaper was peeling up in an area and the window box and 
radiator both needed a good clean. The chair for the desk was a basic hard 
plastic that cut off half the room due to an odd placement for the desk, 
mirror, bed and tv. The heating was a little old, being a radiator you turn 
on yourself, but it heated the room quickly. There's no phone for reception 
in the room and no plugs near the bed. If you…Read moreDate of stay: 
October 2018HelpfulShare</t>
  </si>
  <si>
    <t>M8128VQbrianw wrote a review Dec 2019Busot, Spain3 contributions2 helpful 
votes</t>
  </si>
  <si>
    <t>https://www.tripadvisor.co.uk/Hotel_Review-g186338-d243667-Reviews-or1780-Travelodge_London_Kings_Cross_Royal_Scot-London_England.html#REVIEWS</t>
  </si>
  <si>
    <t>Disgusting Hotel and service.Hotel rooms only get cleaned every 3 days. Clean towels and bedding every 3 
days. The heating and air con only works if reception turn it on. We had 
fire alarms go off at 4:15am and there was 1 member of staff standing in 
the car park, no roll call done, the staff member did not know who was in 
or out of their rooms. People were still going back to their rooms while 
the alarm was going off and before the fire brigade arrived but no one from 
Travelodge stopped them from doing this. There seems to be a lack of 
training for all staff. You have to pay for parking but the minimum you can 
pay for is £16 for 24 hours. DO NOT BOTHER STAYING HERE UNLESS YOU ARE VERY 
DESPERATE.Read moreReview collected in partnership with TravelodgeDate of 
stay: December 20191 Helpful voteHelpfulShareResponse from TravelodgeUK, 
James from the Social Media Team at Travelodge Gatwick Airport 
CentralResponded 16 Dec 2019Thank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</si>
  <si>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rizminhaj wrote a review Oct 2018Bradford, United Kingdom48 contributions13 
helpful votes</t>
  </si>
  <si>
    <t>Georgina M wrote a review Dec 2019Ryde, United Kingdom221 contributions131 
helpful votes</t>
  </si>
  <si>
    <t>Smooth operationTook a leadership delegation consisting of 35 individuals to Parliament. We 
stayed at Travel Lodge. We were greeted by Haleema who assisted us upon 
arrival. I can say it was one of the most exceptional customer service 
experience and her assistance was exemplary. I would strongly recommend 
this hotel. Well done ����Read moreDate of stay: October 2018HelpfulShare</t>
  </si>
  <si>
    <t>brackley123 wrote a review Oct 2018Llanbedr, United Kingdom108 
contributions45 helpful votes</t>
  </si>
  <si>
    <t>A very poor night's sleep and an expensive airport transfer!Although we thought the price of the room was acceptable, £29.99, the 
airport transfers added another £16 for two people, making our stay 
effectively £45, without any food. In future I would prefer to stay closer 
to airport and not pay for a bus. On arrival, the automatic check-in 
machines were not working, although receptionists seemed efficient. Our 
room was fine, cheap and cheerful, no frills, decent shower, clean. Why do 
you only get half an hour free WiFi? Why should we have to pay? I’ve stayed 
in much smaller non-chain hotels at home and abroad where wifi is totally 
free. At 4am the fire alarm went off. At first we thought it was the smoke 
alarm. There were no staff around to give advice or help. Guests assembled 
in reception, there were no staff anywhere. We…Read moreDate of stay: 
December 2019HelpfulShareResponse from TravelodgeUK, Zack from The Social 
Media Team at Travelodge Gatwick Airport CentralResponded 16 Dec 2019We 
appreciate the time you have taken to review our hotel. We are pleased to 
hear you found your room to be at a good rate and that you found it to be 
clean and comfortable, however we are sorry to hear of your disappointment 
with the way the fire alarm evacuation was handled. It’s really important 
to us that our staff provide a fantastic service to our customers and 
remain professional at all times so we are sorry to learn that you feel 
this was not the case on this occasion. Your comments will be passed on to 
our hotel colleagues to ensure that the correct level of service is 
provided at all times.Read more</t>
  </si>
  <si>
    <t>NoisyHaving re-read all my reviews about this hotel, it is ALWAYS the noise that 
gets me!!! PLEASE LISTEN TRAVELODGE.....FIT SLOW RELEASE SHUTTERS ON YOUR 
BEDROOM DOORS Why I keep staying here and always moan about it I will never 
know!!!Read moreDate of stay: October 2018HelpfulShare</t>
  </si>
  <si>
    <t>Beverleyyy1 wrote a review Dec 20192 contributions4 helpful votes</t>
  </si>
  <si>
    <t>cassolotl wrote a review Oct 2018London, United Kingdom1 contribution</t>
  </si>
  <si>
    <t>Great value hotelA lovely hotel close to the Airport, goid shuttle service to and from the 
Airport. Has a restaurant and 24 he food service. Good for an overnight 
stay!!!! Easy to get to, by taxi or the shuttle bus which runs regularly 
and drops you right to the hotel door. Lovely big clean room and a well 
maintained hotel, great for short stays and for families.Read moreReview 
collected in partnership with TravelodgeDate of stay: December 
2019HelpfulShare</t>
  </si>
  <si>
    <t>Room was not cleaned properly when I arrivedThe breakfast was fine, the staff were lovely, and the bed was comfortable. 
But the bath was slimy and had other people's hairs in it and the bed 
sheets didn't smell fresh and had brown stains on them. Clearly neither had 
been cleaned since the last person stayed there!Read moreDate of stay: 
October 2018HelpfulShare</t>
  </si>
  <si>
    <t>Drew H wrote a review Oct 2018Mount Gambier, Australia490 contributions53 
helpful votes</t>
  </si>
  <si>
    <t>https://www.tripadvisor.co.uk/Hotel_Review-g191265-d229508-Reviews-or245-Travelodge_Gatwick_Airport_Central-Horley_Surrey_England.html#REVIEWS</t>
  </si>
  <si>
    <t>Excellent hotelReally impressed with the quality of accommodation and the friendly 
competent service. Room is clean and well fitted. The bed is extremely 
comfortable. All in all this is a superb location convenient for Kings 
Cross station and a bus stop outsideRead moreDate of stay: October 
2018HelpfulShare</t>
  </si>
  <si>
    <t>https://www.tripadvisor.co.uk/Hotel_Review-g186338-d243667-Reviews-or1785-Travelodge_London_Kings_Cross_Royal_Scot-London_England.html#REVIEWS</t>
  </si>
  <si>
    <t>393samanthad wrote a review Dec 2019Southampton, United Kingdom74 
contributions13 helpful votes</t>
  </si>
  <si>
    <t>twiz63 wrote a review Oct 20187 contributions2 helpful votes</t>
  </si>
  <si>
    <t>Good budget hotelI stayed here for a couple of nights for a business trip. The staff were 
pleasant and the room was comfortable and overall the stay offered great 
value. Rooms here appeared larger than average and were nicely finished 
with good bathrooms. Breakfast wasn't cheap but it was convenient and 
offered a good selection so I would buy again in the future. Dinner would 
be best avoided as the quality of the food was poor (my fish and chips 
contained very little fish), however it was served quickly and politely so 
if you just want something easy it's an option - pudding however was 
delicious and is highly recommended! Parking is again not cheap, but given 
the location and the very low room price it works out okay overall so it's 
worth it for the ease. Overall, I'd happily stay again,…Read moreReview 
collected in partnership with TravelodgeDate of stay: December 
2019HelpfulShare</t>
  </si>
  <si>
    <t>Good value and obliging staffThis hotel is clean and great value for an overnight or short stay in 
London if you just want somewhere to sleep and to eat breakfast at a 
reasonable price. It's close to Kings Cross and I loved that we could leave 
our bags both pre-check-in and post-check-out so we were free to sightsee 
without having to lug bags around (which you're not allowed to take in to 
most places anyway). The room had an opening window which meant fresh air 
and it was clean and pleasant to stay in if a little well-worn (eg. chipped 
bedside tables). The bathroom was clean and in working order - just the 
toilet handle needed tweaking to flush properly and the shower was very hot 
and I couldn't adjust it (probably could have askedfor help but didn't have 
time) . The staff were really really friendly…Read moreReview collected in 
partnership with TravelodgeDate of stay: October 2018HelpfulShare</t>
  </si>
  <si>
    <t>Zita G wrote a review Dec 20191 contribution</t>
  </si>
  <si>
    <t>Ornat M wrote a review Oct 20185 contributions1 helpful vote</t>
  </si>
  <si>
    <t>Overnight StayI give this a 100% from the time we booked in and to the catering staff 
polite helpful and caring AWESOME this has been a fantastic relaxing 
evening before we fly out for a long awaited holiday it’s a shame our 
flight is so early and we will miss the breakfast always a treat with 
TravelodgeRead moreDate of stay: December 2019HelpfulShare</t>
  </si>
  <si>
    <t>Great Value for Money!This hotel is an excellent choice! Location super attractive, very comfy 
bed and room, helpful and kind staff, all at a very competitive price. All 
you can expect and more, for a decent price! I stayed 3 nights, and really 
wish I could stay longer. Definitely will come back to stay in this hotel 
again!Read moreReview collected in partnership with TravelodgeDate of stay: 
October 2018HelpfulShare</t>
  </si>
  <si>
    <t>https://www.tripadvisor.co.uk/Hotel_Review-g191265-d229508-Reviews-or250-Travelodge_Gatwick_Airport_Central-Horley_Surrey_England.html#REVIEWS</t>
  </si>
  <si>
    <t>Fine but it needs redecoratingI stayed here for 1 night on business and have no real complaints but it's 
got nothing to make it better than average either. I've seen a few people 
have had check in issues but mine was quick and efficient. They are doing 
some renovations on the ground floor but that didn't affect me. But they 
need to do the redecorating in the rooms. Mine looked like it hadn't been 
touched since the 1980s. Whilst it was clean and tidy, the carpet was 
grubby and stained, the mirror framed cracked and chipped and the walls 
marked and dented. The bed was comfortable though and they must be 
commended on the noise insulation. My room overlooked a central London main 
road but with the windows shut I didn't hear a thing. The only downside was 
that the room got quite warm and had a heater but no…Read moreDate of stay: 
October 2018HelpfulShare</t>
  </si>
  <si>
    <t>Getaway51354591866 wrote a review Dec 20191 contribution</t>
  </si>
  <si>
    <t>Denise A wrote a review Oct 2018Sheffield, United Kingdom2 contributions3 
helpful votes</t>
  </si>
  <si>
    <t>Travelodge Gatwick - Great experienceStayed on way home after watching Chelsea play ahead of early morning 
flight - really great value. Staff friendly, room clean, checkin efficient, 
close to airport....free tea and coffee all day. At a great price 
too...Read moreReview collected in partnership with TravelodgeDate of stay: 
December 2019HelpfulShare</t>
  </si>
  <si>
    <t>Family tripFriendly staff, good , clean accommodation, value for money. Good location, 
we walked every where and we were a family aged from seven to nearly 
seventyOnly slight criticism was breakfast- good food but not enough 
tables.Read moreReview collected in partnership with this hotelDate of 
stay: October 2018HelpfulShare</t>
  </si>
  <si>
    <t>wendy s wrote a review Dec 2019London, Canada4 contributions4 helpful votes</t>
  </si>
  <si>
    <t>MickT wrote a review Oct 2018Huntingdon, United Kingdom287 contributions76 
helpful votes</t>
  </si>
  <si>
    <t>Clean and convenientA good night's sleep before travel, in a clean and refurbished hotel made 
for a relaxing flight the next morning. TripAdvisor wouldn't submit a 
review unless I used a minimum of 200 characters, so I am filling up the 
space. For busy people, they might not want to write an essay.Read 
moreReview collected in partnership with TravelodgeDate of stay: December 
2019HelpfulShare</t>
  </si>
  <si>
    <t>Few Day's In LondonThis is the Travelodge, so prices &amp; the accommodation should be what you 
expect from Travelodge.This one at the movement has the builders in, but 
didn't hear any noise till after 09.00 in the morning or during the 
night.The room was tidy &amp; clean, we only problem we found was that the 
lights in the wardrobe were not working &amp; a hanging rall was missing, along 
with a small crack in the top of the toilet. All reported when we left to 
the reception staff.The hotel is about 15 - 20 min walk from the railway 
station.Read moreReview collected in partnership with TravelodgeDate of 
stay: October 2018HelpfulShare</t>
  </si>
  <si>
    <t>r52goo wrote a review Dec 2019Luton, United Kingdom19 contributions8 
helpful votes</t>
  </si>
  <si>
    <t>https://www.tripadvisor.co.uk/Hotel_Review-g186338-d243667-Reviews-or1790-Travelodge_London_Kings_Cross_Royal_Scot-London_England.html#REVIEWS</t>
  </si>
  <si>
    <t>Amazing TravelodgeWe decided to stay at Gatwick Central for a flight the following morning. 
The ground floor foyer and bar/lounge is amazing. Not a typical travelodge 
and gives the impression of a 4 star hotel. Very clean hotel and with 
modern facilities. There is a large paid car park at the front where you 
could leave your car for the entire holiday and a shuttle bus to the 
airport terminals. Room was spacious and clean with excellent bathroom. 
There were two large stains on the bedroom carpet. Beds and linen as to be 
expected from Travelodge so their usual high standards. The air con/ 
heating would stop every few minutes but I did not report this as we were 
staying one night. As our young daughter had a cough we were particularly 
concerned. The best Travelodge I have stayed at ever!Read moreDate of stay: 
December 20191 Helpful voteHelpfulShare</t>
  </si>
  <si>
    <t>Sassy C wrote a review Oct 2018London, United Kingdom59 contributions18 
helpful votes</t>
  </si>
  <si>
    <t>Wanderer464616 wrote a review Dec 20191 contribution</t>
  </si>
  <si>
    <t>Convenient for Gatwick AirportThis hotel is conveniently situated for Gatwick Airport and excellent value 
for money. I found the staff both courteous and helpful. The hotel also has 
a restaurant and bar. An example of the type food served in the restaurant 
is burgers, pizzas, fish and chips and curry with a choice of five 
desserts. The rooms were very clean and the bed was comfortable. I enjoyed 
a very pleasant stay and will certainly return.Read moreReview collected in 
partnership with TravelodgeDate of stay: December 2019HelpfulShare</t>
  </si>
  <si>
    <t>Royal Scot - Royal DisappointmentI can sum up my stay in three words: 1) Disappointment 2) Disappointment 3) 
Disappointment I have stayed in many Travelodge hotels and this was by far 
the worst - especially for the price I felt truly taken to the cleaners. 
Upon check-in I was allocated a Twin Room despite requesting a double. When 
I asked to change rooms I was told this was impossible as the "Computer" 
had allocated me a Twin. The desk/reception worker did not make eye contact 
with me throughout the entire conversation. She insisted on sorting tea, 
coffee and milk sachets in a basket. She said double rooms were available 
but I had been allocated a twin. She was rude and even asked me to prove 
via my confirmation on my phone what room I had requested on booking. Her 
name was Samara. When I asked to speak with…Read moreDate of stay: October 
2018HelpfulShareResponse from TravelodgeUK, Shaf from the Social Media 
Team. at Travelodge London Kings Cross Royal ScotResponded 25 Oct 2018Thank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</si>
  <si>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Janecanaries wrote a review Dec 2019La Oliva, Spain57 contributions11 
helpful votes</t>
  </si>
  <si>
    <t>Angela H wrote a review Oct 2018Manchester, United Kingdom2 contributions1 
helpful vote</t>
  </si>
  <si>
    <t>October weekend breakGenerally the travelogue is well placed and easily accessible. The rooms 
could do with a makeover but were clean tidy and well stocked. For the 
price we paid it was more than enquire. The facilities were clean, staff 
polite and mostly helpful. There was one member of staff ..milly who was 
exceptional , she was very lovely even though she had already covered her 
shift was going over and above the normal levels of customer service. 
Before arriving we requested quiet rooms and wer accommodated without any 
fuss.Breakfast was adequate wwith enough choices. Overall a very good price 
for th level of service and fulfilled our requirements.Read moreReview 
collected in partnership with this hotelDate of stay: October 
2018HelpfulShare</t>
  </si>
  <si>
    <t>Below standard for a TravelodgeInitially the room was fine; I've stayed here before, the last time with my 
husband, and we had a problem with an old mattress - it dipped in the 
middle so we kept rolling into each other. We mentioned it to reception the 
next day, but didn't leave a bad review because we've stayed at this and 
other Travelodges before and usually find them excellent. However, this 
time, I had a really bad night's sleep. The heating wouldn't go above 22 
degrees (you may think this is fine, and I just got under the covers so no 
problem). The problem was, it went off completely in the night (according 
to reception, it always goes off when the temperature reaches a certain 
level, don't know what the level is because no-one told me of this when I 
checked in.) So I woke up freezing at about 05:15, I…Read moreDate of stay: 
December 2019HelpfulShareResponse from TravelodgeUK, Zack from The Social 
Media Team at Travelodge Gatwick Airport CentralResponded 11 Dec 2019Thank 
you for taking the time to review our hotel. We are really sorry to hear 
that you encountered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</si>
  <si>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WallyB123 wrote a review Oct 2018Illinois19 contributions5 helpful votes</t>
  </si>
  <si>
    <t>https://www.tripadvisor.co.uk/Hotel_Review-g191265-d229508-Reviews-or255-Travelodge_Gatwick_Airport_Central-Horley_Surrey_England.html#REVIEWS</t>
  </si>
  <si>
    <t>MrMault wrote a review Dec 2019Cardiff, United Kingdom92 contributions32 
helpful votes</t>
  </si>
  <si>
    <t>Small room....Small bedsLocation is good, a ten minute walk from Kings Cross, with several 
restaurants in the area and some urban grocers (Tesco and Sainsbury’s) for 
building your own lunch to go. The room was on the small side. My companion 
and myself bumping into each other from time to time. Beds were, well 
there’s only one word for it.....TINY I honestly didn’t know they made beds 
that small except for tents and battlefields Not the 39 inch twins that 
Ricky and Lucy slept in but something more akin to an air mattress (the 
swimming pool type) Good support, soft linen and duvet, decent pillows but 
just so narrow. Americans used to doubles, queens and kings may feel they 
are doing time in the county jail. The bathroom was compact with minimal 
counter space and a bathtub raised so high that to step…Read moreDate of 
stay: October 2018HelpfulShare</t>
  </si>
  <si>
    <t>Excellent Value, Great LocationI booked the travelodge following a late flight. I checked the cost of 
coaches/trains to my home city and due to the exceptional pricing of the 
hotel it worked out to be cheaper to stay overnight and then travel the 
following day. The room was large and comfortable with good facilities and, 
like every Travelodge, the mattress was heavenly! The restaurant offered a 
good selection of good value meals and service was great overall. I was 
worried that the hotel may be noisy or disruptive due to travellers setting 
off at all hours but it was not.Read moreDate of stay: September 
2019HelpfulShare</t>
  </si>
  <si>
    <t>stefan shelton wrote a review Oct 2018Leicester, United Kingdom58 
contributions14 helpful votes</t>
  </si>
  <si>
    <t>Good valueThe hotel was good value for how close it is to Kings cross/st. Pancreas 
train stations. Was undergoing some renovations whilst we were there but 
wasn't an issue. Only a short walk to the station. The staff were very 
polite and helpful. Plenty of choice at breakfast &amp; a 2 hour window to eat 
it. Would happily use this place again.Read moreDate of stay: October 
2018HelpfulShare</t>
  </si>
  <si>
    <t>Mary L B wrote a review Dec 20197 contributions1 helpful vote</t>
  </si>
  <si>
    <t>Its Mistress Cyrus to you wrote a review Oct 2018Glasgow, United Kingdom145 
contributions56 helpful votes</t>
  </si>
  <si>
    <t>Ideal for my purpose, needs a coat of paint but for the location and cost, 
fineI normally stay bit closer to town but as was travelling to Euston then 
needing Kings X for an event Monday evening, this was ideal. Staff fine, no 
problems booking in, no problems with key card, room fine, quiet, never 
ate, would not stay again but thats just cos I like to be bang in town but 
would stay again for travelling reasonsRead moreDate of stay: October 
2018HelpfulShare</t>
  </si>
  <si>
    <t>Busy recptionI encountered a problem when checking in but reception was so busy it took 
a long time to sort; but it was finally sorted to ny satisfaction. The room 
was very clean and comfortable and the shower was lovely. I was looking 
forward to a nice coffee from the Lavazza machine in my room but the cups 
provided did not fit under the spot of the machine so that was a waste of 
time!Read moreReview collected in partnership with TravelodgeDate of stay: 
November 2019HelpfulShareResponse from TravelodgeUK, Zack from The Social 
Media Team at Travelodge Gatwick Airport CentralResponded 10 Dec 2019Thank 
you for reviewing our Gatwick Airport Central hotel. We are sorry to hear 
of your disappointment with the mugs provided for the coffee machine, 
however we are pleased to hear that you found the room to be clean and 
comfortable and your overall experience within our hotel was a positive 
one. Please be assured the hotel managers check Tripadvisor reviews of 
their hotels so your comments will be reviewed by the hotel's team. Thank 
you again for leaving this review and we do hope that you choose to stay 
with us again in the future.Read more</t>
  </si>
  <si>
    <t>ds0ni wrote a review Dec 20191 contribution</t>
  </si>
  <si>
    <t>https://www.tripadvisor.co.uk/Hotel_Review-g186338-d243667-Reviews-or1795-Travelodge_London_Kings_Cross_Royal_Scot-London_England.html#REVIEWS</t>
  </si>
  <si>
    <t>Parking Rip-offPlease be aware and make sure you read the small details about parking at 
the Travelodge we didn’t read the small prints about parking.we arrived at 
the lodge and about 1.15 am on 30/11/10 and left at about 5.45 am on the 
same morning and had to pay £16 .Read moreReview collected in partnership 
with TravelodgeDate of stay: November 2019HelpfulShareResponse from 
TravelodgeUK, Zack from The Social Media Team at Travelodge Gatwick Airport 
CentralResponded 10 Dec 2019Thank you for taking the time to share your 
experience with us. We are happy to learn you were pleased with the Hotels 
location, however we are sorry to hear of the parking issues that impacted 
your stay. Your feedback is invaluable to us and we can confirm this will 
be used to improve the service we offer. We would like to thank you for the 
time you have taken to write this review and we do hope you will stay with 
us in the future.Read more</t>
  </si>
  <si>
    <t>STEPHEN F wrote a review Oct 20181 contribution</t>
  </si>
  <si>
    <t>https://www.tripadvisor.co.uk/Hotel_Review-g186338-d1812157-Reviews-or670</t>
  </si>
  <si>
    <t>Rose_Annie8 wrote a review Dec 2019Nottinghamshire, United Kingdom24 
contributions6 helpful votes</t>
  </si>
  <si>
    <t>ChaoticMy room was left unlocked by cleaning staff on one occasion. Monday morning 
breakfast was chaotic with waits for cutlery, glasses, plates and fresh 
food to be provided. Some tables were cleared while guests were queuing for 
toast or coffee and they retuned to find their table occupied by other 
guests.Read moreReview collected in partnership with TravelodgeDate of 
stay: October 2018HelpfulShareResponse from TravelodgeUK, Shaf from the 
Social media Team. at Travelodge London Kings Cross Royal ScotResponded 25 
Oct 2018Thank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</si>
  <si>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Adamantium412 wrote a review Oct 201816 contributions1 helpful vote</t>
  </si>
  <si>
    <t>Filthy hotel room and bathroomAlthough I didn't expect much for the price paid for this hotel, I would at 
the very least expect the room and bathroom to be clean, with clean bedding 
and towels. The room was basic, as expected, but was not cleaned properly 
(there was food on the desk and the carpet was dirty). The bathroom was 
covered in hairs, there were crumbs on the toilet (???) and the bed was 
covered in pubic hair (I removed seven). I don't care how cheap it was, I 
would never stay here again.Read moreReview collected in partnership with 
TravelodgeDate of stay: December 2019HelpfulShareResponse from 
TravelodgeUK, Niki from The Social Media Team at Travelodge Gatwick Airport 
CentralResponded 9 Dec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</si>
  <si>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Standard with good pricesI stayed here for a few days during a business trip to London. It was clean 
and quiet. The staff was welcoming and helpful when I had questions. If you 
are looking for a place to lay your head in between work meetings that wont 
break your budget, then this is a good decision.Read moreDate of stay: 
August 2018HelpfulShare</t>
  </si>
  <si>
    <t>https://www.tripadvisor.co.uk/Hotel_Review-g191265-d229508-Reviews-or260-Travelodge_Gatwick_Airport_Central-Horley_Surrey_England.html#REVIEWS</t>
  </si>
  <si>
    <t>Margaret B wrote a review Oct 2018Caistor, United Kingdom7 contributions6 
helpful votes</t>
  </si>
  <si>
    <t>sueleigh2019 wrote a review Dec 2019Albox, Spain1 contribution</t>
  </si>
  <si>
    <t>Nice stayVery helpful staff..both reception and bar..room clean. Iron not very 
good..shower was good and easy to control..lifts to floors were good..food 
was very good and hot.close to kings cross.would stay again..Read 
moreReview collected in partnership with TravelodgeDate of stay: October 
2018HelpfulShare</t>
  </si>
  <si>
    <t>ConvenientThis hotel was very easy to get to from the airport, the instruction were 
easy to follow. I was very pleased the room, it was clean and warm there 
were tea making facilities. My only complaint is that the wifi was only 
free for 30 mins and there was no hair dryer.Read moreReview collected in 
partnership with TravelodgeDate of stay: December 2019HelpfulShare</t>
  </si>
  <si>
    <t>dbvedder wrote a review Oct 20181 contribution</t>
  </si>
  <si>
    <t>Justmehere wrote a review Dec 20192 contributions</t>
  </si>
  <si>
    <t>Perfect hotel for our short stay in LondonNice and clean room with a nice shower, helpfull staff, good distance to 
main station (Kings Cross) and optional bus stop in front of hotel (63). 
The bar is operating 24h and drinks can taken to the room. The breakfast 
was good and the food was continually supplemented.Read moreReview 
collected in partnership with TravelodgeDate of stay: October 
2018HelpfulShare</t>
  </si>
  <si>
    <t>Two cold nightsRoom clean, breakfast decent, bed comfortable. The problem is the room is 
freezing. On informing reception after a cold night I got a broken heater 
which needed to be replaced. I was told that I can change rooms for my 2nd 
night if the problem was not fixed. I called ahead before my 2nd night and 
was told the room temperature was 25 and they put it up to 27. I expected 
to arrive back to a warm room but it was 19 degrees and the floor was 
freezing. I was moved to a different room and it's 22 degrees which is only 
slightly better. The heater is throwing out cold air so I can't use it. I 
called reception to see if they could please get me a portable heater and 
despite 4 people on reception there's no one to answer the phone.Read 
moreDate of stay: December 2019HelpfulShareResponse from TravelodgeUK, Zack 
from The Social Media Team at Travelodge Gatwick Airport CentralResponded 8 
Dec 2019Thank you for leaving your review. We are so sorry to hear of the 
heating issues you experienced during your stay with us, and that this led 
you you not having a comfortable stay.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</si>
  <si>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https://www.tripadvisor.co.uk/Hotel_Review-g186338-d243667-Reviews-or1800-Travelodge_London_Kings_Cross_Royal_Scot-London_England.html#REVIEWS</t>
  </si>
  <si>
    <t>Darren H wrote a review Dec 20191 contribution</t>
  </si>
  <si>
    <t>Jonathan S wrote a review Oct 2018Heckmondwike, United Kingdom9 
contributions1 helpful vote</t>
  </si>
  <si>
    <t>travel lodge gatwick centralgreat staff very helpful and friendly, room was good and clean with 
everything i needed in it . great value for money for the room, and the 
food was good too, very quick service. would recommend to freinds and 
familyRead moreReview collected in partnership with TravelodgeDate of stay: 
November 2019HelpfulShare</t>
  </si>
  <si>
    <t>Bathroom not cleanWe arrived to find the toilet had not been cleaned sufficiently, with 
faeces on the seat. The following day the room wasn’t cleaned, the DND sign 
had been put on the door, which given the previous day we most definitely 
did not do this!Read moreReview collected in partnership with 
TravelodgeDate of stay: October 2018HelpfulShareResponse from TravelodgeUK, 
Ben from the Social Media Team at Travelodge London Kings Cross Royal 
ScotResponded 4 Nov 2018Thank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</si>
  <si>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https://www.tripadvisor.co.uk/Hotel_Review-g191265-d229508-Reviews-or265-Travelodge_Gatwick_Airport_Central-Horley_Surrey_England.html#REVIEWS</t>
  </si>
  <si>
    <t>Andrew R wrote a review Oct 2018Durham, United Kingdom9 contributions3 
helpful votes</t>
  </si>
  <si>
    <t>dockeca wrote a review Dec 2019Horndean, United Kingdom18 contributions6 
helpful votes</t>
  </si>
  <si>
    <t>Avoid as it is badSpent three nights here in September while on business. I had pre booked a 
double room but they only had a twin room and that was just by luck as 
others were told there were no rooms as they had over booked. The room was 
shabby, with a drawer missing from the bed side cabinet and the bathroom 
was dirty and well past its best. The breakfast was fine as were the meals 
on an evening. This was like a trams doss house!Read moreDate of stay: 
September 2018HelpfulShareResponse from TravelodgeUK, Shaf from the Social 
Media Team. at Travelodge London Kings Cross Royal ScotResponded 21 Oct 
2018Thank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</si>
  <si>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Handy hotel for an overnight before flyingReception OK and helpful, evening food a bit limited and OK, quantity a bit 
too much if anything. Reasonable price for an airport hotel and met 
requirements for an overnight stay and very early flightRead moreReview 
collected in partnership with TravelodgeDate of stay: November 
2019HelpfulShareResponse from TravelodgeUK, James from the Social Media 
Team at Travelodge Gatwick Airport CentralResponded 5 Dec 2019Thank you for 
reviewing our Travelodge Gatwick Airport Central Hotel. We're happy to hear 
you were pleased with the service from the hotel team during this stay with 
us as well as with the location and value of the hotel. Please rest assured 
the hotel managers check Tripadvisor reviews of their hotels so your 
comments will be reviewed by the hotel's team. Thank you again for leaving 
this review and we do hope that you choose to stay with us again in the 
future.Read more</t>
  </si>
  <si>
    <t>anders590 wrote a review Oct 20181 contribution</t>
  </si>
  <si>
    <t>Adventure705687 wrote a review Dec 20192 contributions</t>
  </si>
  <si>
    <t>Two Thumbs Up!Modern, bright, clean and airy hotel close to the airport. I got the 
shuttle bus to the hotel and had a great dinner in the restaurant area. 
Great nights sleep, great shower pressure. All in all, excellent value for 
money.Read moreReview collected in partnership with TravelodgeDate of stay: 
December 2019HelpfulShare</t>
  </si>
  <si>
    <t>Highly recommended for cleanliness and customer careI primarily look for two things when reviewing a hotel: cleanliness &amp; 
customer care. In this instance, I can unreservedly list the hotel as 
'excellent'. From the gleaming lobby, lifts and room - including a 
spotlessly clean bathroom and crisp bedlinen - my initial impression was a 
good one. Having had a good night's sleep - the hotel was quiet. The 
following morning, I made my way to the dining area for breakfast. Being on 
crutches, I was a little anxious as to how I was going to be able to use 
the self-service breakfast buffet, my worries however were unfounded, since 
I was taken under the genial wing of Zain, who not only ushered me to a 
table, but provided me with my choice of breakfast, and continued to make 
an appearance in case there might be anything else I might need…Read 
moreReview collected in partnership with this hotelDate of stay: October 
2018HelpfulShare</t>
  </si>
  <si>
    <t>Scott and Ann wrote a review Dec 201932 contributions5 helpful votes</t>
  </si>
  <si>
    <t>Travelodge gatwick centralGood price when booked early. Very clean rooms, powerful shower, friendly 
staff, spacious bar area. Overall excellent value. ONE issue was the 
parking charge of £16 per 24 hours. No overnight charge. Bed was comfy, 
room functional and tv worked and positioned wellRead moreDate of stay: 
December 2019HelpfulShare</t>
  </si>
  <si>
    <t>https://www.tripadvisor.co.uk/Hotel_Review-g186338-d243667-Reviews-or1805-Travelodge_London_Kings_Cross_Royal_Scot-London_England.html#REVIEWS</t>
  </si>
  <si>
    <t>https://www.tripadvisor.co.uk/Hotel_Review-g191265-d229508-Reviews-or270-Travelodge_Gatwick_Airport_Central-Horley_Surrey_England.html#REVIEWS</t>
  </si>
  <si>
    <t>John M wrote a review Oct 20181 contribution</t>
  </si>
  <si>
    <t>cadugdale wrote a review Dec 2019Preston, United Kingdom21 contributions</t>
  </si>
  <si>
    <t>Helpfull but stressed staffQuite an old Travelodge and a bit in need of a spruce up, but the staff 
were very pleasant and polite although they were quite clearly under a huge 
amount of pressure to deal with the clients arriving as there system had 
gone down and there was a bit of a queue, breakfast was fine but the 
scrambled eggs were very dry. typical London prices which don't really 
offer value for moneyRead moreDate of stay: October 2018HelpfulShare</t>
  </si>
  <si>
    <t>Travelodge Gatwick AirportI like to use the Travelodge chain of hotels. They are reasonably priced, 
no frills hotels with comfortable beds in clean rooms. There was a kettle 
with a selection of tea bags and instant coffees in the room. Hanging space 
and a TV. All the basics you'd need. A bus ran from the hotel to the 
airport at a cost of £4 making it a handy place to stay if flying from 
Gatwick. I'd happily stay there again.Read moreDate of stay: November 
2019HelpfulShare</t>
  </si>
  <si>
    <t>Gerry H wrote a review Oct 201876 contributions10 helpful votes</t>
  </si>
  <si>
    <t>Andy B wrote a review Dec 20199 contributions2 helpful votes</t>
  </si>
  <si>
    <t>Wonderful stayWe spent last night here,&amp; the only! fault we could find was that the doors 
closed with a loud bang.This said it really wasn’t a problem as our sleep 
wasn’t disturbed.The room 315 was clean &amp; tidy with a comfortable bed &amp; 
marshmallow pillows!The staff were very polite &amp; helpful.Its about a 10 
minute walk from St Pancras station so very convenient.Read moreDate of 
stay: October 2018HelpfulShare</t>
  </si>
  <si>
    <t>R58C wrote a review Oct 2018Uk179 contributions42 helpful votes</t>
  </si>
  <si>
    <t>Cheap and not very cheerfulExpensive bus trip, £4 each way for such a short trip is very dear. Room 
door was wide open when i got there and the previous guest had clearly been 
sick due to thesmell which i fairness the cleaners did a fair job for 
covering the smell. Avoid the restaurant its rubbish and service is 
dreadful. Head 8nto Horley for food and drinks is my suggestion. Ill think 
more tha twice before booking again.Read moreReview collected in 
partnership with TravelodgeDate of stay: November 2019HelpfulShareResponse 
from TravelodgeUK, Zack from The Social Media Team at Travelodge Gatwick 
Airport CentralResponded 3 Dec 2019Thank you for leaving your review. We 
are sorry to hear of your disappointment with the service in our bar cafe, 
and that you were disappointed with your stay in our hotel. Please be 
assured the hotel managers check Tripadvisor reviews of their hotels so 
your comments will be reviewed by the hotel's team. Thank you again for 
leaving this review and we do hope that you choose to stay with us again in 
the future.Read more</t>
  </si>
  <si>
    <t>Davinajs wrote a review Nov 2019Island of Malta, Malta154 contributions35 
helpful votes</t>
  </si>
  <si>
    <t>AvoidHorrible hotel and certainly the worse Travelodge I’ve experienced. Old and 
tatty, and the area it’s in is not very nice. As I was on my own I didn’t 
feel very safe and made sure I double locked the bedroom door. The room was 
falling apart with paint flaking off and everything just felt old. I had 
booked a double room yet when I got to the room it had two single beds. The 
bed was tiny (seemed smaller than a standard single) and was uncomfortable. 
I had a terrible night’s sleep, not helped by how flimsy the windows were. 
I could hear traffic and people most of the night. The communal areas look 
like they’re in a permanent state of renovation, there were plastic mats 
all along the floor from reception to the lift. I wouldn’t stay here 
again.Read moreDate of stay: October 2018HelpfulShareResponse from 
TravelodgeUK, Charley from the Social Media Team at Travelodge London Kings 
Cross Royal ScotResponded 19 Oct 2018Thank you for submitting your review 
of our London Kings Cross Royal Scot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</si>
  <si>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rebeccahwood wrote a review Oct 2018Brussels, Belgium1 contribution1 
helpful vote</t>
  </si>
  <si>
    <t>Very noisy roomI was staying here for one night after a business trip. I was happy to be 
booked into a Travelodge as I routinely stay in them in London. When you 
arrive this looks like any other Travelodge downstairs. Staff at check in 
were helpful and friendly - including agreeing to print my train ticket 
which I hadn’t had a chance to do beforehand. The problems came with the 
room. Once you leave the lobby, the hotel feels very dated in the 
corridors. My room was a decent size but the bathroom was tiny! Hardly any 
room to move to close the door. The room was also so hot - and there was no 
air con. The only option was to open the window which faces an incredibly 
busy road. The noise was unbelievable (even with the windows closed). Very 
bad night’s sleep all round. You are far better off…Read moreDate of stay: 
October 20181 Helpful voteHelpfulShare</t>
  </si>
  <si>
    <t>Comfortable stay for a reasonable priceI chose the Travel Lodge as it’s close to the airport and the price for one 
night was better compared with other hotels in the area. The hotel was 
recently refurbished and you feel that as soon as you walk in reception. My 
room all seemed very new and clean. The bed was very comfortable - I slept 
well! The shower was hot and powerful, though bathroom a little small. 
Coffee/tea making facilities in the room was a nice touch, in the standard 
room there is no hairdryer (you can borrow free from reception) however I 
think it would be great to have a hairdryer in all rooms as standard. I 
chose to pay extra for the unlimited buffet breakfast in the morning - a 
nice selection of freshly cooked food plus tea, coffee and juices. I think 
check-in is a little late at 3pm and wifi should…Read moreReview collected 
in partnership with TravelodgeDate of stay: November 2019HelpfulShare</t>
  </si>
  <si>
    <t>DeniseFW wrote a review Nov 2019Kingston upon Thames, United Kingdom17 
contributions4 helpful votes</t>
  </si>
  <si>
    <t>Going homeStayed here on the evening I flew back home from Portugal. It took no time 
to check in, the bar was open 24/7, room and bed comfortable. Shower hot, 
breakfast tasty. A great start to the final leg of my journey back 
home!Read moreReview collected in partnership with TravelodgeDate of stay: 
November 2019HelpfulShare</t>
  </si>
  <si>
    <t>https://www.tripadvisor.co.uk/Hotel_Review-g186338-d243667-Reviews-or1810-Travelodge_London_Kings_Cross_Royal_Scot-London_England.html#REVIEWS</t>
  </si>
  <si>
    <t>vladi7808 wrote a review Nov 2019West Horsley, United Kingdom9 
contributions5 helpful votes</t>
  </si>
  <si>
    <t>CMB555 wrote a review Oct 2018Workington, United Kingdom18 contributions11 
helpful votes</t>
  </si>
  <si>
    <t>Hit the jackpot with price and comfortHas to be one of the best hotels at this category. Very good links to 
Gatwick airport and Three bridges. The room is very good size with double 
king size bed, no just to single beds joint together. Very clean and 
fresh.Read moreReview collected in partnership with TravelodgeDate of stay: 
November 2019HelpfulShare</t>
  </si>
  <si>
    <t>Please avoidI’ve stayed at many travelodges as they are within the limit of the 
contract with my employer. This is my first and definitely last stay here. 
Queues for 15 minutes to check in and allocated room 515. The window lock 
and toilet seat were broken . The sink was cracked and there were horrible 
stains on the bathroom ceiling . The travelodge down the road is better so 
is the one at Covent Garden. I rarely write such a poor review but this 
hotel is shockingRead moreDate of stay: October 2018HelpfulShareResponse 
from TravelodgeUK, Tilly from the Social Media Team at Travelodge London 
Kings Cross Royal ScotResponded 5 Nov 2018Thank you for taking the time to 
write a review with regards to our London Kings Cross Royal Scot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t>
  </si>
  <si>
    <t>https://www.tripadvisor.co.uk/Hotel_Review-g191265-d229508-Reviews-or275-Travelodge_Gatwick_Airport_Central-Horley_Surrey_England.html#REVIEWS</t>
  </si>
  <si>
    <t>Andrea N wrote a review Oct 2018Woodvale, Australia89 contributions5 
helpful votes</t>
  </si>
  <si>
    <t>gerry v wrote a review Nov 2019Dundee, United Kingdom107 contributions28 
helpful votes</t>
  </si>
  <si>
    <t>Fawlty Towers Without the LaughsFrom the non-existent service at the bar to the disorganised staff at the 
check-in counter I'd have to say it would be the worst run hotel I've ever 
stayed in. Our room was right above a very noisy intersection which was 
disappointing considering we had booked and paid so far in advance. If you 
stay here, make sure you request a room overlooking the carpark because 
even with excellent earplugs the traffic, shouting drunks and constant 
sirens will wake you. The bar deserves another special mention, it really 
is appallingly run. You could wait a very, very long time for a drink. The 
woman behind the bar happily disappears for long periods (even with 
customers already standing waiting at the bar) for one reason or another. 
We had numerous problems with service while staying here…Read moreDate of 
stay: October 2018HelpfulShareResponse from TravelodgeUK, Shaf from the 
Social Media Team. at Travelodge London Kings Cross Royal ScotResponded 17 
Oct 2018Thank you for submitting your review of our London Kings Cross 
Royal Scot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</si>
  <si>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What a let downI stay in a lot of travelodges so when I booked this one I went for a 
"super room" but unfortunately it was a let down. The aircon didn't work 
properly and after letting it run for a few minutes there was no heat 
coming from it, the heater supplied in the room was broken support so I 
didn't want to use it. The shower that they put so much effort advertising 
had a very poor water flow whatever which setting I put it on. The pillows 
were absolutely terrible, I always use travelodge and I know what to expect 
but these pillows didn't give me any support. The walls are very thin and I 
heard people next door to me and for some unexplained reason they have 
robotic hooves in the corridor and I didnt know if guests are meant to use 
them but my next door visitor did at 2am All in…Read moreDate of stay: 
November 2019HelpfulShareResponse from TravelodgeUK, Zack from The Social 
Media Team at Travelodge Gatwick Airport CentralResponded 27 Nov 2019Thank 
you for leaving your review. We are sorry to hear of your disappointment 
with the shower and pillows provided within your room, and that you were 
disturbed by the guests next to you. Please be assured the hotel managers 
check Tripadvisor reviews of their hotels so your comments will be reviewed 
by the hotel's team. Thank you again for leaving this review and we do hope 
that you choose to stay with us again in the future.Read more</t>
  </si>
  <si>
    <t>Allison N wrote a review Oct 2018Marston Moretaine, United Kingdom34 
contributions11 helpful votes</t>
  </si>
  <si>
    <t>Nanzala wrote a review Nov 2019Greater London, United Kingdom7 
contributions3 helpful votes</t>
  </si>
  <si>
    <t>Overnight stay for workStayed with a work friend for one night in a twin room. Ceiling was water 
stained with mould in coving. Sheets and bathroom clean. Hotel corridors 
very dated and old. Didn’t use restaurant. Bar had some good deals.Read 
moreDate of stay: October 2018HelpfulShareResponse from TravelodgeUK, 
Charley from the Social Media Team at Travelodge London Kings Cross Royal 
ScotResponded 28 Oct 2018Thank you for taking the time to review our London 
Kings Cross Royal Scot hotel. We are sorry to hear that your experience was 
spoiled in particular by the feel of the hotel and the ceiling in your 
room. On the other hand we are pleased to hear that you found the sheets 
and bathroom clean and were able to find some good deals in the bar. We 
have passed on your comments and they will help us improve, in the meantime 
we would hope to welcome you again in the future and give us the 
opportunity to offer a fully enjoyable stay.Read more</t>
  </si>
  <si>
    <t>Massive improvement neededAs far as budget hotels go, I honestly think Travelodge generally needs to 
up its game. The staff are great but in terms of the facilities something 
needs to be done. This is the third Travelodge I’ve stayed at and just like 
the other two I felt shortchanged. My room was in dire need of some 
cleaning (mud on the carpet right at the entrance which could easily be 
seen by housekeeping so not sure how it stayed there.), bathroom had mold 
(seems to be a common problem because I had to have my room changed and 
both rooms had this issue). The room was freezing and they’d capped the A/C 
temperature so I was better off keeping it off because after some time it 
began to release cold air, soap was heavily diluted, some bulbs didn’t 
work... I could go on and on but I’ll just say if it…Read moreDate of stay: 
November 2019HelpfulShareResponse from TravelodgeUK, Zack from The Social 
Media Team at Travelodge Gatwick Airport CentralResponded 27 Nov 2019Thank 
you for leaving your review of our Gatwick Airport Central hotel. We are 
pleased to hear that you found our staff to provide great service during 
your stay, however we are very sorry to hear of the issues you experienced 
within our hotel. Please be assured the hotel managers check Tripadvisor 
reviews of their hotels so your comments will be reviewed by the hotel's 
team. Thank you again for leaving this review and we do hope that you 
choose to stay with us again in the future.Read more</t>
  </si>
  <si>
    <t>pentland321 wrote a review Oct 2018Edinburgh, United Kingdom5 contributions</t>
  </si>
  <si>
    <t>Grumpychef wrote a review Nov 2019Ramsgate, United Kingdom28 contributions6 
helpful votes</t>
  </si>
  <si>
    <t>Debbie ParkerThis is our second stay here. Ideal proximity to station (walkable) and 
central location generally. Clean rooms, good food and friendly staff. 
Zainab on reception was particularly friendly and helpful!Read moreDate of 
stay: October 2018HelpfulShare</t>
  </si>
  <si>
    <t>Does the jobStayed here 3 nights for work. Room was cosy, tidy and modern. Very basic 
with a big bed and TV. Plenty of tea and coffee and a small shower and 
toilet. Only has 4 hangers to store clothes and no drawers so lived out my 
holdall. Bed was ok, plenty of pillows. Watch out for rooms close to main 
doors as you hear them opening and closing all night. Didn't eat here but 
do an unlimited breakfast and does food in the late evening. Also has a 
bar. Staff friendly.Read moreDate of stay: November 2019HelpfulShare</t>
  </si>
  <si>
    <t>https://www.tripadvisor.co.uk/Hotel_Review-g186338-d243667-Reviews-or1815-Travelodge_London_Kings_Cross_Royal_Scot-London_England.html#REVIEWS</t>
  </si>
  <si>
    <t>Charlie T wrote a review Oct 2018Morpeth, United Kingdom8 contributions6 
helpful votes</t>
  </si>
  <si>
    <t>c1o2l3i4n5 wrote a review Nov 2019London, United Kingdom188 contributions92 
helpful votes</t>
  </si>
  <si>
    <t>TerribleNot given a room, not found an acceptable alternative. Desk staff rude and 
unhelpful. I and the other customers who were refused pre-booked 
accommodation were treated as though we were scum. The only alternative 
offered was outside the M25Read moreReview collected in partnership with 
TravelodgeDate of stay: October 2018HelpfulShareResponse from TravelodgeUK, 
Ben from the Social Media Team at Travelodge London Kings Cross Royal 
ScotResponded 29 Oct 2018Thank you for taking the time to write a review 
about our London Kings Cross Royal Scot hotel. We are very sorry to learn 
that your room was not available for you on your arrival and we fully 
appreciate the frustration this must have caused. Our booking support teams 
will try and assist with relocating guests to minimise the disruption 
caused however we are sorry for the disappointment caused on this occasion. 
Could we kindly ask you to contact one of our Customer Services Advisors 
via our website help form with a copy of your review to look into this more 
thoroughly. Thank you again for reviewing our hotel.Read more</t>
  </si>
  <si>
    <t>Incredible valueShout out to TravelLodge for sparing us the ordeal of the rush hour M25 
lottery. Up refreshe and ready to board. £38 for a large clean room with a 
great bed, decent shower, bar, and pleasant staff. Can't see how to fault 
it. You could pay treble this and do no better,Read moreDate of stay: 
November 2019HelpfulShare</t>
  </si>
  <si>
    <t>Gavin N wrote a review Oct 2018Glasgow, United Kingdom236 contributions121 
helpful votes</t>
  </si>
  <si>
    <t>Great for a long weekend.Stayed here from Saturday until Tuesday, while catching up with friends and 
seeing shows in London. It's not far from King's Cross, about 10 minutes 
walk but I did find it more convenient to use the buses to get around 
London, except for longer journeys. Check in was swift and efficient and, 
as I was going to a show at 7:30 couldn't use the dining room for dinner as 
it didn't start serving until 6:00, leaving too little time to eat and then 
travel to the theatre. The room was comfortable and looked a little dated 
but was spotlessly clean and well maintained. In the bathroom, on the ledge 
above the WC cistern there was a small pool of water which appeared to have 
come through the wall. I reported this but saw no improvement, as it 
accumulated again after I blotted it up. …Read moreDate of stay: October 
2018HelpfulShare</t>
  </si>
  <si>
    <t>https://www.tripadvisor.co.uk/Hotel_Review-g191265-d229508-Reviews-or280-Travelodge_Gatwick_Airport_Central-Horley_Surrey_England.html#REVIEWS</t>
  </si>
  <si>
    <t>johnhX1413AP wrote a review Oct 2018Isle of Man.5 contributions1 helpful 
vote</t>
  </si>
  <si>
    <t>My ExperienceMy experience in this Travelodge as in most Travelodges that i have stayed 
was perfect.Clean,Comfrortable , friendly helpful staff and excellent value 
for money, I would always choose Travelodge as my first choice .I like 
music gigs and travel the country to see them so have stayed in a fair 
fewRead moreReview collected in partnership with TravelodgeDate of stay: 
October 2018HelpfulShare</t>
  </si>
  <si>
    <t>graham c wrote a review Nov 2019Orihuela Costa, Spain127 contributions28 
helpful votes</t>
  </si>
  <si>
    <t>Liz M wrote a review Oct 201815 contributions3 helpful votes</t>
  </si>
  <si>
    <t>Comfortable stayValue for money and all the staff were excellent...I'll be returning back 
here on my way home...Recommend to anybody visiting and travelling to 
nearby Gatwick...I'll be using this hotel on a regular basis...Read 
moreReview collected in partnership with TravelodgeDate of stay: November 
2019HelpfulShare</t>
  </si>
  <si>
    <t>Absolutely fineThis was just what you would expect from a travelodge. The staff were very 
friendly, whiuch to be honest i wasnt particularly expecting from london, 
rooms clean short walk from kings cross stationWould stay there again 
definitelyRead moreReview collected in partnership with this hotelDate of 
stay: September 2018HelpfulShare</t>
  </si>
  <si>
    <t>peter h wrote a review Nov 20192 contributions</t>
  </si>
  <si>
    <t>dmhag1 wrote a review Oct 2018Leeds, United Kingdom1 contribution</t>
  </si>
  <si>
    <t>Not greatArrived at hotel, looks like any other Travelodge. Get to reception and 
they inform me that they have no pillow cases and probably wouldn't get any 
until the morning. No apology was given, was just asked if this was okay, 
which of course it wasn't but I had no where else to stay.Bathroom was 
dirty, and had no cups for drinking water.Woken up early by outside 
building work.Read moreReview collected in partnership with TravelodgeDate 
of stay: October 2018HelpfulShareResponse from TravelodgeUK, Charley from 
the Social Media Team at Travelodge London Kings Cross Royal ScotResponded 
28 Oct 2018Thank you for taking the time to review our London Kings Cross 
Royal Scot Hotel. We would like to apologise for the issues experienced at 
the hotel and can confirm that your feedback has been passed on to the 
relevant teams. Thank you again for submitting your review and we hope to 
welcome you back soon to restore your faith in Travelodge.Read more</t>
  </si>
  <si>
    <t>Bad stayAlways used this hotel before. Arrived late and found easy to park which 
was unusual then had to pay £16 to park double what it usually is. Then 
kept awake all night with the lifts going up and down behind my room 
writing this report at 4 am to pass the time until 5.30 when my alarm is 
set. Will not be coming here again cheaper to have bed and breakfast 
elsewhere with free parking.Read moreDate of stay: November 
2019HelpfulShareResponse from TravelodgeUK, Zack from The Social Media Team 
at Travelodge Gatwick Airport CentralResponded 24 Nov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</si>
  <si>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https://www.tripadvisor.co.uk/Hotel_Review-g186338-d243667-Reviews-or1820-Travelodge_London_Kings_Cross_Royal_Scot-London_England.html#REVIEWS</t>
  </si>
  <si>
    <t>Janicetraveljunkie wrote a review Nov 2019Leeds, United Kingdom34 
contributions19 helpful votes</t>
  </si>
  <si>
    <t>Convenient Gatwick StayEasy bus transport to hotel and got taxi back following early morning, very 
convenient and pleasant bar/restaurant too with good choice of food, rooms 
very clean and comfortable too Will certainly use again!Read moreDate of 
stay: November 2019HelpfulShare</t>
  </si>
  <si>
    <t>https://www.tripadvisor.co.uk/Hotel_Review-g191265-d229508-Reviews-or285-Travelodge_Gatwick_Airport_Central-Horley_Surrey_England.html#REVIEWS</t>
  </si>
  <si>
    <t>Swansta wrote a review Nov 20196 contributions</t>
  </si>
  <si>
    <t>Smooth check in/out. Helpful staff.Easy check in/out. Helpful and friendly staff. The room was, as you would 
expect, very simple but does the job perfectly. The only problem was the 
air conditioning. My room was quite cold but I couldn't turn it up above 
certain temperature and it also kept switching itself off after a certain 
length of time. I guess this is for energy efficiency and not for guests' 
comfort.Read moreDate of stay: October 2019HelpfulShare</t>
  </si>
  <si>
    <t>Malcolm W wrote a review Oct 2018Rugby, United Kingdom51 contributions31 
helpful votes</t>
  </si>
  <si>
    <t>Joe D wrote a review Nov 20191 contribution</t>
  </si>
  <si>
    <t>Good value for money and excellent breakfastStayed for one night on business. The hotel is well situated close to Kings 
Cross and St Pancras Stations and was clean and well equipped. The 
all-you-can-eat breakfast was very tasy and excellent value for money, the 
staff all being very helpful and pleasant. The road outside was busy and 
there was a fair amount of road noise but this has to be expected in 
central London.Read moreReview collected in partnership with TravelodgeDate 
of stay: October 2018HelpfulShare</t>
  </si>
  <si>
    <t>OkRooms are to a good standard, Jez on reception was amazing,really nice and 
an asset to the company, great customer service skills!!! I would sort out 
the mould problem in the bathrooms though! Everything else goodRead 
moreDate of stay: November 2019HelpfulShareResponse from TravelodgeUK, Zack 
from The Social Media Team at Travelodge Gatwick Airport CentralResponded 
24 Nov 2019Thank you for leaving your review of our Gatwick Airport Central 
hotel. We are so pleased to hear that our staff provided great service 
during your stay, however we are sorry to hear of your disappointment with 
the cleanliness of the bathroom in your room. Please be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</si>
  <si>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https://www.tripadvisor.co.uk/Hotel_Review-g186338-d243667-Reviews-or1825-Travelodge_London_Kings_Cross_Royal_Scot-London_England.html#REVIEWS</t>
  </si>
  <si>
    <t>Pablo1964 wrote a review Oct 2018Paignton, United Kingdom60 contributions28 
helpful votes</t>
  </si>
  <si>
    <t>garyc645 wrote a review Nov 2019Manchester, United Kingdom95 
contributions51 helpful votes</t>
  </si>
  <si>
    <t>Tired Hotel, Poor ServiceI know when I book a Travelodge I will get a basic hotel room so I have no 
great expectations. I do, However, expect to get good service from the 
staff at the hotel. We were going to have breakfast and dinner at the hotel 
on both the days we stayed but because of our experience at the bar on the 
first night we decided not to bother. All i wanted was a couple of glasses 
of wine but when I got to the bar there were four people waiting but no bar 
person in sight, I was informed by another guest that she said she needed 
to use the toilet and disappeared over 10 minutes before. After another 10 
minutes I went to reception as now there was a queue of people waiting to 
get served and he said he would try and find her. After a few minutes 
someone did turn up to start serving and it took…Read moreDate of stay: 
October 2018HelpfulShare</t>
  </si>
  <si>
    <t>Superb BUTThis is probably the best lodge i've stayed in, HOWEVER, beware the parking 
is £16 per night. I got the room for £36 so it was half the rate again for 
the parking also wiFi is £3 extra. I have registered a complaint with the 
company as it does state paid parking but hides the fee.Read moreDate of 
stay: November 2019HelpfulShare</t>
  </si>
  <si>
    <t>JasmineB2605 wrote a review Oct 2018Cardiff, United Kingdom1 contribution</t>
  </si>
  <si>
    <t>tltw2016 wrote a review Nov 2019London, United Kingdom34 contributions10 
helpful votes</t>
  </si>
  <si>
    <t>Great hotel, great price for a weekend in London.Hotel was going under some maintenance when we stayed, we didn’t hear any 
noice which was great! Staff were friendly, room was clean. Fresh bedding, 
fresh towels etc. My only issue was in the bathroom. There was a hole in 
the wall where a ventelation fan had been removed. This hole was full off 
mould- the rest of the bathroom was perfectly clean.Read moreReview 
collected in partnership with TravelodgeDate of stay: October 
2018HelpfulShare</t>
  </si>
  <si>
    <t>Good quality hotel perfect for early morning flight from GatwickHotel has been refurbished and rooms are of a really good standard. Bar and 
restaurant are were clean and looked good. Overall, would stay here again 
if I have an early flight again. Much better than some of the other Hotels 
around the South TerminalRead moreReview collected in partnership with 
TravelodgeDate of stay: November 2019HelpfulShare</t>
  </si>
  <si>
    <t>ysh2018 wrote a review Oct 20181 contribution</t>
  </si>
  <si>
    <t>https://www.tripadvisor.co.uk/Hotel_Review-g191265-d229508-Reviews-or290-Travelodge_Gatwick_Airport_Central-Horley_Surrey_England.html#REVIEWS</t>
  </si>
  <si>
    <t>Alright for overnightDim light in the room and toilet. Too few sockets, no sockets by the bed. 
Toilet leaks, 30-min free wi-fi only no matter how long you stay. Hot 
buffet breakfast and coffee is excellent. Good location, 7 min walk from 
the nearest underground stationRead moreReview collected in partnership 
with TravelodgeDate of stay: October 2018HelpfulShare</t>
  </si>
  <si>
    <t>sheahabs wrote a review Oct 20181 contribution</t>
  </si>
  <si>
    <t>https://www.tripadvisor.co.uk/Hotel_Review-g186338-d1812157-Reviews-or675</t>
  </si>
  <si>
    <t>stevepope13 wrote a review Nov 20191 contribution</t>
  </si>
  <si>
    <t>Great Customer ServiceMaintenance was happening during our stay, but not too disruptive. Bathroom 
a little small and no towel rack, but close to King’s Cross station and 
staff was reall great! Stairs and lift available and good breakfast options 
including things for vegetarians ��Read moreReview collected in partnership 
with TravelodgeDate of stay: October 2018HelpfulShare</t>
  </si>
  <si>
    <t>Room was not ready for meNo lighting, no heat, shower was poor and bathroom was not the cleanest 
you’d expect from Travelodge. Had to go back to reception to get them to 
switch on thr electric supply, this meant the room was cold on arrival.Read 
moreReview collected in partnership with TravelodgeDate of stay: November 
2019HelpfulShareResponse from TravelodgeUK, Zack from The Social Media Team 
at Travelodge Gatwick Airport CentralResponded 21 Nov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</si>
  <si>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https://www.tripadvisor.co.uk/Hotel_Review-g186338-d243667-Reviews-or1830-Travelodge_London_Kings_Cross_Royal_Scot-London_England.html#REVIEWS</t>
  </si>
  <si>
    <t>Jean O wrote a review Nov 2019Murla, Spain23 contributions14 helpful votes</t>
  </si>
  <si>
    <t>A1822VGrichardw wrote a review Oct 2018Liverpool3 contributions</t>
  </si>
  <si>
    <t>Useful stay over hotelA decent and well-run hotel for its geographic position (WC2, N1), served 
well by buses between Angel and King's Cross. Usually very busy with school 
parties and groups of travellers. Not a good-looking building, but a 
functional one.Read moreReview collected in partnership with TravelodgeDate 
of stay: October 2018HelpfulShare</t>
  </si>
  <si>
    <t>Everything we neededThe hotel did everything we needed with the bonus of excellent reception 
staff. It was a one night stay prior to an early morning flight and we 
arrived late evening so did not use the bar or restaurant. Value for money 
was spot on and the transfer to the airport arrived on time (scheduled bus 
at £4 per person). The room was clean, fresh and warm (not stuffy). It was 
quiet and everything worked. Calm and comfortable, safe and secure, have 
been before, will go again and do not hesitate to recommend.Read moreReview 
collected in partnership with TravelodgeDate of stay: November 
2019HelpfulShare</t>
  </si>
  <si>
    <t>GTR57 wrote a review Oct 2018Norwich, United Kingdom19 contributions14 
helpful votes</t>
  </si>
  <si>
    <t>Diane T wrote a review Nov 2019Peterborough, United Kingdom4 contributions2 
helpful votes</t>
  </si>
  <si>
    <t>Hotel and restaurantThe food in the restaurant was excellent. Service was spot on by server 
Vini. The bed was comfortable, room had air conditioning so could change 
the temperature. Bad points were no ha d towel or face cloths in room. 
Where the bed was against the wall there was a big space where a table and 
sofa could have been placed to be able to relax. No where to put suitcase 
on to get things out from. Only the bed or floor. Light above bed didn't 
work but we were offered another room.Read moreDate of stay: November 
2019HelpfulShare</t>
  </si>
  <si>
    <t>London tripPoorly maintained room light bulb out and not replaced. Unable to change 
temperature in sink. Very poor flush on toilet. Furniture very tired. No 
bathmat had to use small towelBar staff unable to get an order of 4 drinks 
correct.Read moreReview collected in partnership with TravelodgeDate of 
stay: October 2018HelpfulShareResponse from TravelodgeUK, Ben from the 
Social Media Team at Travelodge London Kings Cross Royal ScotResponded 13 
Oct 2018Thank you for taking the time to write a review about our London 
Kings Cross Royal Scot hotel. We are sorry to learn of your disappointment 
with the facilities provided in your room in such instances we would 
suggest to let our reception team know so that they can reallocate your 
room or fix the issues you have. This hotel is currently being refurbished 
so we can provide all our guests with a positive experience. If you wish to 
contact us directly to give us more feedback, please be aware that you can 
always contact our Customer Services team via our website. Thank you once 
again and we do hope you will stay with us in the future.Read more</t>
  </si>
  <si>
    <t>Sim0na32 wrote a review Oct 2018Sofia, Bulgaria1 contribution</t>
  </si>
  <si>
    <t>https://www.tripadvisor.co.uk/Hotel_Review-g191265-d229508-Reviews-or295-Travelodge_Gatwick_Airport_Central-Horley_Surrey_England.html#REVIEWS</t>
  </si>
  <si>
    <t>Perfect for the moneyThe hotel is near the tube which is perfect, the rooms are small but clean 
and the bed was very comfortable. The food was very tasty and the employees 
were very king. I can say that I am satisfied with my stay at this 
hotel.Read moreReview collected in partnership with this hotelDate of stay: 
September 2018HelpfulShare</t>
  </si>
  <si>
    <t>wallacewilliam795 wrote a review Nov 20191 contribution</t>
  </si>
  <si>
    <t>Neptune009 wrote a review Oct 2018Southampton, United Kingdom12 
contributions4 helpful votes</t>
  </si>
  <si>
    <t>Nice hotel all prices food / drinks beers etc gone up outrages price for 
small hotel £5.15p per pint and wineNice hotel nice staff parking prices outrages bar prices expensive food ok 
could wiv MORE variety and choice of food etc friendly staff and helpful 
easey to travel to airport on bus out side price £4 gone up ??Read 
moreReview collected in partnership with TravelodgeDate of stay: November 
2019HelpfulShare</t>
  </si>
  <si>
    <t>Wonderful staffGreat location in the centre of London but it was the staff that made it 
stand out. When we came down to dinner they offered to change the channel 
of the tv for us and turned the table to face it, all with a pleasant 
attitude. Would come again.Read moreDate of stay: October 2018HelpfulShare</t>
  </si>
  <si>
    <t>Shutupp11 wrote a review Nov 2019Cumbria122 contributions59 helpful votes</t>
  </si>
  <si>
    <t>https://www.tripadvisor.co.uk/Hotel_Review-g186338-d243667-Reviews-or1835-Travelodge_London_Kings_Cross_Royal_Scot-London_England.html#REVIEWS</t>
  </si>
  <si>
    <t>Rip off parking charges £16 for 24 hoursRip off car parking £16.00 for 24 hours There for two days £32..00 It was 
cheaper to have airport parking When you book your room add the cost on top 
,,if your parking Otherwise look somewhere else with free parking Or less 
of a charge Hotel was good no problems there Travelodge do something about 
the parking charge Or I will not be returning I will stay somewhere 
elseRead moreReview collected in partnership with this hotelDate of stay: 
November 2019HelpfulShareResponse from TravelodgeUK, Ben from the Social 
Media Team at Travelodge Gatwick Airport CentralResponded 18 Nov 2019Thank 
you for taking the time to write a review about our Gatwick Airport Central 
hotel. We're pleased to hear that you liked the hotel however we are sorry 
to learn of your disappointment with the parking costs. We provide details 
of the available parking and any charges on our website in order for guests 
to make an informed decision before confirming a reservation however we are 
sorry if you were unaware of this. We appreciate all the feedback we 
receive and our Hotel Managers regularly review their TripAdvisor reviews 
in order to fix any issues raised and pass on feedback to their team. Thank 
you once again and we do hope you will stay with us in the future.Read more</t>
  </si>
  <si>
    <t>DaddyCruiser wrote a review Nov 2019Eastbourne, United Kingdom106 
contributions35 helpful votes</t>
  </si>
  <si>
    <t>jennieg43 wrote a review Oct 2018Bolton, United Kingdom9 contributions8 
helpful votes</t>
  </si>
  <si>
    <t>Quick stopover!Hotel experience overall was good, hotel was about a 10-15 min walk to tube 
station, public areas were clean though the loos need updating. The bedroom 
was fine too, the bathroom extremely small and could do with updating as 
well. Not a bad place to stay for a short trip, wouldn’t have wanted to 
have stayed for a longer period of time.Read moreReview collected in 
partnership with TravelodgeDate of stay: October 2018HelpfulShare</t>
  </si>
  <si>
    <t>Very convenient hotel.Value for money is the watchword. Travelogue Gatwick is always cheaper than 
other hotels. It has a 24hr bar/restaurant. Great rooms and buses every 
15mins. Book well in advance for cheaper prices. Buses are £4 pp each way. 
A pint is £5. Pizza £10Read moreReview collected in partnership with 
TravelodgeDate of stay: November 2019HelpfulShare</t>
  </si>
  <si>
    <t>Trutta wrote a review Nov 20191 contribution</t>
  </si>
  <si>
    <t>AnnabelBeeforth wrote a review Oct 2018Whitby, United Kingdom14 
contributions14 helpful votes</t>
  </si>
  <si>
    <t>Pleasantly SurprisedOn 16 November 2019. Stayed at the subject Travelodge and was very 
pleasantly surprised. Cafe was excellent really nice burgers and chips and 
our waiter Vini was very professional and most helpful, nothing was too 
much trouble for him. Accommodation was very clean by far the best of many 
travelodges we have stayed at.Read moreDate of stay: November 
2019HelpfulShare</t>
  </si>
  <si>
    <t>Business Trip - Professional Staff, good basic comfort. Would stay again.I was pleasantly surprised by my stay at this hotel. I had to book late 
accommodation and there were few options available. I'm a Soho House member 
and usually stay in rather more luxurious hotel environments but would 
absolutely return here again for a more budget style stay. In fact I'm 
planning my next trip there now. The shower pressure was a little weak, and 
the door in the bathroom a little tatty, but I didn't visit to sit staring 
at a door. The room was comfortable and super clean with ample space. The 
staff are exceptionally responsive and helpful and professional. The wifi 
is good/strong and reliable.Read moreReview collected in partnership with 
TravelodgeDate of stay: October 2018HelpfulShare</t>
  </si>
  <si>
    <t>Traveler62000307730 wrote a review Nov 20191 contribution</t>
  </si>
  <si>
    <t>huntssun wrote a review Oct 2018Huntingdon, United Kingdom159 
contributions53 helpful votes</t>
  </si>
  <si>
    <t>Food qualityThe food quality and presentation needs to be overhauled. My wife and I do 
not eat in when we stay. My wife has some food related issues, and the menu 
dose not have enough choices for her. The standard of the food as well is 
very poor, on one occasion is was staying at this travellodge, and a 
customer had a pizza, it came out looking burnt around the side and on the 
bottom. I thought it might have been a one of, but have been to other 
Travelodges and this seems to be the norm. I think they need a lot more 
training in Quality of presentation . Me personally I would not put up with 
this quality of standard .Read moreReview collected in partnership with 
TravelodgeDate of stay: November 2019HelpfulShare</t>
  </si>
  <si>
    <t>Worst Travelodge everWe only stayed for one night thankfully. The reception had just one member 
of staff regardless of how many people were queuing and as soon as they got 
to the end of a queue they quickly disappeared into a back office. The 
corridor smelt so strongly of bleach that it took your breath away but I 
was unsure why as our bathroom could have done with some. The bed was both 
hard and sunk in the middle which was a first for me. I think though the 
bar area was the worst experience. The barman only appeared if someone was 
stood at it for about 10 minutes and would run away as soon as he served 
someone. We witnessed people walking in off the street and filling up cups 
with orange juice from the breakfast area and walking out. Also a beggar 
came off the street and went round all the…Read moreDate of stay: September 
2018HelpfulShareResponse from TravelodgeUK, Molly from the Social Media 
Team at Travelodge London Kings Cross Royal ScotResponded 7 Oct 2018Thank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</si>
  <si>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april33 wrote a review Oct 2018Sunderland, United Kingdom25 contributions11 
helpful votes</t>
  </si>
  <si>
    <t>https://www.tripadvisor.co.uk/Hotel_Review-g191265-d229508-Reviews-or300-Travelodge_Gatwick_Airport_Central-Horley_Surrey_England.html#REVIEWS</t>
  </si>
  <si>
    <t>Nice stayStayed here for 3 nights. Hotel is in process of being upgraded and sadly 
we did not get a new room. It was nice a clean but badly set out. Bought 
breakfast on last morning. Was awful. Most things were empty n when did 
refil everything was only lightly cooked. Wouldn't bother with breakfast 
next time.Read moreDate of stay: September 2018HelpfulShare</t>
  </si>
  <si>
    <t>Chris1967d wrote a review Nov 2019Great Bircham, United Kingdom189 
contributions191 helpful votes</t>
  </si>
  <si>
    <t>awalters2018 wrote a review Oct 20181 contribution</t>
  </si>
  <si>
    <t>BrilliantRestored my faith in the brand after my last review of Uxbridge Travelodge. 
This is how it’s done. Staff polite and friendly clean and tidy great clean 
restaurant perfect stop over why pay more. Special call out to Vinith in 
the restaurant great service what an asset.Read moreDate of stay: November 
20191 Helpful voteHelpfulShare</t>
  </si>
  <si>
    <t>thompsonlyn2 wrote a review Nov 2019Umina Beach, Australia12 contributions3 
helpful votes</t>
  </si>
  <si>
    <t>Where not to stay for a good hotel experience!As I walked into the hotel I felt I was walking into a hostel instead of a 
hotel. It was clear from the number of people in the lounge area and those 
milling around, it was more of a homeless shelter than a hotel. It was the 
same at breakfast the next morning. Also, walking along the corridor to my 
room on the 5th floor, it smelt very musty and mouldy. For the prices 
charged, this hotel needs a complete refurbishment. Travel lodge also need 
to decide whether they are running a homeless shelter or a hotel because, 
the two do not mix.Read moreReview collected in partnership with 
TravelodgeDate of stay: September 2018HelpfulShareResponse from 
TravelodgeUK, Ben from the Social Media Team at Travelodge London Kings 
Cross Royal ScotResponded 7 Oct 2018Thank you for taking the time to write 
a review about our London Kings Cross Royal Scot hotel. We are sorry to 
learn of your disappointment with the wear of the hotel and some of the 
other guests. This hotel is currently being refurbished to ensure we can 
provide a good experience to all our guests. Feedback is invaluable and our 
Hotel Managers regularly review their TripAdvisor reviews in order to fix 
any issues raised and pass on feedback to their team. Thank you once again 
and we do hope you will stay with us in the future.Read more</t>
  </si>
  <si>
    <t>Handy to airport with regular shuttleComfortable overnight stay, close to the airport. A shuttle to and from the 
airport runs every 15 minutes at a cost of £4. At the airport, catch it 
from the lower floor. I wasn't aware of that and went straight out from 
arrivals to the taxis, which cost me £11.Read moreReview collected in 
partnership with TravelodgeDate of stay: November 2019HelpfulShare</t>
  </si>
  <si>
    <t>https://www.tripadvisor.co.uk/Hotel_Review-g186338-d243667-Reviews-or1840-Travelodge_London_Kings_Cross_Royal_Scot-London_England.html#REVIEWS</t>
  </si>
  <si>
    <t>Sandra M wrote a review Oct 20181 contribution</t>
  </si>
  <si>
    <t>NorthStar577094 wrote a review Nov 20191 contribution</t>
  </si>
  <si>
    <t>Do not stay here!I recently stayed overnight at the Travelodge on King Cross Road WC1X 9DT. 
The first thing I noticed was the state of the bathroom - it was filthy and 
two of the floor tiles were loose. After checking in, I went out for the 
evening. On my return I found that items had been taken from my room! I 
went and reported this to the staff at reception who were completely 
unhelpful in dealing with the issue. They were adamant that house-keeping 
had not been in my room which meant that a stranger had somehow gotten 
access whilst I was out. When I enquired whether they had any CCTV of the 
corridor they insisted that they did not for "privacy purposes". As the the 
manager was not available, no attempt was made by the staff on reception to 
further investigate the issue. Disregarding the fact…Read moreDate of stay: 
October 2018HelpfulShare</t>
  </si>
  <si>
    <t>Great value and locationI recently stayed at Gatwick airport Travelodge prior to a flight the next 
day. The hotel is excellent and the staff were extremely polite friendly 
and helpful. I enjoyed an evening meal and also breakfast before departing 
on the loop bus for the terminal. I was impressed by the whole experience 
having stayed at other hotels previously which were less enjoyable and 
frankly much more expensive too. I shall most certainly be using Travelodge 
from now on for future overnight stays.Read moreReview collected in 
partnership with TravelodgeDate of stay: November 2019HelpfulShare</t>
  </si>
  <si>
    <t>Erin wrote a review Nov 2019Exmouth, United Kingdom5 contributions1 helpful 
vote</t>
  </si>
  <si>
    <t>HelgaLou wrote a review Oct 2018East Midlands45 contributions20 helpful 
votes</t>
  </si>
  <si>
    <t>Old, smelly and tired (thats not me but the rooms!)old and tired place. Floor 4 stinks of mould, damp and old water. The 
bathroom has seen better decades. Holes in tiles, poor maintenance. Worst 
Travelodge I have stayed in. Old toothpaste lid jammed down the sink - 
brown with other peoples dirt and spit.There is not room for the furniture 
in the room either. A chair was placed behind the desk which virtually 
touches the end of the bed. My husband tripped over this, his toes are 
black with bruises and bled all weekend. We didn't stay for breakfast for 
feat that the kitchens may be dirty too.Duvet cover dirty on arrival. 
Generally not great. Rooms so hot they are like a furnace.Read moreReview 
collected in partnership with TravelodgeDate of stay: October 
2018HelpfulShareResponse from TravelodgeUK, Tilly from the Social Media 
Team at Travelodge London Kings Cross Royal ScotResponded 2 Oct 2018Thank 
you for your feedback about our London Kings Cross Royal Scot hotel. We are 
sorry to hear of the experience that you had during your stay and that your 
room was not cleaned to our high standards. We will be sure to pass your 
comments onto the hotel team to help improve the service that we offer and 
we hope to be given the opportunity to welcome you back to one of our 
hotels in the future.Read more</t>
  </si>
  <si>
    <t>sally w wrote a review Sep 2018Portsmouth, United Kingdom71 contributions31 
helpful votes</t>
  </si>
  <si>
    <t>All that was needed.Hotel was basic and fairly clean. Staff were helpful to an extent but 
engaged with us as little as they could. It worked well for us as a quick 
stop over for an early morning flight. Good location for the 
airport/airport parking. Shame you have to pay for 24 hours worth of 
parking when we arrived late and left only a few hours later in the early 
morning. The restaurant is okay, food priced well with lots of interesting 
options. Overall this was what we expected and we would recommend for 
someone using it similarly.Read moreDate of stay: November 
2019HelpfulShareResponse from TravelodgeUK, James form the Social media 
Team at Travelodge Gatwick Airport CentralResponded 14 Nov 2019Thank you 
for reviewing our Travelodge Gatwick Airport Central Hotel. We're happy to 
hear you were pleased with the cleanliness of the hotel during this stay 
with us as well as with it's location but we're sorry to hear of the issues 
experienced with parking. Please rest assured the hotel managers check 
Tripadvisor reviews of their hotels so your comments will be reviewed by 
the hotel's team. Thank you again for leaving this review and we do hope 
that you choose to stay with us again in the future.Read more</t>
  </si>
  <si>
    <t>Overnight stayFour of us stay overnight enroute to the Eurostar once a year as it is 
convenient.Since our stay last year we noticed much improvement in the 
decor,the bedrooms we were given had clearly been decorated.It was also 
spotlessly clean.The restaurant was clean and the furniture well located.We 
did not have breakfast as previous experiences were not good. The staff 
were friendly and the check in efficient.Read moreDate of stay: September 
2018HelpfulShare</t>
  </si>
  <si>
    <t>https://www.tripadvisor.co.uk/Hotel_Review-g191265-d229508-Reviews-or305-Travelodge_Gatwick_Airport_Central-Horley_Surrey_England.html#REVIEWS</t>
  </si>
  <si>
    <t>ITE22 wrote a review Sep 20185 contributions</t>
  </si>
  <si>
    <t>572trebor wrote a review Nov 2019Aranda de Duero, Spain3 contributions2 
helpful votes</t>
  </si>
  <si>
    <t>Lovely hotelNice hotel. Clean and welcoming. My room was very comfortable. However the 
noise all the night from other guests was appalling. In not going to give 
the hotel a poor rating as its not there fault just inconsiderate 
people.Read moreDate of stay: October 2018HelpfulShare</t>
  </si>
  <si>
    <t>Gatwick Airport Stop-OverGreat value hotel with large well-carpeted and sound proof room overlooking 
woods. Very comfy bed. It is only 15 minutes walk from North Terminal to 
Hotel. Access on foot from airport to hotel is dangerous as there is no 
pedestrian sidewalk alongside the busy A23 road forcing me to walk in 
highway at night. The Highway Authority must construct safe pedestrian 
access between the airport and business district.Read moreReview collected 
in partnership with TravelodgeDate of stay: November 2019HelpfulShare</t>
  </si>
  <si>
    <t>daines51 wrote a review Nov 2019Hertfordshire, United Kingdom43 
contributions19 helpful votes</t>
  </si>
  <si>
    <t>Same as always.Room small but comfortable. Heating had to be turned on several times as 
the room cooled after reaching room temp. Ground floor at front noisy from 
traffic in grounds. Good bus service to airport. Best to get off south 
terminal even if going to north as north drop off and pick up is a long 
walk to get inside the building.Read moreReview collected in partnership 
with TravelodgeDate of stay: November 2019HelpfulShare</t>
  </si>
  <si>
    <t>rodkaren wrote a review Nov 2019Norwich8 contributions3 helpful votes</t>
  </si>
  <si>
    <t>Ridiculous parking charge!We have stayed at this travelodge many times, however this time we were 
very dissapointed, firstly the overnight parking charge had doubled in 
price since our last stay to £16 a small increase is ok but to double is 
ridiculous! Also the hand soap was empty and a very small amount of toilet 
paper in the bathroom, these are things that should be checked after every 
stay. Unfortunately we have two more stays booked but after that we shall 
stay elsewhere. You can get a nice b&amp; b with parking for around the same 
price now.Read moreDate of stay: November 2019HelpfulShareResponse from 
TravelodgeUK, James from the Social Media Team at Travelodge Gatwick 
Airport CentralResponded 13 Nov 2019Thank you for reviewing our Travelodge 
Gatwick Airport Central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</si>
  <si>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kimberlyloxx wrote a review Nov 2019Stoke-on-Trent, United Kingdom171 
contributions30 helpful votes</t>
  </si>
  <si>
    <t>Great value - perfect for airport staysStayed here the night before a long haul flight and was really impressed. 
Clean, spacious and very comfortable. Had a bath which was great as a lot 
of travelodges just provide a shower. By far the best travelodge I've 
stayed in. Can't justify a 5 star as it is just a basic hotel however could 
not be faulted for its purpose. Worth noting my uber to the south terminal 
was £15Read moreDate of stay: November 2019HelpfulShare</t>
  </si>
  <si>
    <t>https://www.tripadvisor.co.uk/Hotel_Review-g191265-d229508-Reviews-or310-Travelodge_Gatwick_Airport_Central-Horley_Surrey_England.html#REVIEWS</t>
  </si>
  <si>
    <t>sandra k wrote a review Nov 2019Fareham, United Kingdom180 contributions55 
helpful votes</t>
  </si>
  <si>
    <t>Great hotelStayed here for one night and was very impressed. Although the room was 
basic, it was spotlessly clean and comfortable. Had a meal in the 
restaurant and this was tasty and good value. Staff friendly and helpful. 
Would certainly stay here again. Great value for money.Read moreDate of 
stay: November 2019HelpfulShare</t>
  </si>
  <si>
    <t>ShazmeisterP wrote a review Nov 2019Rothwell, United Kingdom1,223 
contributions212 helpful votes</t>
  </si>
  <si>
    <t>Travelodge Plus - Noticeable DifferenceThis hotel has recently been refurbished and given the 'Plus' label, and 
it's noticeable compared to your regular Travelodges. On arrival I was 
having problems paying for parking (£16 for 24 hours, which felt 
extortionate given we would be parking for less than 10 hours), so went 
inside to ask how the machine worked. The young chap on reception suggested 
using the machine inside the hotel and came out from behind the counter to 
help. Ticket purchased and placed on car and then I was able to check-in. 
Check-in was efficient and when I was given the key I checked we had a 
family room and received confirmation it was. The room was clean and 
spacious, with a double bed and two camping style beds pushed together. 
Although there were 3 adults we chose this arrangement as a cheap…Read 
moreDate of stay: November 2019HelpfulShare</t>
  </si>
  <si>
    <t>siobhan653 wrote a review Nov 2019Gloucester, United Kingdom1 contribution</t>
  </si>
  <si>
    <t>Stay at Gatwick Airport CentralWe stayed at Gatwick Airport Central as we were going on holiday and the 
location of this hotel was ideal. Staff were very friendly and helpful. 
Room was booked for a good price. Everything was very clean, tidy and 
presentable. Would definitely stay again ��Read moreReview collected in 
partnership with TravelodgeDate of stay: October 2019HelpfulShare</t>
  </si>
  <si>
    <t>https://www.tripadvisor.co.uk/Hotel_Review-g191265-d229508-Reviews-or315-Travelodge_Gatwick_Airport_Central-Horley_Surrey_England.html#REVIEWS</t>
  </si>
  <si>
    <t>Tuksumdoin2 wrote a review Nov 2019Derby, United Kingdom108 contributions50 
helpful votes</t>
  </si>
  <si>
    <t>Booked two room pre flight to BarbadosGet location. Fantastic hotel parking available if needed at charge very 
clean Rooms, I couldn't take the photo of the lights on Stand in the Bar 
were somebody had wrote in the dust. DUSTY. What spoils it is over priced 
drinks at bar £5.25 a pint of stella.Read moreDate of stay: November 
2019HelpfulShare</t>
  </si>
  <si>
    <t>https://www.tripadvisor.co.uk/Hotel_Review-g186338-d1812157-Reviews-or680</t>
  </si>
  <si>
    <t>keithmonson1 wrote a review Nov 20191 contribution1 helpful vote</t>
  </si>
  <si>
    <t>parking and wifi extradecent hotel but no mention of having to pay £16.00 per night extra to park 
the car until you arrive at the hotel I guess it is a case of buyer beware 
you get luled into a false sense that you have booked a reasonable priced 
hotel only to be hit with an extra bill could have got a better hotel for 
less money with free parkingRead moreReview collected in partnership with 
TravelodgeDate of stay: October 20191 Helpful voteHelpfulShare</t>
  </si>
  <si>
    <t>Charles L wrote a review Nov 2019Canterbury, United Kingdom5 contributions1 
helpful vote</t>
  </si>
  <si>
    <t>Good Travelodge, crazy overnight parking chargeWe only wanted to stay for one night yet the charge to park our car was 
ridiculously expensive. The hotel itself is very good and a good choice if 
using public transport but for a short stay with a car be prepared for a 
very expensive charge.Read moreReview collected in partnership with 
TravelodgeDate of stay: October 20191 Helpful voteHelpfulShareResponse from 
TravelodgeUK, Shaf from the Social Media Team. at Travelodge Gatwick 
Airport CentralResponded 10 Nov 2019Thank you for reviewing our Gatwick 
Airport Central Travelodge. We're pleased to hear the hotel was good and we 
really are sorry to learn of your disappointment regarding the car park.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</si>
  <si>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https://www.tripadvisor.co.uk/Hotel_Review-g191265-d229508-Reviews-or320-Travelodge_Gatwick_Airport_Central-Horley_Surrey_England.html#REVIEWS</t>
  </si>
  <si>
    <t>travelabound wrote a review Nov 2019nyc99 contributions59 helpful votes</t>
  </si>
  <si>
    <t>bearable for short night staymy itenerary had me arrive in gatwick at 10pm from kiev, so i thought best 
to stay around the airport. i chose this hotel being budget and the fact 
that i only sleep for few hours . from gatwick there is a shuttle bus to 
the hotel , it takes around 15 mi and costs 4 uk pounds. check in was quick 
, i have prepaid the room incl breakfast and wi fi for 57 uk pounds . my 
room was on the ground floor , very basic room, basic bathroom everything 
no frills, there is no safe in the room. i didnt expect it to be like 
"hilton" so its ok . the bed was very comfortable , sleep quality good ! i 
was disappointed with breakfast , they had some bread that isnt fresh , no 
rolls ! basically butter, jam , some eggs and sausages , very poor meal !!! 
super minimal ! wi-fi very spotty , gave up…Read moreDate of stay: October 
2019HelpfulShareResponse from TravelodgeUK, Shaf from the Social Media 
Team. at Travelodge Gatwick Airport CentralResponded 10 Nov 2019Thank you 
for reviewing our Gatwick Airport Central Travelodge. We're pleased to hear 
the beds were comfortable and sorry to learn of your disappointment 
regarding the breakfast service. Feedback is invaluable and our Hotel 
Managers regularly review their TripAdvisor reviews in order to fix any 
issues raised and pass on feedback to their team. Thank you once again and 
we do hope you will stay with us in the future.Read more</t>
  </si>
  <si>
    <t>rticboy1 wrote a review Nov 2019Burnaby, Canada46 contributions9 helpful 
votes</t>
  </si>
  <si>
    <t>Don't stay here - there are lots of other choicesI booked my stay - without an issue. I checked in - without an issue. I 
paid for my room AND 24-hr access to wifi - without an issue (though the 
fact that Travelodge charges for wifi when it's ubiquitous is 
unprofessional and unethical). In any case, when I checked in, I was able 
to connect to wifi no problem. When I woke up in the wee hours and tried to 
check something online, no internet connection. I searched for some means 
of communicating with the front desk to ask about this. No phone in the 
room. So, at 1:45 am, I had to get dressed and go to the front desk to 
advise them of this problem. Don't think I've ever stayed at a hotel ever 
with no phone in the room. What if there was an emergency? Anyway, the guy 
at the front desk was helpful even though it wasn't his issue to…Read 
moreDate of stay: November 2019HelpfulShareResponse from TravelodgeUK, 
James from the Social Media Team at Travelodge Gatwick Airport 
CentralResponded 10 Nov 2019Thank you for reviewing our Travelodge Gatwick 
Airport Central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</si>
  <si>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N2121JVwendy wrote a review Nov 201946 contributions11 helpful votes</t>
  </si>
  <si>
    <t>Dreadful night at this hotelEither the man in the next room was loud or the soundproofing is 
non-existent in this hotel. We had very little sleep up on 5th floor as 
there were loud voices on several occasions. About 3am I think they left 
and we finally got some sleep. Lack of fresh air in our room also a 
problem. No soap in bath dispenser either. Won’t use this hotel again.Read 
moreDate of stay: November 2019HelpfulShareResponse from TravelodgeUK, 
James from the Social Media Team at Travelodge Gatwick Airport 
CentralResponded 10 Nov 2019Thank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</si>
  <si>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gado_ophthalmol wrote a review Nov 2019Manama, Bahrain3 contributions</t>
  </si>
  <si>
    <t>CostyAC was not working and room was freezing. Receptionist said that he will 
work it from the reception and we insisted to go to a different room. We 
had only 5 hours to sleep because of that costing £50 !!!Read moreReview 
collected in partnership with TravelodgeDate of stay: October 
2019HelpfulShareResponse from TravelodgeUK, James from the Social Media 
Team at Travelodge Gatwick Airport CentralResponded 10 Nov 2019Thank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</si>
  <si>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Laura wrote a review Nov 20191 contribution</t>
  </si>
  <si>
    <t>ExperienceI booked my reservation with Travelodge Gatwick and I must say it was an 
awesome experience. Mr Everton (staff) was very polite and friendly and he 
made my experience even better. Thank you travelodgeRead moreDate of stay: 
November 2019HelpfulShare</t>
  </si>
  <si>
    <t>https://www.tripadvisor.co.uk/Hotel_Review-g191265-d229508-Reviews-or325-Travelodge_Gatwick_Airport_Central-Horley_Surrey_England.html#REVIEWS</t>
  </si>
  <si>
    <t>Emilyiow wrote a review Nov 2019Isle of Wight, United Kingdom10 
contributions</t>
  </si>
  <si>
    <t>Did the jobPerfect location for an early flight. Easy connections to the airport via 
the shuttle bus. Helpful and friendly staff. Comfortable room with 
everything I needed for a night before my flight. Really good price for the 
airport tooRead moreDate of stay: November 2019HelpfulShare</t>
  </si>
  <si>
    <t>Penny M wrote a review Nov 2019Nottingham, United Kingdom11 contributions2 
helpful votes</t>
  </si>
  <si>
    <t>Start of vacationQuick taxi drive from Gatwick airport to stay the night . Rooms more than 
satisfactory, restaurant was comfortable ,friendly and well priced - choice 
was great . First time we’ve stayed at a Travelodge Plus - was impressive 
to say the least ! Will definitely recommend to others :-)Read moreDate of 
stay: October 2019HelpfulShare</t>
  </si>
  <si>
    <t>https://www.tripadvisor.co.uk/Hotel_Review-g191265-d229508-Reviews-or330-Travelodge_Gatwick_Airport_Central-Horley_Surrey_England.html#REVIEWS</t>
  </si>
  <si>
    <t>chepasbar wrote a review Nov 2019Canutells82 contributions44 helpful votes</t>
  </si>
  <si>
    <t>DisappointingWe stay here always when at Gatwick. Sometimes really good but standards 
seem to be slipping again. Check in a bit tedious, two staff checking a 
guest in on one terminal, why ?. Queue building and no effort to open 
another terminal. Room very nice on 2nd floor, having unpacked we 
discovered the air conditioning had a fault and turned itself off every 10 
minutes......solution to get a heater from reception as no person could 
fix. Watching TV only to find remote was faulty........solution to get a 
replacement remote from reception only to find that didn’t work either. 
Went to Bar/Restaurant to witness a member of staff being indifferent to a 
customer who wanted food, my turn next I thought. I asked if any offer were 
available. “No” I was told, what real ales do you sell. “What do…Read 
moreDate of stay: November 2019HelpfulShare</t>
  </si>
  <si>
    <t>karengregory0102 wrote a review Nov 2019Southampton, United Kingdom1 
contribution</t>
  </si>
  <si>
    <t>Staying at Travelodge Gatwick Airport CentralWe enjoyed the room very much. Beds were clean and comfortable and all the 
carpets were clean and of a high standard. The Travelodge was minutes away 
from the airport and the shuttle bus departed from right outside the front 
door. The food was good and reasonably priced.Read moreReview collected in 
partnership with TravelodgeDate of stay: October 2019HelpfulShare</t>
  </si>
  <si>
    <t>Donna B wrote a review Nov 20191 contribution</t>
  </si>
  <si>
    <t>Car Parking ExtortionateTravelodge Gatwick is located very close to the airport, so this makes it 
very convenient for travellers. However, I would highly recommend not 
taking your car as the car parking charge is £16 for 24 hours so even if 
you stay only 8 hours the charge remains the same!!!! The hotel itself is 
well maintained and the reception staff are very friendly and helpful.Read 
moreReview collected in partnership with TravelodgeDate of stay: November 
2019HelpfulShare</t>
  </si>
  <si>
    <t>Juner667 wrote a review Nov 2019San Cayetano, Murcia, Spain16 
contributions2 helpful votes</t>
  </si>
  <si>
    <t>Not the best sleepRecently stayed for one night in room 19. This room is situated through the 
door just by reception. Positives: bed very comfortable, nice pillows and 
bath towels. Nice welcome from receptionist. Negatives: very noisy room... 
Sleep was constantly disturbed by noise from the car park, people speaking 
outside or possibly from the room next door, car doors opening &amp; closing, 
passage door closing.. All this contributed to lack of sleep �� No biscuits 
on tea tray Shower head is fixed pointing to the shower wall.. Bit odd No 
bath mat so you step out onto a wet floor Lots of hairs on the bathroom 
floor, hair also on the door and in the shower tray. Managed to get the 
heating on the evening before but not in the early morning The person on 
reception admitted that the walls are quite…Read moreDate of stay: November 
2019HelpfulShareResponse from TravelodgeUK, Ben from the Social Media Team 
at Travelodge Gatwick Airport CentralResponded 5 Nov 2019Thank you for 
taking the time to share your experience of your stay at our Gatwick 
Airport Central Travelodge with us. We're pleased to learn that you found 
the bed to be comfortable and you received a nice welcome however we are 
sorry to hear that noise from outside the hotel and other guests has 
affected the comfort of your stay and of your disappointment with the 
facilities. Wherever possible, we mention on the hotel’s booking page that 
due to the hotel’s location, external noise may be heard. We have also 
taken measures within our hotels such as double glazing to try and reduce 
the impact this may have on a guests stay with us. We strive to make our 
customers as comfortable as possible and we would like to apologise if on 
this occasion we were not able to offer you a good night's sleep. We 
appreciate all the feedback we receive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</si>
  <si>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https://www.tripadvisor.co.uk/Hotel_Review-g191265-d229508-Reviews-or335-Travelodge_Gatwick_Airport_Central-Horley_Surrey_England.html#REVIEWS</t>
  </si>
  <si>
    <t>Rachel F wrote a review Oct 20194 contributions2 helpful votes</t>
  </si>
  <si>
    <t>Great way to start our holidayWe booked only a couple of days before our flight, and we're pleasantly 
surprised at the cost of the room. And definitely worth paying the extra 
for breakfast, a buffet with hot and cold food. Greeted by friendly staff 
both on arrival and at breakfast. Easy shuttle bus service to the door to 
airport terminals. (Also car parking available, but we didn't use that.) 
Would definitely consider booking again.Read moreReview collected in 
partnership with TravelodgeDate of stay: October 2019HelpfulShare</t>
  </si>
  <si>
    <t>Jono H wrote a review Oct 2019Stevenage, United Kingdom57 contributions17 
helpful votes</t>
  </si>
  <si>
    <t>Not what I would expectStayed here on a few occasions pre flight however this time was rather poor 
- heating wasn't working, took 3 attempts of speaking to reception until 
given a portable heater and the water in the shower took nearly 40 minutes 
to heat up, will have to consider whether we will stay here again.Read 
moreDate of stay: October 2019HelpfulShareResponse from TravelodgeUK, Tilly 
from The Social Media Team at Travelodge Gatwick Airport CentralResponded 1 
Nov 2019Thank you for your feedback about our Gatwick Airport Central 
hotel. We are sorry to hear that your heating was not working and this 
meant that you had an uncomfortable stay due to the cold. We are also sorry 
to hear that the water in your shower took a while to heat up. We will pass 
your comments to the hotel team and we hope to welcome you back to one of 
our hotels again soonRead more</t>
  </si>
  <si>
    <t>kulevi wrote a review Oct 2019Sutton, United Kingdom1 contribution</t>
  </si>
  <si>
    <t>Clean and great valueThe hotel itself is very clean, well maintained and great value for money. 
However, you need to make sure you have at least £4 in cash for a shuttle 
bus; £8 if you are going to and from the the hotel (shuttle bus drivers DO 
give change!). The shuttle bus stops directly outside the front door, so 
you can just wait inside the lobby, which is very handy at 4am. :) The 
shuttle bus schedule is available at reception. Overall, the experience was 
pleasant and I would stay there again if I have an early flight from 
Gatwick. The only downsides were: 1. A few lemon pits inside the bathroom 
sink plug; and 2. Someone was smoking/burning something in another room and 
I could smell it in my bathroom, so cleaning teeth in the evening and 
morning wasn't very pleasant. Luckily, I couldn't smell…Read moreReview 
collected in partnership with TravelodgeDate of stay: October 
2019HelpfulShare</t>
  </si>
  <si>
    <t>https://www.tripadvisor.co.uk/Hotel_Review-g191265-d229508-Reviews-or340-Travelodge_Gatwick_Airport_Central-Horley_Surrey_England.html#REVIEWS</t>
  </si>
  <si>
    <t>Safari41064 wrote a review Oct 2019Westhill, United Kingdom15 contributions</t>
  </si>
  <si>
    <t>Thoroughly enjoyed my stay!Clean spacious room, helpful staff. Large screen TV and tea &amp; coffee 
facilities in the room.. Good proximity to the airport. Thank you 
Travelodge for providing an amazing service for an amazing value!Read 
moreReview collected in partnership with TravelodgeDate of stay: October 
2019HelpfulShare</t>
  </si>
  <si>
    <t>SotonGirl61 wrote a review Oct 2019Southampton, United Kingdom107 
contributions21 helpful votes</t>
  </si>
  <si>
    <t>https://www.tripadvisor.co.uk/Hotel_Review-g186338-d1812157-Reviews-or685</t>
  </si>
  <si>
    <t>IdealGreat location close to Gatwick North long stay carpark. Stayed with 
friends as we had an early flight the next morning. We had rooms on the 
first floor which was a bit of a walk and had to use the stairs as there 
was no lift in that part of the hotel. Okay for us as we had small 
suitcases but could see this may be awkward for older guests with large 
cases. Room clean and bed comfortable. Didn’t eat in the restaurant so 
can’t comment on the food. Walls are a bit thin and we had annoying 
neighbours who were laughing loudly at 2 in the morning. Would stay again 
if having an early morning flight.Read moreDate of stay: September 
2019HelpfulShare</t>
  </si>
  <si>
    <t>louisejoedy wrote a review Oct 2019London, United Kingdom1 contribution</t>
  </si>
  <si>
    <t>DisappointedThe food in the restaurant was good and the general cleanliness of the 
hotel. However you can hear ever bit of noise. No travel cot given after 
requested 3 times and could not get the heaters to work.Read moreReview 
collected in partnership with TravelodgeDate of stay: October 
2019HelpfulShareResponse from TravelodgeUK, Niki from The Social Media Team 
at Travelodge Gatwick Airport CentralResponded 29 Oct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</si>
  <si>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mdanwarulazimm wrote a review Oct 20192 contributions</t>
  </si>
  <si>
    <t>Travelodge near Gatewick AiportI have to change the room twice. AC with noise. Second time, the room was 
occupied by someone. Really embarrassing!!! I had to carry my three bags to 
the rooms and reception twice . I took 45 minutes to get a third room.Read 
moreReview collected in partnership with TravelodgeDate of stay: October 
2019HelpfulShareResponse from TravelodgeUK, Zack from The Social Media Team 
at Travelodge Gatwick Airport CentralResponded 29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</si>
  <si>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https://www.tripadvisor.co.uk/Hotel_Review-g191265-d229508-Reviews-or345-Travelodge_Gatwick_Airport_Central-Horley_Surrey_England.html#REVIEWS</t>
  </si>
  <si>
    <t>agadooSwindon wrote a review Oct 2019swindon94 contributions29 helpful votes</t>
  </si>
  <si>
    <t>Early morning flightI really don't know why people are shocked by £16 car parking fee. The 
charge is clearly stated on there website. As it happens we stayed last 
night and the machine was broken so didn't have to pay. Food was ok, 2 
courses for £14, drinks London prices. There's a co op, which is an 8 
minute walk if you want drinks etc, for your room. Room was immaculate, 
staff were very friendly. Hope it's as good on our return. And if the 
parking machine could still be broken even better ��Read moreDate of stay: 
October 2019HelpfulShare</t>
  </si>
  <si>
    <t>cmp300 wrote a review Oct 2019Harleston, United Kingdom13 contributions</t>
  </si>
  <si>
    <t>Convenient tp AirportComfortable and convenient to Gatwick, a welcome break after our long 
flight. Standard Travelodge with not much character but fine for one night. 
Always good beds. Food on site. Breakfast OK. Shuttle bus stops outside 
which is a bonus.Read moreReview collected in partnership with 
TravelodgeDate of stay: October 2019HelpfulShare</t>
  </si>
  <si>
    <t>heather r wrote a review Oct 2019Horsham, United Kingdom22 contributions15 
helpful votes</t>
  </si>
  <si>
    <t>AtrociousSpent one awful night here last night with my daughter and 2 month old 
grandson. No heating in our room. Slept in our clothes and froze. Better 
off kipping in the terminal, especially if like me you have cancer. Their 
complaints website is a joke and doesn't work. Hideous experience.Read 
moreDate of stay: October 20191 Helpful voteHelpfulShareResponse from 
TravelodgeUK, James from the Social Media Team at Travelodge Gatwick 
Airport CentralResponded 27 Oct 2019Thank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</si>
  <si>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https://www.tripadvisor.co.uk/Hotel_Review-g191265-d229508-Reviews-or350-Travelodge_Gatwick_Airport_Central-Horley_Surrey_England.html#REVIEWS</t>
  </si>
  <si>
    <t>rg24444 wrote a review Oct 2019London, United Kingdom1 contribution</t>
  </si>
  <si>
    <t>Wouldn't stay againIf you get given a first floor room, be aware that half of them don't have 
a lift to get to and are about a 5 minutes walk away in a separate 
building. This won't be an issue if you have no luggage and don't mind 
walking however, if like me you have luggage (more than likely seeing as 
you are staying near an airport) then it won't be a good idea to stay in 
those rooms. Ask for a different room. I wasn't advised about this issue so 
by the time I got to the stairs, it was just less stress to continue than 
to walk all the way back. Soap dispensers may not be working properly 
either, stayed in two different rooms and neither was working. Not an issue 
if you're not going to use the bathroom but if you're like the majority of 
the population ,then you probably will. Check it when you…Read moreReview 
collected in partnership with TravelodgeDate of stay: October 
2019HelpfulShareResponse from TravelodgeUK, Zack from The Social Media Team 
at Travelodge Gatwick Airport CentralResponded 24 Oct 2019Thank you for 
leaving your review of our Gatwick Airport Central hotel. We are pleased to 
hear that you found your room to be to a high standard of cleanliness and 
that it was made up to this same high standard, however we are so sorry to 
hear of your disappointment with the location of the rooms and that the 
soap dispensers were not working for your stay. We do hope we are given the 
opportunity to regain your trust in Travelodge and you stay with us in the 
future.Read more</t>
  </si>
  <si>
    <t>Tourist66748572611 wrote a review Oct 2019Glasgow, United Kingdom2 
contributions</t>
  </si>
  <si>
    <t>Very clean and handy for airportThe staff are lovely, the rooms are spotless and much quieter than I was 
expecting considering people arrive and leave at all times, depending on 
which fight they're catching. We didn't hear anything. The beds are comfy. 
The restauarant is always clean and tidy and well stocked. The food is well 
cooked and tastes good. The taxis to the airport arrive quickly and are 
cheaper than the regular bus service if there are more than one of you. 
This is our fourth time here so it must be alright.Read moreReview 
collected in partnership with TravelodgeDate of stay: October 
2019HelpfulShare</t>
  </si>
  <si>
    <t>4CDNS_052011 wrote a review Oct 2019Brantford, Canada12 contributions18 
helpful votes</t>
  </si>
  <si>
    <t>Brilliant ReceptionDue to my error I neglected to make a booking for the hotel. The reception 
staff, Hamida, Alec and Jessica were absolutely brilliant. After making the 
reservation over the phone Hamida located it on the reservation list under 
my middle name she showed extreme patience, diligence and perserverance to 
locate it and saved the day. Alec and Jessica were equally efficient during 
this process. The reception staff is perhaps the main reason that we stay 
here time and time again.Read moreDate of stay: October 2019HelpfulShare</t>
  </si>
  <si>
    <t>Nurioncia wrote a review Oct 2019Abergavenny, United Kingdom1 contribution</t>
  </si>
  <si>
    <t>Recommended hotel, no doubtNice hotel, not too far from the airport. Also, the bus leaves you at 
reception. Comfortable beds and very clean rooms. Warm welcome from the 
staff. Haven't tried the food but smelled good! Highly recommended.Read 
moreReview collected in partnership with TravelodgeDate of stay: October 
2019HelpfulShare</t>
  </si>
  <si>
    <t>https://www.tripadvisor.co.uk/Hotel_Review-g191265-d229508-Reviews-or355-Travelodge_Gatwick_Airport_Central-Horley_Surrey_England.html#REVIEWS</t>
  </si>
  <si>
    <t>BabsNorwich wrote a review Oct 2019Norwich, United Kingdom43 
contributions51 helpful votes</t>
  </si>
  <si>
    <t>Car park increaseHaving used this hotel when flying from Gatwick on numerous occasions, we 
booked once more. We were shocked that the car park had increased from the 
price shown on their website when we booked the hotel. I wished that they 
had sent an email to warn us that the parking had doubled. The only good 
thing was, that the car park was very empty. We will definitely be looking 
for another Gatwick hotel next time.Read moreDate of stay: October 
2019HelpfulShare</t>
  </si>
  <si>
    <t>FarAway25574 wrote a review Oct 20191 contribution</t>
  </si>
  <si>
    <t>Perfect Place to stay for anyoneFrom entering the hotel to leaving we were treated with respect by some 
lovely people in reception and at the bar. They were efficient in giving us 
our room key and directing, providing us with snacks in the bar and calling 
a taxi for us on departure. The room was spotless and the bed was so comfy. 
We'll most definitely returnRead moreReview collected in partnership with 
TravelodgeDate of stay: October 2019HelpfulShare</t>
  </si>
  <si>
    <t>Craig M wrote a review Oct 2019Chichester, United Kingdom65 contributions22 
helpful votes</t>
  </si>
  <si>
    <t>Day trip abroadI arrived late afternoon, checked in the receptionist was very welcoming. I 
then went to pay for my parking, I felt that £32.00 was too expensive for a 
two night stay. I then went to my room and rested up a bit before going 
downstairs for dinner. The service in the restaurant was excellent I was 
greeted in a friendly manner. The food was good and served very quickly. 
The restaurant staff were very attentive ensuring I had everything I need. 
I went to the bar for a couple of drinks the pints I had were nice, but 
overpriced at £6.15 a pint. On my last morning I had breakfast again the 
service was excellent, a good range of food on offer and the price is 
cheaper, if not competitive compared with other hotels. I was disappointed 
that the hand soap dispenser wasn’t working in my…Read moreReview collected 
in partnership with TravelodgeDate of stay: October 2019HelpfulShare</t>
  </si>
  <si>
    <t>https://www.tripadvisor.co.uk/Hotel_Review-g191265-d229508-Reviews-or360-Travelodge_Gatwick_Airport_Central-Horley_Surrey_England.html#REVIEWS</t>
  </si>
  <si>
    <t>Mrs019 wrote a review Oct 20191 contribution</t>
  </si>
  <si>
    <t>Great hotelThe hotel was very close to the airport by bus from stop 8 outside arrivals 
£4 each way. Had phoned ahead due to lateness of arrival and was allocated 
a room number in advance. Check in was very quick even though there was a 
long queue. Staff were lovely and friendly. Room was a very high standard, 
looked freshly painted, carpet looked new, it was very clean and the bed 
was very comfortable. Would definitely recommend this hotel and would use 
again.Read moreReview collected in partnership with TravelodgeDate of stay: 
October 2019HelpfulShare</t>
  </si>
  <si>
    <t>Helga H wrote a review Oct 2019Birmingham, United Kingdom30 contributions6 
helpful votes</t>
  </si>
  <si>
    <t>Great value stopover for an early flightWe had a one night stay here to be close at hand for an early morning 
flight out of Gatwick. We booked a super room and it was great value for 
money on the advance rate. Everything was clean and new, check in was fast 
and friendly and efficient. A super room has a few more frills, a proper 
coffee machine and tea/coffee, ironing board and iron and bigger TV. All in 
good order. A taxi from the train station is £11 and the shuttle to the 
airport couldn't be more convenient, stopping right outside and calling at 
just one other hotel before South then North terminal. We've avoided 
Gatwick in the past but if I have an early flight there again I will 
definitely chose the Travelodge for the value.Read moreDate of stay: 
October 2019HelpfulShare</t>
  </si>
  <si>
    <t>shanny1100 wrote a review Oct 2019Kent, United Kingdom1 contribution</t>
  </si>
  <si>
    <t>Bed mites, and Bath plug hole dirty.Had feet bitten by bed mites, the bath hole smelt horrible and was unclean. 
Had a few hairs left in bathroom around sink area from previous occupants, 
paid for 1 days WiFi did not get it, mentioned at desk, but was told it was 
given in email, had no such thing, only thing was good was the 
breakfast.Read moreReview collected in partnership with TravelodgeDate of 
stay: October 2019HelpfulShareResponse from TravelodgeUK, Shaf from the 
Social Media Team. at Travelodge Gatwick Airport CentralResponded 21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</si>
  <si>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Rob P wrote a review Oct 2019Haslemere, United Kingdom11 contributions8 
helpful votes</t>
  </si>
  <si>
    <t>Great value at TravelodgeFollowing extensive trips around the world, I used Travelodge Gatwick 
Central to bridge flight connections. It was excellent in all ways and the 
breakfast was as good if not better than I had experienced in very 
expensive hotels around the world. Excellent value The staff were also very 
helpful. I'll use the hotel again in the future, as this is a regular 
trip.Read moreReview collected in partnership with TravelodgeDate of stay: 
October 2019HelpfulShare</t>
  </si>
  <si>
    <t>https://www.tripadvisor.co.uk/Hotel_Review-g191265-d229508-Reviews-or365-Travelodge_Gatwick_Airport_Central-Horley_Surrey_England.html#REVIEWS</t>
  </si>
  <si>
    <t>Dominique wrote a review Oct 2019Greater London, United Kingdom9 
contributions</t>
  </si>
  <si>
    <t>Mrs PryorOutstanding customer service! Lovely gentlemen Kevin, an asset to 
Travellodge ������������������Lovely young lady Monique at reception , 
sweet smile and very helpful . Big breakfast area with lovely English 
breakfast. Nice capuccino and the room has usb by the bed, really handy 
��Read moreDate of stay: October 2019HelpfulShare</t>
  </si>
  <si>
    <t>adamhlmobile wrote a review Oct 20191 contribution1 helpful vote</t>
  </si>
  <si>
    <t>Gatwick airport centralAvoid this place if you can unless you have deep pockets!! Want to park in 
their carpark overnight or in the day? It will cost you £16! Last time it 
was £8 and I thought that was expensive! The WiFi is not free. You get 30 
minutes every 24 hours but otherwise have to pay. Some idiot had decided to 
set an alarm on the TV without us knowing, so it came on at full volume at 
4am!Read moreReview collected in partnership with TravelodgeDate of stay: 
October 20191 Helpful voteHelpfulShareResponse from TravelodgeUK, Ben from 
the Social Media Team at Travelodge Gatwick Airport CentralResponded 20 Oct 
2019Thank you for taking the time to write a review about our Gatwick 
Airport Central hotel. We are sorry to learn of your disappointment with 
the price of parking, the charge for WiFi and that another guest had set an 
alarm on the TV. Unlike some of our competitors, we charge a small WiFi fee 
instead This gives our customers the choice on whether they would like to 
pay extra for this service. We appreciate all the feedback we receive and 
our Hotel Managers regularly review their TripAdvisor reviews in order to 
fix any issues raised and pass on feedback to their team. Thank you once 
again and we do hope you will stay with us in the future.Read more</t>
  </si>
  <si>
    <t>TrevorP1956 wrote a review Oct 2019Maidstone, United Kingdom14 
contributions6 helpful votes</t>
  </si>
  <si>
    <t>Lousy customer service.May be cheap but that's why customer service is lousy. Better spending a 
few pounds more and go elsewhere. If you call kept waiting for ages then 
given wrong info. Then put through to customer services to find the service 
selection numbers don't work. Then have to call again. Eventually get 
through to be the that number often often doesn't work. Get told to go on 
line and use online chat. Did that to get message no one available. 
Crap.Read moreDate of stay: October 2019HelpfulShareResponse from 
TravelodgeUK, Ben from the Social Media Team at Travelodge Gatwick Airport 
CentralResponded 20 Oct 2019Thank you for your feedback. We are really 
sorry to hear of your experience. Unfortunately our customer services team 
are only available Monday to Friday 8am - 5pm however guests are able to 
contact us through the help section of the website via our help form. If 
you would like to contact us with a copy of your review we will be happy to 
assist with your complaint. Thank you again for reviewing our hotel.Read 
more</t>
  </si>
  <si>
    <t>hughturner447 wrote a review Oct 2019Bures, United Kingdom1 contribution</t>
  </si>
  <si>
    <t>Travelodge Reborn!From the warm welcome at reception, through the pristine and comfortable 
room, to the bright and spacious bar and dining area where the staff were 
amazing, the whole experience showed us what Travelodge now aspire to. 
Seriously impressed! Parking was pricy (but it is "on airport"), but this 
was counterbalanced by the excellent value of the hotel itself.Read 
moreReview collected in partnership with TravelodgeDate of stay: October 
2019HelpfulShare</t>
  </si>
  <si>
    <t>https://www.tripadvisor.co.uk/Hotel_Review-g191265-d229508-Reviews-or370-Travelodge_Gatwick_Airport_Central-Horley_Surrey_England.html#REVIEWS</t>
  </si>
  <si>
    <t>geoffk697 wrote a review Oct 2019Farnham, United Kingdom2 contributions1 
helpful vote</t>
  </si>
  <si>
    <t>BEWARE OF PARKING CHARGESAccommodation excellent but £16 parking for an overnight stay is 
extortionate all other aspects of visit top notch the cleanliness of room 
the facilities and choice of breakfast lived up to the advertisementsRead 
moreReview collected in partnership with TravelodgeDate of stay: October 
2019HelpfulShare</t>
  </si>
  <si>
    <t>E1364FTdonnam wrote a review Oct 2019Inverness, United Kingdom1 contribution</t>
  </si>
  <si>
    <t>Between flights stopoverQuick check-in with friendly staff. Lovely spacious room. Very clean and 
quiet. Bed very comfortable so had an excellent night's sleep. Great 
shower! Good selection of beverages. Great value for money.Read moreReview 
collected in partnership with this hotelDate of stay: October 
2019HelpfulShare</t>
  </si>
  <si>
    <t>pitcher56 wrote a review Oct 2019Belfast, United Kingdom44 contributions27 
helpful votes</t>
  </si>
  <si>
    <t>ComfortableRoom was clean and tidy the bed was very comfortable and same for the 
pillows, all in all a good hotel right next to Gatwick with a shuttle 
service every 15 mins, bus price £4, would recommend to anyoneRead 
moreReview collected in partnership with TravelodgeDate of stay: October 
2019HelpfulShare</t>
  </si>
  <si>
    <t>https://www.tripadvisor.co.uk/Hotel_Review-g191265-d229508-Reviews-or375-Travelodge_Gatwick_Airport_Central-Horley_Surrey_England.html#REVIEWS</t>
  </si>
  <si>
    <t>Leannekirsty wrote a review Oct 20197 contributions10 helpful votes</t>
  </si>
  <si>
    <t>https://www.tripadvisor.co.uk/Hotel_Review-g186338-d1812157-Reviews-or690</t>
  </si>
  <si>
    <t>SmellyEventually got an accessible room after looking for the 1st one we were 
given. It was supposed to be on the 1st floor but wasn't you had to go down 
stairs which there is no signs stating so. We are both disabled pensioners 
and managed to get another room on the ground floor, it was stinking a bit 
like dirty sweaty feet and the toilet had a strong smell of urine. The food 
was gross and left uneaten, hubby had a pint of lager which was flat and 
when asked for it to be changed another flat one was poured. Disgusting. We 
use here a lot and they are not usually this bad. I had also booked for 5th 
Nov but because thomas cook went bust we do not need the room and upon 
phoning for my money back was told to book another holiday???. So we have 
lost money that we can ill afford cheers…Read moreDate of stay: September 
2019HelpfulShareResponse from TravelodgeUK, James from the Social Media 
Team at Travelodge Gatwick Airport CentralResponded 17 Oct 2019Thank you 
for reviewing our Travelodge Gatwick AIrport Central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</si>
  <si>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AshB1207 wrote a review Oct 2019Hong Kong, China23 contributions3 helpful 
votes</t>
  </si>
  <si>
    <t>Convenient stay before flightThe rooms are immaculate and modern. Reception staff are amazing and 
helpful. The only downside was other people coming in all hours of the 
night and slamming doors. Breakfast was a very good buffet. Tea coffee etc 
in the rooms plus just along the foyer there is a place to top up your 
supply and ice cold water is there too. Nice bar and lounge room. There is 
a shuttle bus to the airport £4 per person or you can order a taxi to the 
airport from reception for £6 to north terminal.Read moreDate of stay: 
August 2019HelpfulShare</t>
  </si>
  <si>
    <t>Christine C wrote a review Oct 2019Ilkeston derbys11 contributions4 helpful 
votes</t>
  </si>
  <si>
    <t>Great place to start your holidayThe hotel is very clean, the staff are so friendly and very helpful. The 
food is good with a good selection even for dietary requirements I’m gluten 
free and had a selection. Would definitely stay there next time I travel 
from Gatwick.Read moreDate of stay: October 2019HelpfulShare</t>
  </si>
  <si>
    <t>https://www.tripadvisor.co.uk/Hotel_Review-g191265-d229508-Reviews-or380-Travelodge_Gatwick_Airport_Central-Horley_Surrey_England.html#REVIEWS</t>
  </si>
  <si>
    <t>vezb wrote a review Oct 20191 contribution</t>
  </si>
  <si>
    <t>AverageThe bed was comfortable for a few hours’ sleep before a flight but wasn’t 
that impressed with the room- the spare pillows were dirty and unusable, 
the bathroom light didn’t work and the shower curtain was too short so the 
bathroom flooded when taking a shower.Read moreDate of stay: October 
2019HelpfulShareResponse from TravelodgeUK, Zack from The Social Media Team 
at Travelodge Gatwick Airport CentralResponded 16 Oct 2019Thank you for 
submitting your helpful review of our Gatwick Airport Central Travelodge 
and taking the time to share your experience with us. We are pleased to 
hear that you found our bed to be comfortable, however we are so sorry to 
hear of your disappointment with the spare pillows and the bathroom. Please 
rest assured the hotel managers check Tripadvisor reviews of their hotels 
so your comments will be reviewed by the hotel's team. Thank you again for 
leaving this review and we do hope that you choose to stay with us again in 
the future.Read more</t>
  </si>
  <si>
    <t>Alan B wrote a review Oct 2019Stoke-on-Trent, United Kingdom13 
contributions19 helpful votes</t>
  </si>
  <si>
    <t>Great stay before flightVery good place to stay before an early flight. Nice big room clean and 
well presented. Good nights sleep and only 50 metres from our long stay car 
park. Nothing fancy but good value for money hotel. Will stay next time we 
fly from Gatwick.Read moreDate of stay: September 2019HelpfulShare</t>
  </si>
  <si>
    <t>pm590 wrote a review Oct 2019Motherwell, United Kingdom133 contributions48 
helpful votes</t>
  </si>
  <si>
    <t>Great for a stopoverSecond year staying at this hotel before my early flight out. Rooms clean 
and comfortable, plenty supply of tea and coffee. Didn't try the restaurant 
as the menu is quite limited. Handy for airport so would definitely use 
again. Good value for money.Read moreDate of stay: September 
2019HelpfulShare</t>
  </si>
  <si>
    <t>https://www.tripadvisor.co.uk/Hotel_Review-g191265-d229508-Reviews-or385-Travelodge_Gatwick_Airport_Central-Horley_Surrey_England.html#REVIEWS</t>
  </si>
  <si>
    <t>cazanne48 wrote a review Oct 2019239 contributions75 helpful votes</t>
  </si>
  <si>
    <t>ComfortableStayed 1 night before travel. Caught the shuttle both ways from Gatwick for 
a small charge. Automated check in if you would like to, very simple. 
Reception staff were very friendly and helpful. Room good size and clean. 
Very comfortable bed. All you need for a night before you travel. You do 
have to pay for WiFi except for a short initial free period but not a 
problem for an odd night I suppose. Huge tesco superstore within a 15 
minute walk if you forget anything. Would stay againRead moreDate of stay: 
September 2019HelpfulShare</t>
  </si>
  <si>
    <t>Janet E wrote a review Oct 2019London, United Kingdom28 contributions19 
helpful votes</t>
  </si>
  <si>
    <t>A good way to start my holidayHad an early flight so decided it was cheaper to stay than cab in to the 
airport. So glad we did everything was easy, clean, comfy and at a very 
very good room rate. We slept well considering we were by the airport. Room 
and bed were comfortable and very clean. The hotel was quiet. The staff 
were very friendly and the Resturant good value. The shuttle bus was prompt 
and good value tooRead moreReview collected in partnership with 
TravelodgeDate of stay: October 2019HelpfulShare</t>
  </si>
  <si>
    <t>Lizzie_ellen wrote a review Oct 2019Fareham, United Kingdom20 
contributions3 helpful votes</t>
  </si>
  <si>
    <t>Comfortable stay before an early flightMy friend and I stayed at Travelodge Central before a 7am flight to Nice. 
Coming off the Gatwick Express, it was difficult to navigate to find the 
bus (stop 9), but we found it in the end. One thing to remember is that the 
cost of the bus costs £4 each way. The bus ride was quick and Travelodge 
was either the first or second hotel which was good. The check-in process 
was easy and the hotel staff were happy to give information on when to get 
the bus in the morning. The room was incredibly spacious with a large 
double bed and a pull out bed - which actually was comfortable! The room 
was really clean and looked like it had been modernised recently. There was 
a kettle in the room which meant even though we woke up at 4am, I could 
still have a cuppa! There is a restaurant, but…Read moreDate of stay: 
September 2019HelpfulShare</t>
  </si>
  <si>
    <t>Allan H wrote a review Oct 2019Mijas, Spain6 contributions</t>
  </si>
  <si>
    <t>Want to pay big bucks to park ?The hotel is adequate in all respects except for the parking charges. They 
have increased 100% since my last stay, around 12 months ago. They are £16 
for 24 hours. As patrons rarely stay during the day, it proves to be very 
expensive. When I questioned these charges, I was told that an 'outside 
company' control the car park. It seemed strange to me that although I 
could get a supposed a Travelodge Customer Discount - DOWN to £ 16 - there 
was nothing in my ticket input to show who I was &amp; what &amp; where in fact I 
was staying. I was told that the 'Outside Company ' have access to the 
hotel's bookings &amp; could identify the person's car that was parked. Utter 
nonsense.. I recommend that anyone considering staying here, first consider 
the extra costs of their stay &amp; THEN check other…Read moreReview collected 
in partnership with TravelodgeDate of stay: October 2019HelpfulShare</t>
  </si>
  <si>
    <t>https://www.tripadvisor.co.uk/Hotel_Review-g191265-d229508-Reviews-or390-Travelodge_Gatwick_Airport_Central-Horley_Surrey_England.html#REVIEWS</t>
  </si>
  <si>
    <t>Ruth B wrote a review Oct 2019Arundel, United Kingdom48 contributions23 
helpful votes</t>
  </si>
  <si>
    <t>One nightWhen I travel I always stay at travelodge Gatwick staff always nice place 
is clean beds are great food is really nice. Rooms are normally warm if 
there is problem it's sorted straight away. It's convenient to the airport 
on few mins away on bus. Which stops right outside never had a problemRead 
moreReview collected in partnership with this hotelDate of stay: October 
2019HelpfulShare</t>
  </si>
  <si>
    <t>trainguard wrote a review Oct 2019Winterbourne Dauntsey, United Kingdom23 
contributions4 helpful votes</t>
  </si>
  <si>
    <t>Gatwick travelodgestayed here both before and after our flight found the hotel room quite and 
spacious .friendly and helpful staff food was really good and excellent 
value for money will definitely stay here again stayed in September and 
OctoberRead moreReview collected in partnership with this hotelDate of 
stay: October 20191 Helpful voteHelpfulShare</t>
  </si>
  <si>
    <t>Lady T wrote a review Oct 2019Rosslare, Ireland11 contributions5 helpful 
votes</t>
  </si>
  <si>
    <t>COMFORTABLE STAY FOR A REASONABLE PRICEFast, no fuss check-in....spotless clean rooms....very quiet, but some 
aircraft noise can be heard early morning...(not enough to disturb sleep 
though)....didn't have breakfast or dinner, but both looked very busy as I 
passed by restaurant.....forgot hairdryer and asked at reception and was 
provided with one straight away...courtesy bus stops right outside the 
door, very efficient although 4 pounds per person each way a little 
steep....cab to airport was cheaper around 6 pounds ...personal 
choice.....there is a bus stop 5 mins walk from Hotel that will take you to 
Crawley town if you were stopping for a couple of nights and didn't have 
your own transport...alternatively you could get the airport bus and catch 
a coach or train from airport terminal...All in all a very comfortable…Read 
moreReview collected in partnership with this hotelDate of stay: October 
2019HelpfulShare</t>
  </si>
  <si>
    <t>https://www.tripadvisor.co.uk/Hotel_Review-g191265-d229508-Reviews-or395-Travelodge_Gatwick_Airport_Central-Horley_Surrey_England.html#REVIEWS</t>
  </si>
  <si>
    <t>joanne c wrote a review Oct 20197 contributions4 helpful votes</t>
  </si>
  <si>
    <t>Great stayVery reasonable price, clean comfortable rooms. Everything you need for 
your stay. Lovely bar and restaurant area and value for money. Friendly, 
helpful staff on reception area. Will definitely be using travelodge 
again.Read moreReview collected in partnership with this hotelDate of stay: 
October 2019HelpfulShare</t>
  </si>
  <si>
    <t>Bizzibee70 wrote a review Oct 2019Surrey, United Kingdom8 contributions</t>
  </si>
  <si>
    <t>Convenient for AirportWe arrived around midnight and the staff were cheerful and very helpful. 
One of us had mobility problems and desk clerk assisted to room. The 
bedroom was warm and bed linen was clean and comfortable. The pillows just 
right for a good night's sleep after a long flight home.Read moreReview 
collected in partnership with TravelodgeDate of stay: October 
2019HelpfulShare</t>
  </si>
  <si>
    <t>nanaimo_bar wrote a review Oct 2019vancouver39 contributions</t>
  </si>
  <si>
    <t>Excellent valueLovely modern room which was clean and comfortable. Kettle in room along 
with coffee and tea. Efficient check in. Very close to Gatwick Airport. The 
shuttle is 4 GBP each where a taxi is only 6 GBP total.Read moreReview 
collected in partnership with TravelodgeDate of stay: October 
2019HelpfulShare</t>
  </si>
  <si>
    <t>https://www.tripadvisor.co.uk/Hotel_Review-g191265-d229508-Reviews-or400-Travelodge_Gatwick_Airport_Central-Horley_Surrey_England.html#REVIEWS</t>
  </si>
  <si>
    <t>LB0505 wrote a review Oct 2019Surrey, United Kingdom117 contributions28 
helpful votes</t>
  </si>
  <si>
    <t>Good overnight stayI stayed at this hotel for the first time back in June before a 7am flight 
the following day. Check in was smooth and my room was big and spacious and 
very clean. I visited the bar which had a lovely atmosphere and was 
decorated with a clean, modern feel. I only had a couple of drinks and 
didn’t eat, so cannot comment on the food. I had a peaceful nights sleep 
and woke up early to use the shuttle bus which stops right outside the 
hotel. The busses are frequent and you can obtain a timetable from 
reception. They are very punctual and stop at a few hotels along the way, 
going to either the north or south terminal. All in all a good stay at this 
hotel, with good online prices and I would definitely stay again.Read 
moreDate of stay: June 2019HelpfulShare</t>
  </si>
  <si>
    <t>skyhorsham wrote a review Oct 2019Brighton, United Kingdom1 contribution1 
helpful vote</t>
  </si>
  <si>
    <t>Ridiculous amount of noiseI would have been better off sleeping on a seat at the airport. There was 
loud screaming and running in the corridor as well as audible conversation 
from rooms around and a TV in another room left on all nightRead moreReview 
collected in partnership with TravelodgeDate of stay: October 20191 Helpful 
voteHelpfulShareResponse from TravelodgeUK, Shaf from the Social Media 
Team. at Travelodge Gatwick Airport CentralResponded 9 Oct 2019Thank you 
for reviewing our Gatwick Airport Central Travelodge. We are sorry to hear 
that you were disrupted by noise levels during your stay. We do have staff 
patrolling the corridors every 2 – 3 hours, and if other customers are 
making noise that may cause disruption to our guest’s, we have procedures 
in place to intervene with this. However we apologise if we were 
unsuccessful in ensuring you a peaceful stay on this occasion. Feedback is 
invaluable and our Hotel Managers regularly review their TripAdvisor 
reviews in order to fix any issues raised and pass on feedback to their 
team. Thank you once again and we do hope you will stay with us in the 
future.Read more</t>
  </si>
  <si>
    <t>Smile D wrote a review Oct 201935 contributions20 helpful votes</t>
  </si>
  <si>
    <t>Very HandyIf your looking for a place to stay near Gatwick airport this place is very 
convenient. There is a shuttle bus that goes round the neighboring hotels 
and takes you to both north Terminal and south terminal. The buses run 
quite frequently and there is a timetable in reception to guide you. The 
dining area is very large and they offer the typical Travelodge menu. The 
staff are very helpful and the rooms are very comfortable.Read moreDate of 
stay: October 2019HelpfulShare</t>
  </si>
  <si>
    <t>https://www.tripadvisor.co.uk/Hotel_Review-g191265-d229508-Reviews-or405-Travelodge_Gatwick_Airport_Central-Horley_Surrey_England.html#REVIEWS</t>
  </si>
  <si>
    <t>SammyTM wrote a review Oct 2019Coleford, United Kingdom109 contributions23 
helpful votes</t>
  </si>
  <si>
    <t>Stop over before flightBooked this travelodge for our morning flight to Santorini. Was very clean 
and spacious as we ordered a room big enough for free with breakfast 
included. Sleep was comfortable and the breakfast had plenty to choose from 
whether it be cereal or cooked Price was good also and convenient enough to 
get to and from Gatwick airport with the choice of pick up from outside the 
hotel or catching the bus just by the roadRead moreDate of stay: September 
20191 Helpful voteHelpfulShare</t>
  </si>
  <si>
    <t>Paul G wrote a review Oct 20191 contribution</t>
  </si>
  <si>
    <t>One night stay.Had a very pleasant stay, But was particularly very impressed with Vinith 
and Lora from the bar,couldn't have been more helpful,they are a credit to 
the hotel. Would visit again just to have a good laugh with then. Thank you 
so much Vinith and Lora.Read moreDate of stay: October 2019HelpfulShare</t>
  </si>
  <si>
    <t>https://www.tripadvisor.co.uk/Hotel_Review-g186338-d1812157-Reviews-or695</t>
  </si>
  <si>
    <t>Victoria F wrote a review Oct 2019Worcester, United Kingdom1 contribution</t>
  </si>
  <si>
    <t>Woken in the middle of the night; dreadful food.Just an overnight before flying, we are a couple with an adult son; two 
rooms same floor. We were all woken at 3 a.m. by a group of other guests 
shouting greetings and cackling with laughter. Dinner the evening previous 
was almost uneatable. Simply awful. It was late and we were tired or I 
would have complained. And it wasn't cheap!Read moreDate of stay: October 
2019HelpfulShareResponse from TravelodgeUK, James from the Social Media 
Team at Travelodge Gatwick Airport CentralResponded 8 Oct 2019Thank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</si>
  <si>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Lui wrote a review Oct 20191 contribution</t>
  </si>
  <si>
    <t>Mr l VolpeHave stayed here on and off this year over 7 months. Rooms are very nice 
always clean. Staff are very friendly and always helpful. Rachel who works 
behind the bar is always very helpful and efficient as are all the bar 
staff and staff at reception. Very good value for moneyRead moreDate of 
stay: October 2019HelpfulShare</t>
  </si>
  <si>
    <t>https://www.tripadvisor.co.uk/Hotel_Review-g191265-d229508-Reviews-or410-Travelodge_Gatwick_Airport_Central-Horley_Surrey_England.html#REVIEWS</t>
  </si>
  <si>
    <t>princess1967Wales wrote a review Oct 2019wales3 contributions3 helpful votes</t>
  </si>
  <si>
    <t>Good stay for the airport !!!Good location , lovely food , very clean hotel , comfy beds and staff were 
friendly and helpful , would definitely stay again if going to the airport 
, great value for money , but do need to sort the noisy air conditioning 
outRead moreReview collected in partnership with TravelodgeDate of stay: 
October 2019HelpfulShare</t>
  </si>
  <si>
    <t>Julian G wrote a review Oct 2019Farnborough, United Kingdom57 
contributions125 helpful votes</t>
  </si>
  <si>
    <t>Good Airport HotelWe stayed overnight here prior to a Gatwick flight the following day. The 
hotel has had an expensive makeover in recent times and is bright and 
modern. The reception area is spacious and although it was busy check in 
was very quick efficient and friendly We'd paid a bit extra for one of 
their new Super Rooms situated on the top floor. The room was massive with 
a few little extras and a nice walk in shower. The bed was comfy and we got 
a good night's sleep. The outside corridor was carpeted so no suitcase 
noise from people leaving early in the morning! There is a large Cafe/Bar 
with lounge area and you can take your meals in the lounge or in the 
restaurant. This is also very modern in design with plenty of space and 
lots of tables. Prices for meals and drinks are reasonable and…Read 
moreReview collected in partnership with this hotelDate of stay: September 
2019HelpfulShare</t>
  </si>
  <si>
    <t>davethespread1 wrote a review Oct 20191 contribution</t>
  </si>
  <si>
    <t>Welcome restWe had flown back to the uk with Thomas cook we had a delayed take off and 
when we arrived at Gatwick being that they went under we were held on the 
plane for forty minutes before a bus came to ferry us to the south 
terminal. So a comfortable bed was the order of the day.Read moreReview 
collected in partnership with this hotelDate of stay: September 
2019HelpfulShare</t>
  </si>
  <si>
    <t>Destination823236 wrote a review Oct 20191 contribution</t>
  </si>
  <si>
    <t>Good place for overnight before flightsWe booked this 2 days before flying so got a good price- bus from airport 
to hotel easy to find and used it on return- stopped right outside. Hotel 
has bar and restaurant which we didn’t use but prices were good. Room was 
huge with very comfortable bed. Copious amounts of hot water- highly 
recommendRead moreReview collected in partnership with this hotelDate of 
stay: September 2019HelpfulShare</t>
  </si>
  <si>
    <t>fishstorm wrote a review Oct 2019Lowestoft, United Kingdom232 
contributions149 helpful votes</t>
  </si>
  <si>
    <t>Not good, very poor food.Stayed before and not enjoyed it but it advertises itself as having had a 
million pound makeover. Well maybe but it’s still not good, service from 
the staff very poor, the advertised wonderbed left me very underwhelmed. 
Only used the restaurant because the weather was awful, bad decision, do 
not eat here, they charge ridiculous 5 star prices for incredibly poor food 
and the service in the restaurant was hideous!Read moreDate of stay: 
September 2019HelpfulShareResponse from TravelodgeUK, Ben from the Social 
Media Team at Travelodge Gatwick Airport CentralResponded 7 Oct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</si>
  <si>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https://www.tripadvisor.co.uk/Hotel_Review-g191265-d229508-Reviews-or415-Travelodge_Gatwick_Airport_Central-Horley_Surrey_England.html#REVIEWS</t>
  </si>
  <si>
    <t>Cat M wrote a review Oct 20191 contribution</t>
  </si>
  <si>
    <t>AdequateThe room smelt nastily stale, you could hear everything from other rooms, 
apart from that it was fine for a night before catching an early flight. 
The reception staff were lovely, trying to be as helpful as they could be, 
and turning a blind eye to some fairly dubious guests. Quite a surreal 
experience.Read moreDate of stay: September 2019HelpfulShareResponse from 
TravelodgeUK, Ben from the Social Media Team at Travelodge Gatwick Airport 
CentralResponded 7 Oct 2019Thank you for taking the time to write a review 
about our Gatwick Airport Central hotel. We're pleased to hear that you 
found the hotel team to be helpful however we are sorry to learn of your 
disappointment with the room smell and that you were disturbed by noise 
from other guests. If customers are causing noise that may disrupt other 
guests our hotel teams will ensure that they politely ask them to lower the 
noise levels. We appreciate all the feedback we receive and our Hotel 
Managers regularly review their TripAdvisor reviews in order to fix any 
issues raised and pass on feedback to their team. Thank you once again and 
we do hope you will stay with us in the future.Read more</t>
  </si>
  <si>
    <t>Jude K wrote a review Oct 2019London, United Kingdom1 contribution</t>
  </si>
  <si>
    <t>Relax before you flyTake the hassle out of early morning alarm calls and travelling by 
transport to the airport. Stay at Travelodge and get an extra night of 
sleep and relaxation before you board the plane. The staff at reception are 
willing and helpful and the smallest of details are dealt with in a 
friendly professional manner.Read moreReview collected in partnership with 
TravelodgeDate of stay: September 2019HelpfulShare</t>
  </si>
  <si>
    <t>percivaljohn wrote a review Oct 20191 contribution</t>
  </si>
  <si>
    <t>excellent stayComfortable stay - lovely rooms and helpful staff. Bar and restaurant were 
good . You can also order take aways to eat in your room - we ordered a 
delicious curry - borrowed cutlery etc. Great location for the airport - be 
aware that airport transfers are not free - £4.00 per person per transfer - 
I think you can book a taxi from the hotel for a cheaper transfer. Would 
not hesitate to stay here again.Read moreReview collected in partnership 
with TravelodgeDate of stay: September 2019HelpfulShare</t>
  </si>
  <si>
    <t>https://www.tripadvisor.co.uk/Hotel_Review-g191265-d229508-Reviews-or420-Travelodge_Gatwick_Airport_Central-Horley_Surrey_England.html#REVIEWS</t>
  </si>
  <si>
    <t>Andrew1968190788 wrote a review Oct 2019Poznan, Poland81 contributions95 
helpful votes</t>
  </si>
  <si>
    <t>GATWICK AIRPORT TRAVEL LODGEReasonably priced budget hotel,which met our requirements!-The room was 
comfortable,the bed was lovely and soft ,added in a large extensive bar 
area!!--The shuttle bus to the hotel we found poor sadly,costing 4 pounds 
each for a very short journey plus took over 25 mins to arrive:(-We tried 
the evening meal option which we found woeful,esp as paid 11 pounds for 
steak and ale pie( served with SMASH ,and dried peas and gravy,neither 
tasty or good value:(-Lovely bar area though and a great place to relax 
before/after a holiday,just recommend avoiding the evening meal ,instead 
having the early morning breakfast buffet(which is much better in standard 
and price)Read moreReview collected in partnership with TravelodgeDate of 
stay: October 2019HelpfulShareResponse from TravelodgeUK, James from the 
Social Media Team at Travelodge Gatwick Airport CentralResponded 6 Oct 
2019Thank you for reviewing our Travelodge Gatwick Airport Central Hotel. 
We're happy to hear you were pleased with the value of the hotel during 
this stay with us as well as with the comfort of your rooms facilities but 
we are very sorry to hear you weren't pleased with the shuttle bus as well 
as with the service in our bar/cafe. Please rest assured the hotel managers 
check Tripadvisor reviews of their hotels so your comments will be reviewed 
by the hotel's team. Thank you again for leaving this review and we do hope 
that you choose to stay with us again in the future.Read more</t>
  </si>
  <si>
    <t>peckwhiston wrote a review Oct 20195 contributions</t>
  </si>
  <si>
    <t>SewageFelt like a hostel not a hotel. Not clean. Room smelt of sewage. Shower and 
bathroom was beyond awful with hair blocking the shower, had to clean it 
myself so shower didn’t overflow. Food in bar was tasteless and expensive. 
No vegetarian option apart from a pizza?? Will not be staying in a 
Travelodge again.Read moreReview collected in partnership with 
TravelodgeDate of stay: October 2019HelpfulShareResponse from TravelodgeUK, 
Ben from the Social Media Team at Travelodge Gatwick Airport 
CentralResponded 6 Oct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</si>
  <si>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Getaway28374095698 wrote a review Oct 20192 contributions</t>
  </si>
  <si>
    <t>Travelodge Gatwick CentralExcellent stay - very convenient for Gatwick and lovely friendly staff. The 
Cafe is reasonably priced. I would highly recommended. The room was 
pleasant and I felt very safe as I was travelling alone.Read moreReview 
collected in partnership with this hotelDate of stay: September 
2019HelpfulShare</t>
  </si>
  <si>
    <t>https://www.tripadvisor.co.uk/Hotel_Review-g191265-d229508-Reviews-or425-Travelodge_Gatwick_Airport_Central-Horley_Surrey_England.html#REVIEWS</t>
  </si>
  <si>
    <t>856Michael wrote a review Oct 2019Greenock, United Kingdom5 contributions</t>
  </si>
  <si>
    <t>1 night stayI liked the great big comfortable and modern room with everything provided 
which was good for a short stay found it very good value for money though 
just an overnight airport stay I would do this again at this hotelRead 
moreReview collected in partnership with TravelodgeDate of stay: September 
2019HelpfulShare</t>
  </si>
  <si>
    <t>peteB9075LY wrote a review Oct 20191 contribution</t>
  </si>
  <si>
    <t>Great but hard to get to on foot.The Travelodge is the other side of a car park behind the old Premier Inn. 
It's close to North Terminal and if there was a path to the hotel it would 
be very easy to walk to. The only way to get there on foot however is along 
the dual carriageway which is pretty terrifying. I know there's a bus (4 
quid each way) but in the interests of lowering carbon footprints a path 
from just behind that car park is a no brainer.Read moreReview collected in 
partnership with TravelodgeDate of stay: October 2019HelpfulShare</t>
  </si>
  <si>
    <t>JenniefromtheRock wrote a review Oct 20193 contributions1 helpful vote</t>
  </si>
  <si>
    <t>Good value airport hotelStayed here for a grand total of 5 hours overnight between flights. The 
room was adequately clean and spacious, with well stocked tea and coffee 
facilities and a comfortable bed (which I'd have liked to spend more time 
in). The only downside was there was no hairdryer in the room. It does 
state this on the booking confirmation email. Of course, I didn't bother to 
read that, and wasted the time it would have taken me to get one from 
Reception on searching obscure areas of the room hoping one would turn up 
inside the spare pillow or under the bed. Not the end of the world, but a 
little touch that would have gone a long way for a tired traveller with a 
limited time frame, in desperate need of a 4am cold shower wake-up. 
Excellent value for money and in walking distance of the…Read moreDate of 
stay: September 2019HelpfulShare</t>
  </si>
  <si>
    <t>S3788XCsimon wrote a review Oct 2019Stockbridge, Massachusetts1 contribution</t>
  </si>
  <si>
    <t>easy walk to north terminalthere is a footpath from one corner of the car park crossing the river 
which means you can walk to north terminal in about 15 minutes...no need 
for a taxi or bus...no need to spend more money on hotels within the 
perimeter.Read moreReview collected in partnership with TravelodgeDate of 
stay: September 2019HelpfulShare</t>
  </si>
  <si>
    <t>regularcustomer571 wrote a review Oct 2019Crawley, United Kingdom2 
contributions</t>
  </si>
  <si>
    <t>Dirty, smelly and noisyThere were dirty brown stains on the wall above the toilet and shower. The 
shower drain was clogged up by someone else’s hair so the water didn’t 
drain properly and the smell from the sink drain was unbearable. These 
drains are being closed by housekeeping but as soon as you forget closing 
them after usage the smell fills up the entire room. In addition, the 
Travelodge supplies “make up my room please” door signs. Even though I’ve 
kept it on the door from 7AM into the evening nobody came by...Read 
moreReview collected in partnership with TravelodgeDate of stay: September 
2019HelpfulShareResponse from TravelodgeUK, Tilly from The Social Media 
Team at Travelodge Gatwick Airport CentralResponded 4 Oct 2019Thank you for 
submitting your review of our Gatwick Airport Central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</si>
  <si>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https://www.tripadvisor.co.uk/Hotel_Review-g191265-d229508-Reviews-or430-Travelodge_Gatwick_Airport_Central-Horley_Surrey_England.html#REVIEWS</t>
  </si>
  <si>
    <t>Paul8920 wrote a review Oct 2019Cadiz, Spain1 contribution</t>
  </si>
  <si>
    <t>Great value for moneyGreat rooms, comfortable and tidy - great value for money. The only down 
fall was parking, although everything else was great the parking for the 
night £16 is excessive. This is the reason for 4 star marking. Apart from 
this I would recommend to all.Read moreReview collected in partnership with 
TravelodgeDate of stay: September 2019HelpfulShare</t>
  </si>
  <si>
    <t>https://www.tripadvisor.co.uk/Hotel_Review-g186338-d1812157-Reviews-or700</t>
  </si>
  <si>
    <t>levibe02 wrote a review Oct 20191 contribution</t>
  </si>
  <si>
    <t>Best value for money, and a stones throw from Gatwick airport..Needed somewhere to stay the day before I flew out. Most of the hotels near 
to the airport were too expensive. This hotel turned out to have the best 
of everything, reasonably priced clean and comfortable. Definitely 
recommend.Read moreReview collected in partnership with TravelodgeDate of 
stay: September 2019HelpfulShare</t>
  </si>
  <si>
    <t>Carol B wrote a review Oct 2019Devon, United Kingdom4 contributions1 
helpful vote</t>
  </si>
  <si>
    <t>Brilliant room and servicesRight next to gatwick airport, Very clean, fresh room with tea/coffee 
making facilities. Had a meal in the evening from the menu that was tasty 
good portion size and quick service. Would highy reccomend for an overight 
stay before catching that early mornnig flight. Little tip book wel in 
advance to get the best deals.Read moreReview collected in partnership with 
TravelodgeDate of stay: September 2019HelpfulShare</t>
  </si>
  <si>
    <t>MariceNZ wrote a review Oct 2019Wanganui114 contributions28 helpful votes</t>
  </si>
  <si>
    <t>Comfortable and stress freeWe enjoyed our stay at the Travelodge Gatwick Airport Central. We had a 
very long trip down from Scotland so it was nice to arrive to facilities 
that were easy to use and very clean. Staff were very friendly. Parking is 
a little on the expensive side but was easy to sort out. We used the 
restaurant facilities and the food was good, though a little slow. Overall 
a pleasant stay...so much so we already have our next stay booked.Read 
moreReview collected in partnership with this hotelDate of stay: September 
2019HelpfulShare</t>
  </si>
  <si>
    <t>NAHanna2014 wrote a review Oct 2019London, United Kingdom83 contributions26 
helpful votes</t>
  </si>
  <si>
    <t>Poor night's sleepYou are paying for the location here. The room was cheap in price but not 
worth it for the total lack of sound proofing in the rooms and extremely 
expensive car parking. Next time I will pay a little more for a more 
comfortable nights sleep.Read moreDate of stay: September 
2019HelpfulShareResponse from TravelodgeUK, Shaf from the Social Media 
Team. at Travelodge Gatwick Airport CentralResponded 3 Oct 2019Thank you 
for reviewing our Gatwick Airport Central Travelodge. We're really sorry to 
learn of your disappointment regarding your recent stay with us.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</si>
  <si>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https://www.tripadvisor.co.uk/Hotel_Review-g191265-d229508-Reviews-or435-Travelodge_Gatwick_Airport_Central-Horley_Surrey_England.html#REVIEWS</t>
  </si>
  <si>
    <t>Den H wrote a review Oct 2019Gosport16 contributions1 helpful vote</t>
  </si>
  <si>
    <t>Great value airport hotelI have stayed here before and always found it good value. Friendly staff at 
reception and when I informed them of a couple of minor points in my room 
(stains on the carpet) the receptionist came up to take photos and thanked 
me for letting them know. Apart from this the room was clean and well 
maintained. My initial food choices in the restaurant were unavailable due 
to supplier issues, but the Mexican burger was a good second choice. The 
special offer seemed good value. As I had only hand baggage, I arrived by 
local Metrobus Fastway 100 service which stops outside of the hotel. This 
is a lot cheaper than the dedicated airport shuttle (NSL) service which 
costs £ 4. Good value and serviceRead moreReview collected in partnership 
with this hotelDate of stay: September 2019HelpfulShare</t>
  </si>
  <si>
    <t>Vertigo wrote a review Sep 20193 contributions</t>
  </si>
  <si>
    <t>Travelodge GatwickAlways great value for money and so good if your flight is early. Can get a 
decent night's sleep and just jump on the shuttle bus to the terminal in 
the the morning..The breakfast is good too. Great start to the day.Read 
moreReview collected in partnership with this hotelDate of stay: September 
2019HelpfulShare</t>
  </si>
  <si>
    <t>dianabruce542 wrote a review Sep 2019Chippenham, United Kingdom3 
contributions</t>
  </si>
  <si>
    <t>NoiseSubstantial indoor noise from generator or similar, I was in room30 at the 
end of a ground floor corridor. It was on and off with very short intervals 
all night, a really bad night with early start 3.45 am next morning.Read 
moreReview collected in partnership with TravelodgeDate of stay: September 
2019HelpfulShareResponse from TravelodgeUK, Shaf from the Social Media 
Team. at Travelodge Gatwick Airport CentralResponded 1 Oct 2019Thank you 
for reviewing our Gatwick Airport Central Travelodge. We're really sorry to 
learn your stay was affected by the internal noise on this occasion. 
Feedback is invaluable and our Hotel Managers regularly review their 
TripAdvisor reviews in order to fix any issues raised and pass on feedback 
to their team. Thank you once again and we do hope you will stay with us in 
the future.Read more</t>
  </si>
  <si>
    <t>Kathryn K wrote a review Sep 2019Doncaster, United Kingdom2 contributions</t>
  </si>
  <si>
    <t>travel lodge gatwicknicely refurbished hotel , excellent value, no queuing at reception or in 
the restaurant. very comfortable and quiet is on 3 shuttle bus routes to 
the airport so can get there easily even in the middle of the nightRead 
moreReview collected in partnership with TravelodgeDate of stay: September 
2019HelpfulShare</t>
  </si>
  <si>
    <t>https://www.tripadvisor.co.uk/Hotel_Review-g191265-d229508-Reviews-or440-Travelodge_Gatwick_Airport_Central-Horley_Surrey_England.html#REVIEWS</t>
  </si>
  <si>
    <t>AandJ_adventures2016 wrote a review Sep 2019Wellingborough, United Kingdom4 
contributions</t>
  </si>
  <si>
    <t>Great stay before you flyGreat hotel for a one night stay before you fly. Staff friendly and 
helpful. Advised us the taxi was cheaper than the bus to get us to the 
airport. They gladly booked the taxi for us. Room clean and spacious. 
Breakfast good. Buffet breakfast. Only served scrambled egg. But you can 
eat all you want, sausage, bacon, beans, hash browns, mushrooms, toast, 
croissants, hot drinks. Would recommend. Have stayed here previously. Great 
location - convenient for the airport.Read moreReview collected in 
partnership with TravelodgeDate of stay: September 2019HelpfulShare</t>
  </si>
  <si>
    <t>onatrain wrote a review Sep 20197 contributions</t>
  </si>
  <si>
    <t>Get what you pay for - except for the £8 5 min bus journeyArrived very late at night, staff were quick and helpful, room is what you 
expect for what you pay considering location. However the most 
disappointing thing was the £16 return for 2 people for a 5 minute bus 
journey from the airport. Not strictly the hotels fault but is abit unfair 
when you already pay a decent amount to stay there overnight.Read moreDate 
of stay: September 2019HelpfulShare</t>
  </si>
  <si>
    <t>https://www.tripadvisor.co.uk/Hotel_Review-g191265-d229508-Reviews-or445-Travelodge_Gatwick_Airport_Central-Horley_Surrey_England.html#REVIEWS</t>
  </si>
  <si>
    <t>dazzle9 wrote a review Sep 2019Gloucestershire, United Kingdom132 
contributions48 helpful votes</t>
  </si>
  <si>
    <t>Pay cheap!The charge for the room was ok but with the parking at £16 it made it 
expensive and we may as well have stayed at a competitor with free parking. 
We only parked for about 7 hrs but got charged for 24! It’s useful for an 
early flight, but really noisy in corridors and our room smelt funny. They 
have that shelf with area to hang clothes on that I just banged my head on 
as it’s near the door and in my opinion a poor design. For £49 it was ok 
but it’s the parking issue charge that is the most annoying ( well noise in 
corridors at all hours was also not good) and next time I’ll really check 
others nearby for a deal as I hope not to return.Read moreDate of stay: 
September 2019HelpfulShareResponse from TravelodgeUK, Niki from The Social 
Media Team at Travelodge Gatwick Airport CentralResponded 30 Sep 2019Thank 
you for taking the time to review our hotel. We are sorry to learn of your 
disappointed with the parking charges.We can confirm that APCOA operates 
the car park on behalf of Travelodge so we do not have any control over 
these charges. We are sorry to learn that you room smelt unpleasant.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</si>
  <si>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magsbyrne wrote a review Sep 2019Waterford, Ireland94 contributions25 
helpful votes</t>
  </si>
  <si>
    <t>Great for early morning flightWe flew from Ireland on Monday &amp; we’re getting an early flight to Cuba on 
Tuesday. This hotel is about 5 minutes taxi from the South Terminal, £11. 
There is also a shuttle bus, £4 each. The food &amp; drink here were good, 
reasonably priced too. Our room was a Saver room, quiet large &amp; had 
everything we required. Despite being close to the airport it was quite in 
the room. Would highly recommendRead moreReview collected in partnership 
with this hotelDate of stay: September 2019HelpfulShare</t>
  </si>
  <si>
    <t>fi197317 wrote a review Sep 2019Leeds, United Kingdom4 contributions4 
helpful votes</t>
  </si>
  <si>
    <t>Excellent hotel, rooms clean and reception is always helpfulHotel staff are very pleasant, we had a meal there even though a little 
pricey the food was delicious , hot arrived quickly to our table. When I 
booked the hotel I booked 2 stays I'm disabled and I can't walk very fast 
so I always like to book and told them we would be late in checking in on 
both occasions and the rooms are clean. This hotel is a bus ride away from 
any terminal..Read moreReview collected in partnership with this hotelDate 
of stay: September 2019HelpfulShare</t>
  </si>
  <si>
    <t>Resort718924 wrote a review Sep 20191 contribution</t>
  </si>
  <si>
    <t>Good stay, but too expensive if you consider everythingParking, wifi and meals are all charges separately. The room was ok, but 
the pillows were a little uncomfortable and there was no shampoo or 
conditioner in the shower (there was "body and hair washer" but it was just 
like liquid soap).Read moreReview collected in partnership with 
TravelodgeDate of stay: September 2019HelpfulShare</t>
  </si>
  <si>
    <t>Verity wrote a review Sep 20195 contributions</t>
  </si>
  <si>
    <t>You get what you pay forConvenient for Gatwick airport. Overall it was okay, the beds were 
uncomfortable and the room was dusty. DO NOT recommend the taxi company 
they recommend (EVO) the driver took other people to Gatwick 5 minutes 
before our allocated time and claimed we were late and refused to come and 
collect us.Read moreReview collected in partnership with TravelodgeDate of 
stay: September 2019HelpfulShare</t>
  </si>
  <si>
    <t>https://www.tripadvisor.co.uk/Hotel_Review-g191265-d229508-Reviews-or450-Travelodge_Gatwick_Airport_Central-Horley_Surrey_England.html#REVIEWS</t>
  </si>
  <si>
    <t>Angel wrote a review Sep 2019Colchester, United Kingdom5 contributions5 
helpful votes</t>
  </si>
  <si>
    <t>GoodThis is my second time here it has had a refurbishment since which is very 
good compared to some of the older style travelodges It was a little 
difficult to find We walked into Horley for a evening meal 15 mins walk 
where there are lots of lovely restaurants We pre booked with the 
travelodge a taxi for 5am but were told after waiting for it to arrive that 
they had forgotten to book it NOT GREAT we then had to jump on the shuttle 
bus at £16 for the 4 of us for a 5 min trip This bus was more than half 
that price rice on our last visit Bedrooms nice with a updated bathroom 
just let down with bad reception staffRead moreDate of stay: September 
2019HelpfulShare</t>
  </si>
  <si>
    <t>Global777372 wrote a review Sep 201916 contributions2 helpful votes</t>
  </si>
  <si>
    <t>SO EASY TO GET TO AND FROMThis was my first time in staying in an airport hotel, and was i pleasantly 
surprised, It was so easy to get from the airport to the hotel and back 
again, a short ride on the bus £4 each way. The hotel reception was very 
welcoming, (there was a gentleman with walking difficulties who i helped of 
the bus, once inside the hotel the staff took over, i was very impressed) 
they dealt with everyone in a professional manner. I was on the 5th floor, 
the room was very clean and lots of space, TV coffee and tea making 
facilities were all there ready to use. The room and the 5th floor were 
very quiet, i had a great nights sleep. In the morning i went for 
breakfast, there was so much to choose from and all piping hot. Staying at 
this hotel i was so relaxed and after a good breakfast was…Read moreReview 
collected in partnership with TravelodgeDate of stay: September 
2019HelpfulShare</t>
  </si>
  <si>
    <t>ceeceeville wrote a review Sep 20191 contribution</t>
  </si>
  <si>
    <t>Travelodge Gatwick CentralI have stayed there before but the room i was in smelt of dogs and sweaty 
men; not good. I was cgarged £16.00 to park in the availabe carpark for les 
that a 12 hrs stay. Nowhere on the compamy website is this charge 
mentioned. Not Reasonable.Read moreReview collected in partnership with 
TravelodgeDate of stay: September 2019HelpfulShareResponse from 
TravelodgeUK, Zack from The Social Media Team at Travelodge Gatwick Airport 
CentralResponded 26 Sep 2019Thank you for taking the time to review our 
Gatwick Airport Central hotel. We are so sorry to hear that you were not 
happy with the smell of your room and for the charge for car parking in the 
available car park. We can confirm that it is shown on our website of the 
parking charge at £16 per 24 hours, however we are sorry if you were 
unaware of this. Please rest assured the hotel managers check Tripadvisor 
reviews of their hotels so your comments will be reviewed by the hotel's 
team. Thank you again for leaving this review and we do hope that you 
choose to stay with us again in the future.Read more</t>
  </si>
  <si>
    <t>881Jules wrote a review Sep 2019Kent22 contributions13 helpful votes</t>
  </si>
  <si>
    <t>https://www.tripadvisor.co.uk/Hotel_Review-g186338-d1812157-Reviews-or705</t>
  </si>
  <si>
    <t>Pre flight stayThe check in was good and quick and helpful and the room we stayed in on 
the 5th floor was large and comfortable.we went to the bar and no draught 
beers on tap so all small bottles beer £5+ however it was fixed later in 
the evening which too late.we had purchased the 2 course meal upfront what 
a mistake that was.my husband had chicken which was dry and I had a burger 
which was cold we left the food how can you get a easy meal so wrong the 
lady came and collected the plates and didn't even ask if was ok.the 
dessert never even turned up so I complained but nothing was done don't eat 
here !Read moreDate of stay: September 2019HelpfulShareResponse from 
TravelodgeUK, Zack from The Social Media Team at Travelodge Gatwick Airport 
CentralResponded 2 Oct 2019Many thanks for sharing your review at our 
Gatwick Airport Central Travelodge with us. Please accept our apologies for 
your recent experience in our bar cafe, however we are pleased to hear that 
you found your room to be large and comfortable and check in to be quick 
and easy. In such instances in our bar cafe, we would kindly suggest our 
guests make the hotel team aware. We understand that this was done however 
no resolution was offered, and we apologise for that. We understand on 
occasion this is not possible, please rest assured your feedback will be 
used to help us to avoid similar instances in the future. We thank you for 
your helpful comments and we do hope you stay with us again.Read more</t>
  </si>
  <si>
    <t>https://www.tripadvisor.co.uk/Hotel_Review-g191265-d229508-Reviews-or455-Travelodge_Gatwick_Airport_Central-Horley_Surrey_England.html#REVIEWS</t>
  </si>
  <si>
    <t>WendyMJ1 wrote a review Sep 20191 contribution</t>
  </si>
  <si>
    <t>Be wary of car parking costsThe hotel was comfortable and convenient for our early morning flight. 
However, to our surprise, we found on arrival that the cost of car parking 
during our holiday was twice what it had been advertised as when we had 
booked. The car park is run by another company and we were told that there 
was nothing that the Travelodge staff could do about it.Read moreReview 
collected in partnership with TravelodgeDate of stay: September 
2019HelpfulShareResponse from TravelodgeUK, Ben from the Social Media Team 
at Travelodge Gatwick Airport CentralResponded 26 Sep 2019Thank you for 
taking the time to write a review about our Gatwick Airport Central hotel. 
We're pleased to hear that you found the hotel to be comfortable and the 
location was convenient however we are sorry to learn of your 
disappointment with the cost of parking. We appreciate all the feedback we 
receive and our Hotel Managers regularly review their TripAdvisor reviews 
in order to fix any issues raised and pass on feedback to their team. Thank 
you once again and we do hope you will stay with us in the future.Read more</t>
  </si>
  <si>
    <t>Pam P wrote a review Sep 2019Ashford, England, United Kingdom41 
contributions10 helpful votes</t>
  </si>
  <si>
    <t>after holiday stay.arrived at 6am after a long flight found the hotel easy to get too with the 
hotel bus.priced at £4 hotel parking can be arranged too.Room was very 
modern nice comfortable bed tea and coffee kettle in room plenty of fluffy 
towels and liquid soap.only thing missing was hairdryer.would defiently 
stay here again.Read moreReview collected in partnership with 
TravelodgeDate of stay: September 2019HelpfulShare</t>
  </si>
  <si>
    <t>kirsty c wrote a review Sep 20193 contributions5 helpful votes</t>
  </si>
  <si>
    <t>Night before flying out to GreeceWe booked this place as the morning after we were flying to Greece. This 
place seemed like a sensible price to sleep at for one evening. First 
impressions, as soon as we walked in, the whole building smelt like Mc 
Donald's. Yuk! We decided to get some dinner here as it was quite late. We 
noticed that it was £14 (quite cheap) for two meals so we both had a main 
and a pudding. I decided to order the chicken (garlic and herb) with chips 
and coleslaw, and my partner ordered chicken burger with chips and onion 
rings as an extra. As soon as my partner came back from ordering at the 
bar, our food turned up within under 5 minuits...!!! My chicken was bland 
and dry and didn't taste great as well as the sauce tasted absolutely 
awful. Sadly my partner's burger was dry and bland. The…Read moreDate of 
stay: September 2019HelpfulShareResponse from TravelodgeUK, James from the 
Social Media Team at Travelodge Gatwick Airport CentralResponded 25 Sep 
2019Thank you for reviewing our Travelodge Gatwick Airport Central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</si>
  <si>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https://www.tripadvisor.co.uk/Hotel_Review-g191265-d229508-Reviews-or460-Travelodge_Gatwick_Airport_Central-Horley_Surrey_England.html#REVIEWS</t>
  </si>
  <si>
    <t>NikhilV88 wrote a review Sep 2019Luton, United Kingdom48 contributions13 
helpful votes</t>
  </si>
  <si>
    <t>Good for overnight airport stayWe stayed here as had an early morning flight from Gatwick. There is a 
shuttle bus that can take you to and from the airport (£4 each way from 
memory). The rooms were basic but pleasant enough and clean. My only issue 
was being in a room with no lift access, this meant carrying heavy 
suitcases upstairs with no help, not ideal.Read moreReview collected in 
partnership with TravelodgeDate of stay: September 2019HelpfulShare</t>
  </si>
  <si>
    <t>Travel402251 wrote a review Sep 20191 contribution</t>
  </si>
  <si>
    <t>Extremely PoorThe room felt very dirty with brown stains on the carpet &amp; the bathroom 
smelt like someone had just been to the lavatory in there. The bedding was 
clean &amp; the bed was ok but overall we couldn't wait to get out of 
there.Read moreReview collected in partnership with TravelodgeDate of stay: 
September 2019HelpfulShareResponse from TravelodgeUK, Shaf from the Social 
Media Team. at Travelodge Gatwick Airport CentralResponded 24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</si>
  <si>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niknee2019 wrote a review Sep 2019Auckland, New Zealand1 contribution</t>
  </si>
  <si>
    <t>Good airport accommodationStayed one night. Staff booked a taxi for us for 4.00am. It arrived on 
time. Staff member told us it was cheaper than the shuttle, and easier. 
Check out process super easy. Had a meal in hotel restaurant. It was not 
bad at all.Read moreReview collected in partnership with TravelodgeDate of 
stay: September 2019HelpfulShare</t>
  </si>
  <si>
    <t>https://www.tripadvisor.co.uk/Hotel_Review-g191265-d229508-Reviews-or465-Travelodge_Gatwick_Airport_Central-Horley_Surrey_England.html#REVIEWS</t>
  </si>
  <si>
    <t>Cube NightBar wrote a review Sep 2019Alderney, United Kingdom50 
contributions17 helpful votes</t>
  </si>
  <si>
    <t>DirtyWe arrived and came across a very dirty room, we went downstairs to notify 
staff and they were helpful with changing rooms, second room we moved in to 
was slightly better but still pretty dirty but ok, we gave up by this stage 
thinking all rooms would be the same. Only good side is the staff are very 
nice and helpful and the general manger was very nice with our little boy. 
Disappointed and won’t be using them again when we travel from Gatwick.Read 
moreDate of stay: September 2019HelpfulShareResponse from TravelodgeUK, Ben 
from the Social Media Team at Travelodge Gatwick Airport CentralResponded 
24 Sep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</si>
  <si>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samuel1954137 wrote a review Sep 2019Algorfa, Spain44 contributions33 
helpful votes</t>
  </si>
  <si>
    <t>Overnight Stay for our onward JourneyWe arrived at Travel Lodge at 3.15am very tired after long Journey .Got 
Reception Person on Desk who I believe to be Male named Jess showed him 
booking he said theres mistake its 3.00pm in Afternoon we were totally 
surprised and schocked we said have you got anywhere we can have Flat No 
was answer then Woman came out of back I asked her she also said flat No 
they made us feel we couldnt stay so we got back on shuttle Bus back to 
Airport sat there All Night around 9.45am decided we had enough went back 
to Hotel saw Lovley Lady on desk explained everything to her she was realy 
Helpfull said why did we go back to Airport we said because the other 
people made us feel we couldnt stay there till something was sorted out she 
said we could made ourselfs comfortable there in lounge till…Read moreDate 
of stay: September 2019HelpfulShareResponse from TravelodgeUK, Ben from the 
Social Media Team at Travelodge Gatwick Airport CentralResponded 24 Sep 
2019We appreciate the time you have taken to review our Gatwick Airport 
Central hotel. We're sorry to learn of the problem with your booking and 
your disappointment with the team on your first arrival at the hotel. It’s 
really important to us that our teams provide a fantastic service to our 
guests and remain professional at all times so we are sorry to learn that 
you feel this was not the case on this occasion. We appreciate all the 
feedback we receive and our Hotel Managers regularly review their 
TripAdvisor reviews in order to fix any issues raised and pass on feedback 
to their team. Thank you once again and we do hope you will stay with us in 
the future.Read more</t>
  </si>
  <si>
    <t>Andreas T wrote a review Sep 20192 contributions</t>
  </si>
  <si>
    <t>Beware of overbookingBeware of overbooking and the possibility you are left without a room 
eventhough you paid for it. The hotel is in good location only for a flight 
layover. No manager on duty on night shift. Decent rooms but hotel policy 
is a messRead moreReview collected in partnership with TravelodgeDate of 
stay: September 2019HelpfulShare</t>
  </si>
  <si>
    <t>Jackie S wrote a review Sep 2019Letchworth, United Kingdom59 
contributions18 helpful votes</t>
  </si>
  <si>
    <t>Handy for the airportThere is a fairly reliable bus from both terminals door to door. If you 
need a hairdryer in your room ask on check in as they are in limited 
supply. There was tea/coffee in the room and charger points by the bed.Read 
moreReview collected in partnership with TravelodgeDate of stay: September 
2019HelpfulShare</t>
  </si>
  <si>
    <t>Dave watson wrote a review Sep 2019Old Kilpatrick, United Kingdom1 
contribution1 helpful vote</t>
  </si>
  <si>
    <t>Over priced carpark!Stayed here at least a dozen times since January this yr from a few days 
till a wk at a time but wont be back increased carpark charge from £8 to 
£16 for 24hrs it's ridiculous think they need to rethink this because 
people like myself won't return!!!Read moreDate of stay: September 20191 
Helpful voteHelpfulShareResponse from TravelodgeUK, Ben from the Social 
Media Team at Travelodge Gatwick Airport CentralResponded 23 Sep 2019Thank 
you for taking the time to write a review about your stay at our Gatwick 
Airport Central hotel. We are sorry to learn of your disappointment with 
the price change for parking and we would like to apologise if you 
therefore felt the room was not the best value for money on this occasion. 
We appreciate the detailed comments in your review as they give us a 
complete understanding of your journey. We do aim to provide all of our 
guests a pleasant and comfortable stay and hope to have the opportunity in 
the future to welcome you again in one of our Hotels across the UK to 
restore your view of Travelodge.Read more</t>
  </si>
  <si>
    <t>https://www.tripadvisor.co.uk/Hotel_Review-g191265-d229508-Reviews-or470-Travelodge_Gatwick_Airport_Central-Horley_Surrey_England.html#REVIEWS</t>
  </si>
  <si>
    <t>alexgmalcolm wrote a review Sep 20191 contribution2 helpful votes</t>
  </si>
  <si>
    <t>ParkingParking charges have been increased 100% to £16 without any hourly charging 
options. You have to pay for 24 hour parking or not park there at all. 
Consequently, I decided not to park here on a point of principle as I felt 
I was being ripped off.Read moreReview collected in partnership with 
TravelodgeDate of stay: September 20192 Helpful votesHelpfulShare</t>
  </si>
  <si>
    <t>Bethany Foster wrote a review Sep 2019Southampton, United Kingdom51 
contributions18 helpful votes</t>
  </si>
  <si>
    <t>Gatwick HotelWe have stayed here previously before a flight at Gatwick. It was pleasant 
and the parking was £6 for our car before we went to the main parking for 
the hotel which we thought was okay. We re-booked thinking it would be the 
same but the parking was £16!!! We arrived at 9pm and were leaving at 3am 
and we had to pay £16?! It would of been cheaper to book an alternative 
hotel and we were never made aware of these costs prior to booking as 
otherwise I wouldn’t have booked. The room itself was FREEZING on arrival. 
The water pressure on the sink and shower was also non existent, spitting 
and we couldn’t use it. The issue happened late at night so didn’t want the 
hassle of moving rooms etc when we were only there for 6 hours in total. 
Due to this we couldn’t get a shower before our…Read moreDate of stay: 
September 20191 Helpful voteHelpfulShareResponse from TravelodgeUK, Ben 
from the Social Media Team at Travelodge Gatwick Airport CentralResponded 
22 Sep 2019Thank you for taking the time to write a review about our 
Gatwick Airport Central hotel. We're pleased to hear that you have enjoyed 
past stays at this hotel however we are sorry to learn of your 
disappointment with the parking charge, the room temperature and that you 
had problems with the water. We appreciate all the feedback we receive and 
our Hotel Managers regularly review their TripAdvisor reviews in order to 
fix any issues raised and pass on feedback to their team. Thank you once 
again and we do hope you will stay with us in the future.Read more</t>
  </si>
  <si>
    <t>_deborah_church wrote a review Sep 2019Torquay, United Kingdom1 contribution</t>
  </si>
  <si>
    <t>Travelodge stayRoom was very small and quite stuffy and warm when entering. As travelling 
with a friend would have preferred 2 beds. Air conditioning wasn't very 
efficient. But was very close to the airport, was very well priced so I 
guess you get what you pay for.Read moreReview collected in partnership 
with TravelodgeDate of stay: September 2019HelpfulShare</t>
  </si>
  <si>
    <t>471Wendy wrote a review Sep 2019Brisbane, Australia5 contributions1 helpful 
vote</t>
  </si>
  <si>
    <t>Perfect for early flightsWe were so happy when we walked into our room as we had been staying in 
Bayswater and we could actually dance in this room. Very comfortable nice 
lounge area if you arrive too early and lovely food served for dinner. The 
bus service to and from Gatwick is amazing so efficient. So we got tube to 
Gatwick then hopped on bus and we there in no time. Same in the morning 
buses were constant. We had an early flight and buses run 24 hrs.Read 
moreReview collected in partnership with this hotelDate of stay: September 
2019HelpfulShare</t>
  </si>
  <si>
    <t>https://www.tripadvisor.co.uk/Hotel_Review-g191265-d229508-Reviews-or475-Travelodge_Gatwick_Airport_Central-Horley_Surrey_England.html#REVIEWS</t>
  </si>
  <si>
    <t>johnarkley1 wrote a review Sep 20191 contribution</t>
  </si>
  <si>
    <t>Miserable night.Food in the souless cafe appalling, my wife sent hers back and was promised 
a refund which never happened. Result, bad stomach all night. Noise from 
exterior AC unit unnacceptable. Awful night. Avoid!!Read moreReview 
collected in partnership with TravelodgeDate of stay: September 
2019HelpfulShareResponse from TravelodgeUK, Shaf from the Social Media 
Team. at Travelodge Gatwick Airport CentralResponded 19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</si>
  <si>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Rachael Fitzgerald wrote a review Sep 20198 contributions</t>
  </si>
  <si>
    <t>Travelodge GatwickGreat makeover and fantastic staff. We have been looked after so well from 
the moment we walked through the door. Reece on reception, Ben assistant 
manager and Elliot on the bar and the rest of the team ��������Read 
moreDate of stay: September 2019HelpfulShare</t>
  </si>
  <si>
    <t>Jazisam wrote a review Sep 2019Auckland, New Zealand2 contributions1 
helpful vote</t>
  </si>
  <si>
    <t>Good valueWe stayed here one night before going to Rome. Rooms are modern, very clean 
and comfortable. The reception team are super friendly and helpful. Bar &amp; 
restaurant staff are slow but if you get hungry lining up to order there 
are vending machines available.Read moreReview collected in partnership 
with TravelodgeDate of stay: September 2019HelpfulShare</t>
  </si>
  <si>
    <t>Diane P wrote a review Sep 2019Llandrindod Wells, Wales, United Kingdom23 
contributions15 helpful votes</t>
  </si>
  <si>
    <t>https://www.tripadvisor.co.uk/Hotel_Review-g186338-d1812157-Reviews-or710</t>
  </si>
  <si>
    <t>Excellent Value for MoneyI only stayed for 1 night, the room was comfortable, clean and had a great 
supply of tea/coffee ect. I was pleasently surprised about how nice it was 
as it was very reasonably priced too, would definately recomend this 
hotel.Read moreReview collected in partnership with this hotelDate of stay: 
September 2019HelpfulShare</t>
  </si>
  <si>
    <t>https://www.tripadvisor.co.uk/Hotel_Review-g191265-d229508-Reviews-or480-Travelodge_Gatwick_Airport_Central-Horley_Surrey_England.html#REVIEWS</t>
  </si>
  <si>
    <t>Tour438735 wrote a review Sep 20191 contribution</t>
  </si>
  <si>
    <t>One night stay at LGW airportThis hotel offers comfortable beds and clean rooms, however, the room had 
no armchairs or handy furniture. The stuff was helpful and efficient, they 
helped us keeping the bags safely in a nice storage. when we needed a taxi 
they ordered it right away.Read moreReview collected in partnership with 
TravelodgeDate of stay: September 2019HelpfulShare</t>
  </si>
  <si>
    <t>wincoy wrote a review Sep 2019London, United Kingdom24 contributions16 
helpful votes</t>
  </si>
  <si>
    <t>Nice Gatwick HotelNice, clean hotel, good value for money. rooms and public areas clean. very 
good section for breakfast. the restaurant for evening meal well laid out &amp; 
menu not large but food good. bus runs every 15 mins to airport &amp; back. 
great one or two nights, after that might have a issue as no drawers in 
room to anything away.Read moreReview collected in partnership with 
TravelodgeDate of stay: September 2019HelpfulShare</t>
  </si>
  <si>
    <t>martyalex1 wrote a review Sep 2019Suffolk, United Kingdom1 contribution1 
helpful vote</t>
  </si>
  <si>
    <t>Don't bring a carThe outside of the hotel is just a meeting point for smokers, an area away 
from the main doors would be good. Receiption was ok but the parking was 
totally overpriced at £16 per night. Room was a good size but had not been 
cleaned properly and when you arrive late and have an early start i did not 
want to waste time changing rooms. With the room and carpark combined cost 
there are better places to stay in the areaRead moreReview collected in 
partnership with TravelodgeDate of stay: September 20191 Helpful 
voteHelpfulShare</t>
  </si>
  <si>
    <t>Laura B wrote a review Sep 2019Margate, United Kingdom13 contributions17 
helpful votes</t>
  </si>
  <si>
    <t>Nice hotel - Rude restaurant staff!The room itself was really good at the hotel, A super room was booked on 
this occasion, which already had an iron/board, hairdryer and a coffee 
machine - the coffee machine didn't work properly and spilled water out all 
over the tray?! This was mentioned to a team member, who gave the response 
of "yeah, they're not the greatest a lot of them do that?!" Aside from the 
indoor water feature, the room was very nice and comfortable. We decided to 
eat in the restaurant this time, the main course was nice, although the 1/2 
roast chicken was a little dry. A man called "Everton" came over to clear 
some of the plates while someone was still eating, I asked him if he could 
come back in 5 minutes when we had all finished our meals, he made some 
sort of noise and walked off! After waiting a…Read moreDate of stay: August 
2019HelpfulShareResponse from TravelodgeUK, Niki from The Social Media Team 
at Travelodge Gatwick Airport CentralResponded 17 Sep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your review and we hope to hear from you 
soon.Read more</t>
  </si>
  <si>
    <t>https://www.tripadvisor.co.uk/Hotel_Review-g191265-d229508-Reviews-or485-Travelodge_Gatwick_Airport_Central-Horley_Surrey_England.html#REVIEWS</t>
  </si>
  <si>
    <t>abi o wrote a review Sep 2019Southampton, United Kingdom40 contributions30 
helpful votes</t>
  </si>
  <si>
    <t>HotelWhat a great hotel this very comfy rooms great staff and good food great 
way to start your holiday in style will be staying again this hotel on 
shuttle bus route from gatwick both terminals and reasonabke price but book 
earlyRead moreDate of stay: September 2019HelpfulShare</t>
  </si>
  <si>
    <t>chris71782019 wrote a review Sep 20191 contribution</t>
  </si>
  <si>
    <t>Nice placeNice place don’t get breakfast there it’s a rip off. Horrible breakfast get 
it at the airport instead. Powered eggs raw bacon. Dirty cups and orange 
juice is powered stuff. Save the 10.00 really not worth it.Read moreReview 
collected in partnership with TravelodgeDate of stay: September 
2019HelpfulShare</t>
  </si>
  <si>
    <t>anniemc0602 wrote a review Sep 2019Tamarindo, Costa Rica10 contributions4 
helpful votes</t>
  </si>
  <si>
    <t>Perfect locationThe travel lodge was easy to access from Gatwick south or north terminal, 
just a couple of minutes by bus. The staff were great, there was a load of 
people off the bus and the check in process was very quick. Food was very 
good and overall great place to stay.Read moreReview collected in 
partnership with TravelodgeDate of stay: September 2019HelpfulShare</t>
  </si>
  <si>
    <t>Tony C wrote a review Sep 2019Middlesbrough, United Kingdom14 
contributions4 helpful votes</t>
  </si>
  <si>
    <t>En route to JamaicaGreat service once again , thanks to reception staff when we arrived and 
sorting out taxis the next morning to take us to the airport Nice meals in 
the bar/restaurant Would have thought the wifi would have been freeRead 
moreDate of stay: September 2019HelpfulShare</t>
  </si>
  <si>
    <t>michellemdolan wrote a review Sep 20191 contribution</t>
  </si>
  <si>
    <t>I love the Travel Lodge!The rooms are clean and spacious. The location is extremely close to the 
airport. The staff is friendly. Love, love , love this hotel. I would 
highly recommend this hotel to any leisure traveller. We'll be back!Read 
moreReview collected in partnership with TravelodgeDate of stay: September 
2019HelpfulShare</t>
  </si>
  <si>
    <t>https://www.tripadvisor.co.uk/Hotel_Review-g191265-d229508-Reviews-or490-Travelodge_Gatwick_Airport_Central-Horley_Surrey_England.html#REVIEWS</t>
  </si>
  <si>
    <t>tazmchale wrote a review Sep 20196 contributions</t>
  </si>
  <si>
    <t>Clean friendly and quietWe stayed for 2 nights while on a short break In the area we had a super 
room for 4, the hotel is clean and staff friendly , room was clean and beds 
comfortable. Even though this was a airport hotel the hotel was quiet I 
didnt hear people coming and going we enjoyed our stay and will be 
back.Read moreReview collected in partnership with TravelodgeDate of stay: 
August 2019HelpfulShare</t>
  </si>
  <si>
    <t>dirklakeman wrote a review Sep 2019Bangor, United Kingdom1 contribution</t>
  </si>
  <si>
    <t>Great value for money.Everything was as stated on the label. Close to Gatwick Airport, hotel 
feels like is was build and opened yesterday, great for getting in and out 
for a short stay, staff just right, no hassle, helpful friendly and 
efficient.Read moreReview collected in partnership with TravelodgeDate of 
stay: September 2019HelpfulShare</t>
  </si>
  <si>
    <t>Sharron S wrote a review Sep 2019New Romney, United Kingdom4 contributions1 
helpful vote</t>
  </si>
  <si>
    <t>HolidayI had stayed before and was very pleased with the overall standard of the 
whole hotel so booked again this year.and the standards haven’t 
dropped.very clean tidy and comfortable.would recommend to anyone.Read 
moreReview collected in partnership with TravelodgeDate of stay: September 
20191 Helpful voteHelpfulShare</t>
  </si>
  <si>
    <t>Vee Markwell wrote a review Sep 2019Romford, United Kingdom2 contributions</t>
  </si>
  <si>
    <t>hotelgreat hotel , hard to find, and sadly our holiday was cancelled so it was a 
waste of time , but it was a nice stay,we would use it again next time we 
go, the bed was very comfy,lighting was great .bathroomRead moreReview 
collected in partnership with this hotelDate of stay: September 
2019HelpfulShare</t>
  </si>
  <si>
    <t>Lorraine F wrote a review Sep 2019Isle of Man, United Kingdom27 
contributions4 helpful votes</t>
  </si>
  <si>
    <t>Travelodge Gatwick airportVery quiet hotel not far from airport. There is a pay for shuttle service 
that runs from both terminals...but be prepared for up to half an hour 
journey .They also recommended a taxi service that is much quicker and door 
to do.Read moreReview collected in partnership with TravelodgeDate of stay: 
September 2019HelpfulShare</t>
  </si>
  <si>
    <t>https://www.tripadvisor.co.uk/Hotel_Review-g191265-d229508-Reviews-or495-Travelodge_Gatwick_Airport_Central-Horley_Surrey_England.html#REVIEWS</t>
  </si>
  <si>
    <t>Val B wrote a review Sep 2019King's Lynn, United Kingdom125 contributions57 
helpful votes</t>
  </si>
  <si>
    <t>Convenient, good value!For an overnight stay awaiting an early morning flight this hotel is 
convenient &amp; comfortable. We were impressed with the comfort of the bed and 
very impressed how little noise there was from both inside and out, at the 
hotel.Read moreReview collected in partnership with TravelodgeDate of stay: 
September 2019HelpfulShare</t>
  </si>
  <si>
    <t>Yossarian007 wrote a review Sep 2019Dubrovnik, Croatia7 contributions7 
helpful votes</t>
  </si>
  <si>
    <t>Nice, but not "that" niceWent for the game and location was perfect. Short walk to Emirates stadium. 
Personnel was very polite and accommodating, thumbs up. Keep it on. Rooms 
so so but clean. A bit overpriced but reason for location beats it all. 
Solid 4 overall.Read moreDate of stay: September 2019HelpfulShare</t>
  </si>
  <si>
    <t>julianwilliams95 wrote a review Sep 2019Milton Keynes, United Kingdom7 
contributions2 helpful votes</t>
  </si>
  <si>
    <t>Fantastic HotelCannot fault the hotel, food, service or staff! Perfect way to start your 
holiday or finish it if you are on a late flight! Excellent value for 
money! There is a shuttle that takes you to the North and South terminal 
for £4 per adult (Prices correct at the time of posting, this is a revised 
fare from £8 per adult).Read moreReview collected in partnership with 
TravelodgeDate of stay: September 20191 Helpful voteHelpfulShare</t>
  </si>
  <si>
    <t>Evan N wrote a review Sep 20193 contributions2 helpful votes</t>
  </si>
  <si>
    <t>Great No-Frills HotelWe got an excellent deal while we stayed here overnight for our Gatwick 
layover. This airport is not the Ritz-Carleton, but honestly it's just a 
genuinely good hotel. Great price, rooms were clean and well-equipped for 
the price-point. Customer service was excellent -- I can tell that the 
woman helping us at the front counter genuinely loves what she does. We got 
the breakfast before we boarded our long flight back to North America and 
this also exceeded our expectations, I would highly recommend this hotel to 
anyone who needs a good-value, no frills hotel experience in th Gatwick 
area,Read moreReview collected in partnership with this hotelDate of stay: 
September 20191 Helpful voteHelpfulShare</t>
  </si>
  <si>
    <t>https://www.tripadvisor.co.uk/Hotel_Review-g191265-d229508-Reviews-or500-Travelodge_Gatwick_Airport_Central-Horley_Surrey_England.html#REVIEWS</t>
  </si>
  <si>
    <t>Trina Georgina wrote a review Sep 2019Worthing, United Kingdom1 contribution</t>
  </si>
  <si>
    <t>I would have been just as comfortable sleeping on the airport floor!Literally the worst nights sleep I’ve EVER had. The bed was like a slab of 
concrete. We went to sleep at midnight &amp; I was awake at 3am with such a 
sore back. I couldn’t get back to sleep as the bed was so hard I was in 
pain (actual pain up my spine &amp; my shoulders) &amp; that was after 3 gins! I 
tried the other two singles beds in our upgraded family room &amp; they were 
just as bad. So I ended up sitting bolt upright in bed until 7am when we 
had to ‘get up’ to catch our flight. My partner quite likes a hard 
mattress, but even he said it was really quite hard &amp; uncomfortable. I 
would have been better sleeping on the airport floor or on the chairs at 
the airport! Not the best start to our holiday, grumpy, puffy eyed &amp; miffed 
off being so tired! The shuttle bus is £4 each way per person…Read moreDate 
of stay: August 2019HelpfulShareResponse from Ben T, Shaf from the Social 
Media Team. at Travelodge Gatwick Airport CentralResponded 10 Sep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t>
  </si>
  <si>
    <t>Moira M wrote a review Sep 20193 contributions</t>
  </si>
  <si>
    <t>A poor choiceShuttle to and from airport is 4 pounds each way per person; free wifi is 
only for 30 minutes. My room was cold, had a damp carpet floor and there 
was mold in the shower. Wish I had chosen the Premier Inn--it's walking 
distance to the airport. Not worth the $20 I saved in staying there.Read 
moreReview collected in partnership with TravelodgeDate of stay: September 
2019HelpfulShareResponse from Ben T, Zack from The Social Media Team at 
Travelodge Gatwick Airport CentralResponded 9 Sep 2019Thank you for 
submitting your review. We are sorry to learn of your disappointment 
following your recent stay with us regarding the WiFi extra and the room 
issues you experienced.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</si>
  <si>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https://www.tripadvisor.co.uk/Hotel_Review-g186338-d1812157-Reviews-or715</t>
  </si>
  <si>
    <t>https://www.tripadvisor.co.uk/Hotel_Review-g191265-d229508-Reviews-or505-Travelodge_Gatwick_Airport_Central-Horley_Surrey_England.html#REVIEWS</t>
  </si>
  <si>
    <t>PamelaHansen wrote a review Sep 2019Sliema, Malta2 contributions</t>
  </si>
  <si>
    <t>Great overnight stayFriendly welcome, and all staff helpful and polite. Clean room, comfortable 
bed and good shower. Relaxing bar and fair restaurant, good shuttle 
service. I would have preferred flat pillows and a phone in the room.Read 
moreReview collected in partnership with TravelodgeDate of stay: September 
2019HelpfulShare</t>
  </si>
  <si>
    <t>Nicole B wrote a review Sep 2019Aldershot, United Kingdom19 contributions1 
helpful vote</t>
  </si>
  <si>
    <t>Lovely place to stayWe stayed here on 26th August night before our flight its a lovely place to 
stay we ate in the restaurant and had buffet breakfast. We paid about 55 
pound for 4 of us 2 adults 2 children which I thought was very reasonable. 
The food was lovely big thumbs up it also does a bus to the airport pick up 
right outside but we got a taxi which was also priced good.Read moreDate of 
stay: August 20191 Helpful voteHelpfulShare</t>
  </si>
  <si>
    <t>trainbob wrote a review Sep 2019cornwall252 contributions82 helpful votes</t>
  </si>
  <si>
    <t>does what it sayscomfortable night stay rooms clean and tidy and quiet bar cafe poor quality 
food appears to be all microwave staff impolite should learn words like 
please and thank you behaviour needs to be improved and need to clean 
tablesRead moreDate of stay: September 20191 Helpful voteHelpfulShare</t>
  </si>
  <si>
    <t>https://www.tripadvisor.co.uk/Hotel_Review-g191265-d229508-Reviews-or510-Travelodge_Gatwick_Airport_Central-Horley_Surrey_England.html#REVIEWS</t>
  </si>
  <si>
    <t>Suhelrana wrote a review Sep 2019Cardiff, United Kingdom2 contributions</t>
  </si>
  <si>
    <t>Very Comfortable StayOverall very comfortable stay and I always use the this Travelodge before 
and after I fly for our family holiday which is usually twice a year and 
find it very easy as the airport is less than 5 min drive. My only slight 
small issues on this stay was the cups provided for tram and coffee in the 
room weren’t clean and had tea/coffee stains inside which looked like 
wasn’t washed throughly. Other than that a great and comfortable stay!Read 
moreReview collected in partnership with TravelodgeDate of stay: August 
2019HelpfulShare</t>
  </si>
  <si>
    <t>avc0912 wrote a review Sep 2019Leamington Spa, United Kingdom31 
contributions17 helpful votes</t>
  </si>
  <si>
    <t>clean comfortable great breakfastExactly what I expected. Clean comfy bed, shower and bathroom exceptionally 
clean and well maintained. Breakfast hot fresh and delicious good options 
for £9.25. Staff very helpful, and can advise which roads safest to run in 
early morning before flight. It is NOT possible to walk to this hotel so 
bus was good option at £4 and was very quick. Goes from Bus stop 8 at north 
terminal. Not sure from south.Read moreReview collected in partnership with 
TravelodgeDate of stay: September 20191 Helpful voteHelpfulShare</t>
  </si>
  <si>
    <t>Naomi C wrote a review Sep 2019Bristol, United Kingdom80 contributions22 
helpful votes</t>
  </si>
  <si>
    <t>Not worth the moneyI understand Travelodge is a very basic hotel but this Travelodge was 
grotty, outdated, lacking in basic facilities (no hairdryer, no phone to 
contact reception, no iron, no soap, no shower gel, no shampoo) and the 
staff were unfriendly and disinterested. The location is great because of 
the proximity to Gatwick Airport but I won't be returning as it is 
incredibly expensive for such poor standardsRead moreDate of stay: 
September 2019HelpfulShareResponse from Ben T, Tilly from The Social Media 
Team at Travelodge Gatwick Airport CentralResponded 11 Sep 2019Thank you 
for your comments about our Gatwick Airport Central. We are very sorry to 
learn of your disappointment with the overall look of the hotel. We can 
confirm that Irons and hair dryers are provided by reception upon request. 
We feel that we offer all that is needed for a comfortable night’s stay. 
This includes a clean room, comfortable bed, tea and coffee facilities, 
flat screen T.V and an en suite bathroom. We do not provide extras which 
other hotels may provide so we can keep our room rates low however we 
understand your frustration and we are sorry that you did not enjoy your 
stay with us. We are pleased that you were happy with the location of the 
hotel Your feedback has been noted and we thank you once again for 
reviewing our hotel. We do hope you will stay with us in the future.Read 
more</t>
  </si>
  <si>
    <t>Wooly8413 wrote a review Sep 2019Poole3 contributions</t>
  </si>
  <si>
    <t>Gatwick convenienceHotel well located and shuttle bus runs 24 hours to terminals albeit £4 per 
journey! Only downside is charged for parking at £8 per 24 hours and no 
hourly rate!! Had a room on initial stay for £29 but booking prior to 
departure at shorter notice room was £65!! Book early as possible goes 
without saying!!Read moreReview collected in partnership with 
TravelodgeDate of stay: September 2019HelpfulShare</t>
  </si>
  <si>
    <t>https://www.tripadvisor.co.uk/Hotel_Review-g191265-d229508-Reviews-or515-Travelodge_Gatwick_Airport_Central-Horley_Surrey_England.html#REVIEWS</t>
  </si>
  <si>
    <t>Martyn E wrote a review Sep 2019London19 contributions2 helpful votes</t>
  </si>
  <si>
    <t>Stress freeVery nice new T/lodge just a few minutes ride to the airport, the room was 
nice and comfortable bed was great, there is also a bar and restaurant 
which was great as it was unexpected surprise. we wouldn't hesitate to use 
the travelodge again.Read moreReview collected in partnership with 
TravelodgeDate of stay: August 2019HelpfulShare</t>
  </si>
  <si>
    <t>MancJester wrote a review Sep 2019Stockport, United Kingdom186 
contributions29 helpful votes</t>
  </si>
  <si>
    <t>Good night’s sleep – polite friendly staff.We took the shuttle bus from Gatwick having arrived there by train ahead of 
a very early flight the next morning. Had a decent enough meal in the 
restaurant in the evening but as someone coming down from “up North” the 
bar prices are scandalous. We also enjoyed a good all-you-can eat breakfast 
before taking a taxi arranged by Reception back to Gatwick Airport 
(actually cheaper than the shuttle bus for 2 people). Overall a nice clean 
hotel with friendly staff and we will stop there again if we fly out from 
Gatwick again. There is a huge Tesco within a few minutes’ walk if you’ve 
forgotten anything (or if the hotel bar prices have terrified you). I 
couldn’t find the TV remote but someone arrived with another one within 5 
minutes of me asking. Generally the room was very clean…Read moreDate of 
stay: June 20191 Helpful voteHelpfulShare</t>
  </si>
  <si>
    <t>Hat wrote a review Sep 20195 contributions</t>
  </si>
  <si>
    <t>Ok place to stay nothing specialUsed self check in as reception was busy. Lots of wasted space in the room. 
Very minimal. The bed sheets had quite a few stains on them and hairs. 
Would have expected nice bright clean sheets for a hotel. The shower did 
not have much pressure and didn’t get very hot. The shower curtain had a 
large yellow stain on it and did not really keep the water inside the 
shower. It just helped make the floor a pool. The drain didn’t really work 
fast enough. The water was close to flowing over. It was ok value for money 
but prefer the premier inn which was the same price and much more 
consistent with the room quality.Read moreReview collected in partnership 
with TravelodgeDate of stay: September 2019HelpfulShareResponse from 
TravelodgeUK, Ben from the Social Media Team at Travelodge Gatwick Airport 
CentralResponded 15 Sep 2019Thank you for taking the time to write a review 
about our Gatwick Airport Central hotel. We're pleased to hear that you 
found your stay to be good value however we are sorry to learn of your 
disappointment with the room provided. We appreciate all the feedback we 
receive and our Hotel Managers regularly review their TripAdvisor reviews 
in order to fix any issues raised and pass on feedback to their team. Thank 
you once again and we do hope you will stay with us in the future.Read more</t>
  </si>
  <si>
    <t>mikehump3 wrote a review Sep 2019Limassol, Cyprus66 contributions72 helpful 
votes</t>
  </si>
  <si>
    <t>IS THERE BETTER?Lodging ant Travelodge has never been a problem. I have never been 
disappointed in any respect and on many occasions have enjoyed an 
experience above and beyond that which they advertise. Having pre-booked, I 
arrived at 0200 in the morning to be cheerfully greeted, room upgraded and 
quickly directed to my room. Room in perfect order in every respect. Brief 
refamiliarization with the aircon/climate control box and then to bed in a 
wonderfully comfortable bed. Next morning at the Desk, 10 seconds to 
checkout with helpful staff inviting comment or criticism and ready with 
bus times or taxi requests. Absolutely great. I truly believe that this 
chain offers the BEST value for money accommodation. I didn't stay for 
breakfast on this occasion . I prefer poached or fried eggs…Read moreDate 
of stay: August 20192 Helpful votesHelpfulShare</t>
  </si>
  <si>
    <t>https://www.tripadvisor.co.uk/Hotel_Review-g191265-d229508-Reviews-or520-Travelodge_Gatwick_Airport_Central-Horley_Surrey_England.html#REVIEWS</t>
  </si>
  <si>
    <t>Martin C wrote a review Sep 2019Taunton, United Kingdom7 contributions1 
helpful vote</t>
  </si>
  <si>
    <t>A comfortable stay.Very adequate accommodation and food. Nothing to complain about and we 
would happily return for another visit. It is some miles from the airport 
so we arranged a taxi service when we got to the airport from the railway 
station. The roads and junctions are complex so a taxi service is 
convenient and preferable we thought to the shuttle.Read moreReview 
collected in partnership with TravelodgeDate of stay: August 20191 Helpful 
voteHelpfulShare</t>
  </si>
  <si>
    <t>Andy card wrote a review Sep 20191 contribution</t>
  </si>
  <si>
    <t>Awful.What a start to our holiday. £5.95 for a bottle of London pride, advertised 
as 500 ml, only to be served 330 ml. Rip off, then £10.95 for the worst 
most tasteless burger ive ever eaten. Thank god im off to Texas. Will not 
use this chain ever again. These hotels trade off the fact, you're already 
here. Another example of dumming down to the lowest acceptable level. Shame 
on you.Read moreDate of stay: September 2019HelpfulShareResponse from 
TravelodgeUK, Ben from the Social Media Team at Travelodge Gatwick Airport 
CentralResponded 14 Sep 2019Thank you for taking the time to write a review 
about our Gatwick Airport Central hotel. We are sorry to learn of your 
disappointment with the food and drink from the on-site bar cafe, we would 
suggest to let our reception team know of any problems so that they can try 
and resolve these during your stay. We appreciate all the feedback we 
receive and our Hotel Managers regularly review their TripAdvisor reviews 
in order to fix any issues raised and pass on feedback to their team. Thank 
you once again and we do hope you will stay with us in the future.Read more</t>
  </si>
  <si>
    <t>sredwin wrote a review Aug 2019Deal, United Kingdom1 contribution</t>
  </si>
  <si>
    <t>Clean comfortable room.Staff were friendly and helpful. Room was clean and beds comfortable. Had a 
lovely meal in the large restaurant. Close to airport which takes about 15 
mins by Shuttle bus that runs every 20mins throughout the day and 
night.Read moreReview collected in partnership with this hotelDate of stay: 
August 2019HelpfulShare</t>
  </si>
  <si>
    <t>Trail309434 wrote a review Aug 20193 contributions</t>
  </si>
  <si>
    <t>Travelodge GatwickGood value for money. Staff friendly. Took about 20 minutes from the 
Travelodge to South Terminal at 7am. Restaurant is more like a canteen - 
not cozy and actually quite cold in there, but the food was good compared 
to similar hotels (very nice quinoa salad, and pizza was more generous than 
some) and staff were friendly. Room was cold when we arrived, but we turned 
off the AC and it was fine.Read moreReview collected in partnership with 
TravelodgeDate of stay: August 2019HelpfulShare</t>
  </si>
  <si>
    <t>https://www.tripadvisor.co.uk/Hotel_Review-g191265-d229508-Reviews-or525-Travelodge_Gatwick_Airport_Central-Horley_Surrey_England.html#REVIEWS</t>
  </si>
  <si>
    <t>horseymum_11 wrote a review Aug 2019Cirencester, United Kingdom775 
contributions124 helpful votes</t>
  </si>
  <si>
    <t>Comfortable stayBooked a room for the night as taking daughter to Gatwick North early the 
next morning. Easy to find and easy to park, bit of a faff getting parking 
paid for, as none of the machines were working and we had to phone an 
automated line to pay (£8 for 24 hours) and then we couldn't get through to 
the number to confirm our car registration, so had to get reception to 
help. Check in good, room clean and spacious.Very quiet at night too We 
like that a family with an adult child can just book the one room (unlike 
Premier Inn). We had a good value evening meal (£14.00 for two courses) 
from the large restaurant on site. We found the staff to be very good. It 
would be nice to have a hairdryer in the room, rather than to have to 
request one from reception, and unfortunately there was no…Read moreDate of 
stay: August 20192 Helpful votesHelpfulShare</t>
  </si>
  <si>
    <t>Louise M wrote a review Aug 2019Kabul, Afghanistan12 contributions4 helpful 
votes</t>
  </si>
  <si>
    <t>Comfy stayThe hotel is about 15 minutes from the airport by bus (£4 single) at bus 
stop 9 South Terminal. Buses are every 15 minutes. The bed is really 
comfortable, and the room quiet and clean. It was great to walk into an air 
conditioned room which didn't smell stale. Staff were very pleasant and the 
check-in was fast at reception. I've stayed a couple of times at this hotel 
and never had a bad night there.Read moreReview collected in partnership 
with TravelodgeDate of stay: August 20191 Helpful voteHelpfulShare</t>
  </si>
  <si>
    <t>Navigate697967 wrote a review Aug 20193 contributions</t>
  </si>
  <si>
    <t>Stayed at Gatwick TravelodgrA good location near the airport and there is a part of the West Sussex 
walkway that you can walk to to the airport in ten minutes. A nice part of 
the country. You would never think you where near an airport. Will 
definitely use that Travelodge again.Read moreReview collected in 
partnership with TravelodgeDate of stay: August 2019HelpfulShare</t>
  </si>
  <si>
    <t>MEM1106 wrote a review Aug 2019Quispamsis, Canada2 contributions</t>
  </si>
  <si>
    <t>Dangerous bathroomShower curtain did not properly cover shower and water sprayed on the 
floor. Made floor very slippery. This was a very dangerous situation! No 
face clothes though requested.. No hair dryer though requested.Read 
moreReview collected in partnership with TravelodgeDate of stay: August 
2019HelpfulShareResponse from TravelodgeUK, James from the Social Media 
Team at Travelodge Gatwick Airport CentralResponded 1 Sep 2019Thank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</si>
  <si>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sfisher2018 wrote a review Aug 20192 contributions</t>
  </si>
  <si>
    <t>Great VFM for a Gatwick whistle stop.Good solid hotel experience. Pleasant staff, room clean tidy and everything 
as one would expect. Can't speak for the restaurant and bar as I didn't 
need them. Would recommend for anyone who needs a comfortable convenient 
hotel a hop skip and a jump from the airport.Read moreReview collected in 
partnership with TravelodgeDate of stay: August 2019HelpfulShare</t>
  </si>
  <si>
    <t>https://www.tripadvisor.co.uk/Hotel_Review-g191265-d229508-Reviews-or530-Travelodge_Gatwick_Airport_Central-Horley_Surrey_England.html#REVIEWS</t>
  </si>
  <si>
    <t>alankerr2019 wrote a review Aug 20193 contributions2 helpful votes</t>
  </si>
  <si>
    <t>Place to stay near airport.Great value, very clean, all staff well trained and friendly. My only 
concern was the food and beverage were mundane. Staff in the bar however, 
were super friendly and well trained. Check in and out was a breeze. Great 
price for a hotel so close to the airport.Read moreReview collected in 
partnership with TravelodgeDate of stay: August 2019HelpfulShare</t>
  </si>
  <si>
    <t>https://www.tripadvisor.co.uk/Hotel_Review-g186338-d1812157-Reviews-or720</t>
  </si>
  <si>
    <t>Julesblue68 wrote a review Aug 20196 contributions1 helpful vote</t>
  </si>
  <si>
    <t>Great for Gatwick airport.Very friendly and helpful staff. Hotel and room was spotless. Beds are very 
comfortable. Nice and quiet in the room. Lovely buffet breakfast. Taxi 
service offered from hotel to Gatwick airport, this was £6, which I thought 
was bargainRead moreReview collected in partnership with TravelodgeDate of 
stay: August 2019HelpfulShare</t>
  </si>
  <si>
    <t>sadia368 wrote a review Aug 2019Leeds, United Kingdom1 contribution</t>
  </si>
  <si>
    <t>Travelodge GatwickWe stay at travelodge on a saturday during bank holiday weekend. The 
spacious family room had very comfortable beds and extra pillows :) Very 
good for family stays. Easy to get to and close to attractions we wanted to 
visit. We would definitely stay again.Read moreReview collected in 
partnership with TravelodgeDate of stay: August 2019HelpfulShare</t>
  </si>
  <si>
    <t>ankyuk wrote a review Aug 2019Oslo, Norway445 contributions50 helpful votes</t>
  </si>
  <si>
    <t>Good hotel considering it's an aiport hotel; bad foodIn my experience, most airport hotels, unless very expensive ones (and 
sometimes even they), are not very good: this one does better than those. 
The hotel has a very large number of rooms, so I am not sure how much the 
experience varies depending on what room you get. The room size is 
surprisingly not very small, the TV set has all the channels, there is nice 
air-conditioning that one can choose to switch on (though the temperature 
control on it doesn't work, so if you want it, you will have to have 24 
degrees Celsius), and there are some instant coffee/tea options there in 
the room. The toilet may get blocked though, the shower area is a bit 
slippery, and both airport bus and taxi to the hotel is slightly on the 
expensive side. The food at the hotel, should you want to have…Read 
moreDate of stay: August 2019HelpfulShare</t>
  </si>
  <si>
    <t>Laundree wrote a review Aug 20196 contributions1 helpful vote</t>
  </si>
  <si>
    <t>Comfortable stayAll worked very well, we had a very early flight on the Sunday morning. 
Room was comfortable and clean. Curious that it is cheaper to take a taxi 
to North Terminal than use the shuttle bus, if two or more travelling, but 
kind of the staff to pass on this tipRead moreReview collected in 
partnership with TravelodgeDate of stay: August 2019HelpfulShare</t>
  </si>
  <si>
    <t>https://www.tripadvisor.co.uk/Hotel_Review-g191265-d229508-Reviews-or535-Travelodge_Gatwick_Airport_Central-Horley_Surrey_England.html#REVIEWS</t>
  </si>
  <si>
    <t>Thai32 wrote a review Aug 2019Blackpool, United Kingdom243 contributions169 
helpful votes</t>
  </si>
  <si>
    <t>Noisy hell and room smelt like dogNo really, the first thing I thought as I opened the door was wet dog. It 
was late, I just got on with it. I was allocated a room at the back where 
you need drag your luggage up the stairs, but was swapped to a room next to 
the lifts. Ye Gods, I awoke this morning at 06:25 exactly to Satan 
preparing hell for a global rock gig. The noise pounded from above, below, 
and from the sides. Incredible child screaming, door slamming, you name it. 
People are so self-involved. Look at the time you selfish sods! Of course, 
this hotel is made of plasterboard so good luck, you're best asking for a 
room well away from the lifts. Though you'll still get the noise. The bus 
to the airport (5 minutes, £4, rip off Britain) was packed like sardines 
and ROASTING hot. It was like cooking in a slow…Read moreDate of stay: 
August 2019HelpfulShareResponse from TravelodgeUK, Shaf from the Social 
Media Team. at Travelodge Gatwick Airport CentralResponded 28 Aug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</si>
  <si>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George D wrote a review Aug 2019Gosport, United Kingdom1 contribution</t>
  </si>
  <si>
    <t>Travel lodge stayBath in room is small and soap dispenser caused me to have an allergic 
reaction the next morning. Red blotchy skin with constant itch. Not much 
facilities in hotel although appreciate this is for a short over night 
stayRead moreReview collected in partnership with TravelodgeDate of stay: 
August 2019HelpfulShare</t>
  </si>
  <si>
    <t>man594 wrote a review Aug 2019Manchester, United Kingdom43 contributions9 
helpful votes</t>
  </si>
  <si>
    <t>Travelodge plusGreat Travelodge Really friendly staff on reception. Parking is £8 for 24 
hours, lots of spaces. Really great bar open 24/7 serving food and drinks. 
Free hot drinks and water to take away with you. Cups and lids etc readily 
available. Family room was really spacious double bed and two single beds. 
Bathroom not very cleanRead moreDate of stay: August 2019HelpfulShare</t>
  </si>
  <si>
    <t>Katie45yhhtb78 wrote a review Aug 20193 contributions</t>
  </si>
  <si>
    <t>Basic but comfortable, clean and reasonably pricedThe hotel was exactly what we needed from an overnight stay before an early 
night - not expensive but comfortable enough to get a good night's sleep. I 
would caution others to avoid the over-priced shuttle bus to and from the 
airport which was £4 each way for adults and when we took it late at night 
with a fast driver and no traffic, the journey took all of 5 mins! There 
are local buses nearby by which could save you £££Read moreDate of stay: 
August 2019HelpfulShare</t>
  </si>
  <si>
    <t>https://www.tripadvisor.co.uk/Hotel_Review-g191265-d229508-Reviews-or540-Travelodge_Gatwick_Airport_Central-Horley_Surrey_England.html#REVIEWS</t>
  </si>
  <si>
    <t>MiaDew wrote a review Aug 2019Stroud, United Kingdom2 contributions6 
helpful votes</t>
  </si>
  <si>
    <t>Be wary of leaving your car thereWe paid to leave our car in the Travelodge car park, run by the Company 
APCOA, which we were told had CCTV surveillance. On arriving, we found that 
it is just an open car park surrounding the Travelodge - no gate or code to 
get in. Our car was attacked by thieves who cut our exhaust to take away 
the catalystic converter making our car undriveable. Not a quick, quiet 
theft but it went undetected! Room adequate for a stay before leaving on a 
flight from Gatwick.Read moreReview collected in partnership with 
TravelodgeDate of stay: August 2019HelpfulShareResponse from TravelodgeUK, 
Zack from The Social Media Team at Travelodge Gatwick Airport 
CentralResponded 28 Aug 2019Thank you for leaving your review of our 
Gatwick Airport Central Travelodge. We are sorry to read of your 
disappointment with the car parking at our hotel. Unfortunately, this is 
run by a third party company, however we are pleased to hear that the room 
was adequate for the needs of your stay. We hope to have the opportunity to 
welcome you again soon.Read more</t>
  </si>
  <si>
    <t>Jodie P wrote a review Aug 20191 contribution</t>
  </si>
  <si>
    <t>Ladies tripUpon first arriving at the hotel the welcoming was polite and welcoming! We 
went up to our room to drop bags on arrival the room was clean and fresh. 
So we left to get dinner. Drinks where expensive. Food was nice 2 meals for 
£14 good price but had a funny taste to the burgers. Returning to the room 
we requested a extra towel and blanket. We returned to the room where we 
opened the bathroom door which smelt of wee. There was no phone in the Room 
to ring down. Nor a hair dryer. We got up the next day after ordering a 
taxi and the taxi never arrived! So we resorted to getting the bus as we 
was going to be late to check in. Bed was comfortable though.Read moreDate 
of stay: August 2019HelpfulShareResponse from TravelodgeUK, Niki from The 
Social Media Team at Travelodge Gatwick Airport CentralResponded 27 Aug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</si>
  <si>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Departure64175993581 wrote a review Aug 2019Crawley, United Kingdom2 
contributions</t>
  </si>
  <si>
    <t>Great experienceLovely revamped hotel with everything you need for a nights sleep and stay 
Will definitely be back, can see this being very busy after the re vamp as 
stayed before and wasn't very impressed, so all good happy daysRead 
moreReview collected in partnership with TravelodgeDate of stay: August 
2019HelpfulShare</t>
  </si>
  <si>
    <t>Stuart C wrote a review Aug 2019Near Here3 contributions1 helpful vote</t>
  </si>
  <si>
    <t>Accomodation OK but otherwise impersonalFamily Room was OK. Looked clean and fairly maintained. Its the Front of 
House Team and the food that are the let down here, Reception Team chatting 
between themselves and not interested in any customer interaction. Food was 
a shambles all round. Bar Staff not trained on the menu or the till, 
Supervisor unable to add four numbers together or make any decisions. 
Breakfast was cold and poor quality. Wished we had got breakfast at the 
airport instead.Read moreReview collected in partnership with 
TravelodgeDate of stay: August 2019HelpfulShareResponse from TravelodgeUK, 
Shaf from the Social Media Team. at Travelodge Gatwick Airport 
CentralResponded 23 Aug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</si>
  <si>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https://www.tripadvisor.co.uk/Hotel_Review-g191265-d229508-Reviews-or545-Travelodge_Gatwick_Airport_Central-Horley_Surrey_England.html#REVIEWS</t>
  </si>
  <si>
    <t>vinylvamp wrote a review Aug 2019Orlando1 contribution</t>
  </si>
  <si>
    <t>Travelodge at Gatwick Airport CentralThe Travelodge is clean with contemporary furnishings. The shuttle service 
isn't complimentary even though the website said the shuttle was free. 
There are no signs leading to rooms 100-156 or the stairs.Read moreReview 
collected in partnership with TravelodgeDate of stay: August 
2019HelpfulShare</t>
  </si>
  <si>
    <t>JRKL2018 wrote a review Aug 2019Kent, United Kingdom3 contributions</t>
  </si>
  <si>
    <t>Close to airport via Shuttlebus.This hotel is close to Gatwick Airport. Easy journey to airport via 
Shuttlebus, I think it was £3 for an adult and free for children which 
leaves every 15 minutes. Clean tidy, rooms. Nice breakfast included.Read 
moreReview collected in partnership with this hotelDate of stay: August 
2019HelpfulShare</t>
  </si>
  <si>
    <t>katiepampincao wrote a review Aug 20191 contribution</t>
  </si>
  <si>
    <t>Great value pre airport hotel£8 for parking. No hairdryer restaurant is quick service but food 
horrendous go to blacks burgers up the road other that excellent value for 
money. Comfy beds very quiet hotel super close to airport. We use a I love 
meet and greet service which are excellent. Rooms are clean.Read moreReview 
collected in partnership with this hotelDate of stay: August 
2019HelpfulShare</t>
  </si>
  <si>
    <t>Cgt1997 wrote a review Aug 201910 contributions1 helpful vote</t>
  </si>
  <si>
    <t>Not well located but the rooms are clean and good for valueClean and good for value rooms. However, the bus from the airport to the 
hotel was not well signalled and it was not explained anywhere on the 
Travelodge website that the bus only takes cash. I booked this hotel 
because I thought it was convenient and it was the opposite. I landed at 5 
in the morning and it took me 30 minutes to find the bus and then other 20 
minutes to find a cash point because the bus only accepted cash.Read 
moreReview collected in partnership with TravelodgeDate of stay: August 
2019HelpfulShareResponse from TravelodgeUK, Zack from The Social Media Team 
at Travelodge Gatwick Airport CentralResponded 27 Aug 2019Thank you for 
taking the time to share your experience with us. We are sorry to learn you 
were disappointed with the Hotels location, and to hear of the issues that 
impacted your stay. Your feedback is invaluable to us and we can confirm 
this will be used to improve the service we offer. We would like to thank 
you for the time you have taken to write this review and we do hope you 
will stay with us in the future.Read more</t>
  </si>
  <si>
    <t>https://www.tripadvisor.co.uk/Hotel_Review-g191265-d229508-Reviews-or550-Travelodge_Gatwick_Airport_Central-Horley_Surrey_England.html#REVIEWS</t>
  </si>
  <si>
    <t>JayH005 wrote a review Aug 2019Peloponnese, Greece86 contributions16 
helpful votes</t>
  </si>
  <si>
    <t>A great choice - wish I could have stayed longer!I booked for one night as my flight was arriving very late. The hotel is 
easily accessible via bus (one bus does a loop between both airport 
terminals and 3 nearby hotels) for a reasonable fee although if there are a 
few of you it might be better to get a cab. The hotel is modern and smart, 
with comfortable and spacious communal areas including a bar. There's a 
separate area with sofas, a water-refill facility and spare tea and coffee 
sachets. The whole place is quite large and rambling, with dark corridors 
that light up automatically as you enter. There's a security door between 
the public areas and the accommodation section which you open with your key 
card - this is reassuring. There was a pervasive smell of (I think) 
cleaning fluid in the corridors to my room which…Read moreDate of stay: 
August 2019HelpfulShare</t>
  </si>
  <si>
    <t>madchef64 wrote a review Aug 2019Kent, United Kingdom21 contributions8 
helpful votes</t>
  </si>
  <si>
    <t>Value for moneyBooked room as coming back from Cyprus in early hours and friend had to 
catch a flight the following day.Bed was comfortable and tea/coffee making 
facilities were a godsend at 4am.Friendly staff and very professional.Read 
moreReview collected in partnership with TravelodgeDate of stay: August 
2019HelpfulShare</t>
  </si>
  <si>
    <t>muhammadarsalanurr wrote a review Aug 2019Doncaster, United Kingdom2 
contributions1 helpful vote</t>
  </si>
  <si>
    <t>Very niceStayed for one night to catch an early flight the next morning. Room was 
comfortable, no noise at all. Used restaurant for dinner as well and that 
was good. Parking outside was a bit tight, had to search for a space. Did 
not know until checkout time that I had to pay for it which I did. The self 
check in machines did not have any prompts about paying for the parking so 
I totally forgot. No harm done, as was able to pay in the morning and had 
no penalties.Read moreReview collected in partnership with this hotelDate 
of stay: August 20191 Helpful voteHelpfulShare</t>
  </si>
  <si>
    <t>SueJB116 wrote a review Aug 2019Oxford, United Kingdom11 contributions2 
helpful votes</t>
  </si>
  <si>
    <t>Great placeA great place to stay for an early morning flight. 15min bus ride to and 
from the airport and they run every 15 minutes. Buses go from stand 9 at 
the airport and from outside the hotel Quiet, decent bar. Lots of free 
coffee. Comfy bed, big room.Read moreReview collected in partnership with 
this hotelDate of stay: August 2019HelpfulShare</t>
  </si>
  <si>
    <t>ann e wrote a review Aug 2019barnsley, south yorkshire United Kingdom25 
contributions22 helpful votes</t>
  </si>
  <si>
    <t>Lovely quick visitThe hotel was perfect for our overnight stay for my husband and two 
grandchildren, beds very comfy, lovely pillows , lovely white bed linen and 
large towels, good shower and bathroom facilities. we ate in the cafe bar 
which was good if slightly expensive, the drinks were pricey but as we were 
on the eve of our holiday "what the heck" We had an early start to get to 
the airport the staff member booked us a taxi when we checked in, which 
turned up ont time and the driver was helpful. All in all we had a good 
short stay, staff were pleasant and helpful and to the great relief of the 
kids 11 and 15 the wi fi worked well ! We would go back there again without 
a doubt.Read moreReview collected in partnership with TravelodgeDate of 
stay: August 2019HelpfulShare</t>
  </si>
  <si>
    <t>https://www.tripadvisor.co.uk/Hotel_Review-g191265-d229508-Reviews-or555-Travelodge_Gatwick_Airport_Central-Horley_Surrey_England.html#REVIEWS</t>
  </si>
  <si>
    <t>Passport30616478617 wrote a review Aug 2019London, United Kingdom2 
contributions</t>
  </si>
  <si>
    <t>Value for moneyThis is exactly what you need for a transit hotel very quick and easy 
connections to the airport. Clean and spacious rooms that are comfortable. 
It was above my expectations. Unfortunately if you arrive late you will 
have limited food options.Read moreReview collected in partnership with 
TravelodgeDate of stay: August 2019HelpfulShare</t>
  </si>
  <si>
    <t>Bea wrote a review Aug 20192 contributions1 helpful vote</t>
  </si>
  <si>
    <t>Wear shoes at all times. How did this place score 4 stars?Room stank of piss, pubes on the bed, dented floor, no soap, mould in 
shower. The food and drink are VERY expensive considering that it took over 
an hour for only half our order to come out. Manager was useless. Obvious 
that they don’t care about customer service at all as they assume that 
people just pass through for travelling. Not worth the trip. Go somewhere 
clean.Read moreDate of stay: August 20191 Helpful voteHelpfulShareResponse 
from TravelodgeUK, James from the Social Media Team at Travelodge Gatwick 
Airport CentralResponded 19 Aug 2019Thank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</si>
  <si>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redref wrote a review Aug 2019Totton, United Kingdom99 contributions11 
helpful votes</t>
  </si>
  <si>
    <t>Good stopver visitStopped at this Travelodge for the second year running before a morning 
flight. Attracted by the spacious room and plentiful parking. The room was 
cleaned well, automated check in was smooth and the drinks we ordered at 
the bar was good and overall we were very happy with this stopover.Read 
moreDate of stay: July 2019HelpfulShare</t>
  </si>
  <si>
    <t>https://www.tripadvisor.co.uk/Hotel_Review-g191265-d229508-Reviews-or560-Travelodge_Gatwick_Airport_Central-Horley_Surrey_England.html#REVIEWS</t>
  </si>
  <si>
    <t>Thejourneygenie wrote a review Aug 2019Abbotsford, Canada320 
contributions131 helpful votes</t>
  </si>
  <si>
    <t>Dump - and they don’t careThe front desk staff are wonderful - Sylvia and another woman whose name I 
didn’t get were fabulous and so helpful to me. But in the end, this hotel 
is a very high turnover place whose management doesn’t care about their 
guests’ experiences, as they know you’re just passing through for one 
night. During my first stay, on my way to Scotland for vacation, the room 
stank badly, so I mentioned it to the manager. There was a man in front of 
me at the desk complaining about the same thing. The manager passed it off 
as “the chemicals that are used to clean the room” and recommended that I 
“whack the a/c on and it’ll clear in no time.” Well, it didn’t because it 
was the putrid shower curtain that has never seen a washing machine and was 
growing mold. I complained very email to the…Read moreDate of stay: August 
2019HelpfulShare</t>
  </si>
  <si>
    <t>Avril G wrote a review Aug 2019Newcastle, United Kingdom64 contributions13 
helpful votes</t>
  </si>
  <si>
    <t>https://www.tripadvisor.co.uk/Hotel_Review-g186338-d1812157-Reviews-or725</t>
  </si>
  <si>
    <t>Airport overnighterVery comfortable , ideal for short stays and good transport to both Gstwick 
terminals. Rooms are quite spacious and though not luxurious, have all you 
need for overnigh stays. The restaurant is ok but a bit noisy. Food not 
badRead moreReview collected in partnership with this hotelDate of stay: 
August 20191 Helpful voteHelpfulShare</t>
  </si>
  <si>
    <t>MIKKADOO wrote a review Aug 2019Tarporley, United Kingdom43 contributions13 
helpful votes</t>
  </si>
  <si>
    <t>Great stop overGood clean hotel . great restaurant, nice clean comfortable room with good 
AC. Always stay here when on business such a central location and for 
leisure lots of places of interest close by. The only thing would be better 
if you could book parking at time of booking instead of machine outside, 
apart from that great placeRead moreReview collected in partnership with 
this hotelDate of stay: August 20191 Helpful voteHelpfulShare</t>
  </si>
  <si>
    <t>https://www.tripadvisor.co.uk/Hotel_Review-g191265-d229508-Reviews-or565-Travelodge_Gatwick_Airport_Central-Horley_Surrey_England.html#REVIEWS</t>
  </si>
  <si>
    <t>dislodgedlemon wrote a review Aug 2019Jersey, United Kingdom5,833 
contributions75 helpful votes</t>
  </si>
  <si>
    <t>Awesome placeI flew from Jersey spur of the moment for a few days away from the rock. 
First night stayed at airport as no rooms 2nd night at premier inn. 3rd 
night needed a change is scenery... decided on Travelodge. What a gem. Big 
spacious hotel, gas station2 Mins away selling toiletries to booze. First 
thing was a drink at the spacious bar, served by the very friendly Russell 
(badge says supervisor) Great guy, very friendly. I went out for a walk, 
came back after lunch. Russell is still on. He made my day and is an asset 
to Travelodge. Obviously loves his job and leaves guests feeling happy Well 
done Travelodge ����Read moreDate of stay: August 20191 Helpful 
voteHelpfulShare</t>
  </si>
  <si>
    <t>https://www.tripadvisor.co.uk/Hotel_Review-g191265-d229508-Reviews-or570-Travelodge_Gatwick_Airport_Central-Horley_Surrey_England.html#REVIEWS</t>
  </si>
  <si>
    <t>phild1302 wrote a review Aug 2019Cardiff, United Kingdom39 contributions18 
helpful votes</t>
  </si>
  <si>
    <t>Overnight StayCan't fault the hotel at all. Great value for money, clean and tidy, with 
very friendly staff. Whilst there were 5 of us in a family room there was 
plenty of space and being on the top floor the kids had a great view of the 
flights coming in and out. Would definitely use again.Read moreDate of 
stay: August 2019HelpfulShare</t>
  </si>
  <si>
    <t>Matthew C wrote a review Aug 20191 contribution</t>
  </si>
  <si>
    <t>Terrible service from bar/kitchenBefore I make my complaint, I just want to make it clear that the short 
woman with blond highlights wearing a white shirt working behind the bar 
tonight (I assume she was in charge) was rushed off her feet running around 
and working very hard. However she was let down by staff not having a clue 
what they were doing. Firstly, behind the bar a young man stopped serving 
customers because he needed to change the best ceg. However after running 
around for ten minutes (not serving anyone) looking for a key or card or 
something, he then admitted to his boss that he didnt know how to change 
the ceg, so she had to do it for him. Secondly, i ordered a veggie supreme 
pizza. I am a vegetarian. After a long wait i was handed a box from someone 
on the kitchen. I asked 'veggie supreme?'. He…Read moreDate of stay: August 
2019HelpfulShareResponse from TravelodgeUK, James from the Social Media 
Team at Travelodge Gatwick Airport CentralResponded 12 Aug 2019Thank you 
for reviewing our Travelodge Gatwick Airport Central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</si>
  <si>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Simonts81 wrote a review Aug 2019Swindon, United Kingdom27 contributions</t>
  </si>
  <si>
    <t>Grim but what you should probably expect from a £40 TravelodgeCheck-in was ok apart itedfrom the staff member struggling to type in a 
rather normal surname, room seemed initially ok but a deeper look revealed 
a lot of issues for a hotel that was apparently refit. There were several 
large stains on the carpet, marks on the bedding..a lot of long hair on the 
pullout bed made for our son and quite a lot of greasy marks on the wall. 
The bathroom door and handles look ancient and cheaply covered in paint to 
try and hide their age. The shower curtain was going brown and needed 
replacing, it seems like someone had bothered to replace the taps and the 
grouting/panels but the bath was old and rusting around the plug.the towels 
were dirty looking with stains/black marks. In the Reception area neither 
of the vending machines contactless devices…Read moreReview collected in 
partnership with TravelodgeDate of stay: August 2019HelpfulShareResponse 
from TravelodgeUK, James from the Social Media Team at Travelodge Gatwick 
Airport CentralResponded 12 Aug 2019Thank you for reviewing our Travelodge 
Gatwick Airport Central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</si>
  <si>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https://www.tripadvisor.co.uk/Hotel_Review-g191265-d229508-Reviews-or575-Travelodge_Gatwick_Airport_Central-Horley_Surrey_England.html#REVIEWS</t>
  </si>
  <si>
    <t>katiek20162016 wrote a review Aug 2019Newcastle upon Tyne, United Kingdom20 
contributions4 helpful votes</t>
  </si>
  <si>
    <t>Not very cleanThere were two dirty glasses left in the corridor outside my room on my 
arrival and the corridor generally didn't seem very clean. The bathroom and 
towels smelt bad which was just not nice when taking a shower. I walked 
from a local bus stop in the dark and there was no pavement on the hotel 
drive so I had to walk in the road!Read moreReview collected in partnership 
with TravelodgeDate of stay: August 20191 Helpful voteHelpfulShareResponse 
from TravelodgeUK, Ben from the Social Media Team at Travelodge Gatwick 
Airport CentralResponded 11 Aug 2019Thank you for taking the time to write 
a review about our Gatwick Airport Central hotel. We're sorry to hear your 
room was not up to the usual high standard of cleanliness we would have 
wished for you and we are sorry to learn of your disappointment with the 
access to the hotel. We appreciate all the feedback we receive and our 
Hotel Managers regularly review their TripAdvisor reviews in order to fix 
any issues raised and pass on feedback to their team. Thank you once again 
and we do hope you will stay with us in the future.Read more</t>
  </si>
  <si>
    <t>SharonBDorset wrote a review Aug 2019Wimborne, United Kingdom17 
contributions2 helpful votes</t>
  </si>
  <si>
    <t>Excellent value for money. Fab Location.Excellent budget hotel ideal for flights from Gatwick. Cheap rooms and fab 
food. Easy to get to with shuttle bus service although bus prices have 
risen so the Taxi is cheaper for two or more travellers.Read moreReview 
collected in partnership with this hotelDate of stay: August 
2019HelpfulShare</t>
  </si>
  <si>
    <t>Richard P wrote a review Aug 2019Bridgend, United Kingdom7 contributions5 
helpful votes</t>
  </si>
  <si>
    <t>Great Gatwick HotelMy wife and I stayed here for one night, and as with most Travelodge 
hotels, the bed was very comfortable and the room has a TV and tea/coffee 
making facility and an en-suit bathroom with shower/bath, toilet and sink. 
Very clean hotel which has an on site restaurant and bar serving a good 
range of food, but a little pricy, but with nothing close by if you're 
hungry you pay the prices. Good selection for breakfast in the morning with 
cereal, continental, and cooked available on an all you can eat basis, 
really good value. No external (airport close by) or internal noise meant a 
good nights sleep. Will be returning.Read moreReview collected in 
partnership with this hotelDate of stay: August 2019HelpfulShare</t>
  </si>
  <si>
    <t>https://www.tripadvisor.co.uk/Hotel_Review-g191265-d229508-Reviews-or580-Travelodge_Gatwick_Airport_Central-Horley_Surrey_England.html#REVIEWS</t>
  </si>
  <si>
    <t>JOHN P wrote a review Aug 2019Bath, United Kingdom359 contributions218 
helpful votes</t>
  </si>
  <si>
    <t>Clean and functionalOvernighted here, large car park - comfortable stay, nice bar area with 
helpful friendly staff. Reasonable food 24hrs and a breakfast buffet which 
was excellant. Bus to airport from outside £4. Would stay again.Read 
moreDate of stay: July 2019HelpfulShare</t>
  </si>
  <si>
    <t>Wendy K wrote a review Aug 20196 contributions5 helpful votes</t>
  </si>
  <si>
    <t>Perfect overnight stayThe ideal place to stay if you need an overnight stay at Gatwick airport. 
Only a few minutes from the terminals, spotless, great staff, and the 
shuttle bus runs all night. The rooms are bright and modern with everything 
you need. The biggest bonus is that there has obviously been a lot of 
thought to reducing noise, all the doors close quietly and the rooms appear 
to be sound proofed.Read moreReview collected in partnership with this 
hotelDate of stay: July 2019HelpfulShare</t>
  </si>
  <si>
    <t>emmanic96 wrote a review Aug 20191 contribution1 helpful vote</t>
  </si>
  <si>
    <t>No lights and poor staffGatwick- staff are miserable, and unhelpful. There was no soap in the 
dispensers and in the morning there were no lights and we had to shower in 
the dark. As we were catching a flight we didn’t have time to alert anyone, 
but when we did on check out, there was no apology and they shrugged said 
it was probably a fuse and walked off.Read moreReview collected in 
partnership with TravelodgeDate of stay: August 20191 Helpful 
voteHelpfulShareResponse from TravelodgeUK, Tilly from The Social Media 
Team at Travelodge Gatwick Airport CentralResponded 9 Aug 2019Thank you for 
submitting your review of our Gatwick Airport Central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</si>
  <si>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https://www.tripadvisor.co.uk/Hotel_Review-g191265-d229508-Reviews-or585-Travelodge_Gatwick_Airport_Central-Horley_Surrey_England.html#REVIEWS</t>
  </si>
  <si>
    <t>William O wrote a review Aug 2019Hammamet, Tunisia2 contributions</t>
  </si>
  <si>
    <t>ExcellentWe had a positive experience at Travelodge Gatwick. The family room was 
very clean and the facilities were excellent! AC, TV, tea/coffee, wifi and 
ensuite. The restaurant offered a great selection of food. Great hotel at 
an affordable cost.Read moreReview collected in partnership with 
TravelodgeDate of stay: August 2019HelpfulShare</t>
  </si>
  <si>
    <t>https://www.tripadvisor.co.uk/Hotel_Review-g186338-d1812157-Reviews-or730</t>
  </si>
  <si>
    <t>oliviastafford16 wrote a review Aug 2019Rugeley, United Kingdom1 
contribution</t>
  </si>
  <si>
    <t>Great overnight stayStayed after a late night flight and service was fantastic, kitchen/ bar 
staff made us a pizza, travelodge plus hotel was great to stay in very 
modern, rooms clean and roomy, would of liked to stayed there longer, best 
travel lodge we’ve stayed inRead moreReview collected in partnership with 
TravelodgeDate of stay: August 2019HelpfulShare</t>
  </si>
  <si>
    <t>chris l wrote a review Aug 2019London, United Kingdom5 contributions7 
helpful votes</t>
  </si>
  <si>
    <t>if you spend millions on a refurb why not sort the bathroomok as expected, not as near the airport as I had thought. need to get a bus 
which failed to show as timetabled but the later one did turn up. stayed 
there because of price and would stay again if cheapestRead moreReview 
collected in partnership with TravelodgeDate of stay: July 2019HelpfulShare</t>
  </si>
  <si>
    <t>https://www.tripadvisor.co.uk/Hotel_Review-g191265-d229508-Reviews-or590-Travelodge_Gatwick_Airport_Central-Horley_Surrey_England.html#REVIEWS</t>
  </si>
  <si>
    <t>Brian wrote a review Aug 2019March, United Kingdom3 contributions</t>
  </si>
  <si>
    <t>Overnight stayThe travelodge is located very close to the Airport and long stay car 
parking sites. The hotel itself is very clean and luxurious. The bedrooms 
are a good size with a very comfortable bed. The breakfast was reasonable 
for the price.Read moreReview collected in partnership with TravelodgeDate 
of stay: July 2019HelpfulShare</t>
  </si>
  <si>
    <t>https://www.tripadvisor.co.uk/Hotel_Review-g191265-d229508-Reviews-or595-Travelodge_Gatwick_Airport_Central-Horley_Surrey_England.html#REVIEWS</t>
  </si>
  <si>
    <t>linda19652018 wrote a review Aug 2019Portsmouth, United Kingdom17 
contributions1 helpful vote</t>
  </si>
  <si>
    <t>Great start and finish to holidayEasy to get to from Gatwick, bus stops outside front reception. Lovely 
friendly welcome even though it's was 2am. Room was large, clean and had 
everything you needed. Didn't bother with WiFi so not sure on this. Had 
evening meal which was reasonable price and very nice. Definitely 
recommendRead moreReview collected in partnership with TravelodgeDate of 
stay: August 2019HelpfulShare</t>
  </si>
  <si>
    <t>Voyage11952704329 wrote a review Aug 2019London, United Kingdom2 
contributions</t>
  </si>
  <si>
    <t>Night before flightGood clean rooms which were great value. Efficient and easy check-in and on 
top of the airport. Ideal for the night before an early flight. The beds 
were clean and comfortable and rooms spacious. The breakfast was good and 
the restaurant not bad value for moneyRead moreReview collected in 
partnership with this hotelDate of stay: July 2019HelpfulShare</t>
  </si>
  <si>
    <t>https://www.tripadvisor.co.uk/Hotel_Review-g191265-d229508-Reviews-or600-Travelodge_Gatwick_Airport_Central-Horley_Surrey_England.html#REVIEWS</t>
  </si>
  <si>
    <t>Breakaway47 wrote a review Aug 2019London, United Kingdom117 
contributions49 helpful votes</t>
  </si>
  <si>
    <t>ExcellentAll was good , clean , comfortable bed , all the amenities you need ,easy 
check in , easy to find , friendly and helpful staff . easy parking ( pre 
booked ) . Excellent for a pre holiday flight night stay .Read moreReview 
collected in partnership with this hotelDate of stay: July 2019HelpfulShare</t>
  </si>
  <si>
    <t>Norman W wrote a review Aug 2019Barnstaple, United Kingdom4 contributions</t>
  </si>
  <si>
    <t>So close to the airportFirst stay here and it was perfect , so close to the airport you can walk 
there . Bar was great food superb , room and bed were great . Will 
definitely use it again and would highly recommend it. Plenty of parking 
outside.Read moreReview collected in partnership with TravelodgeDate of 
stay: July 2019HelpfulShare</t>
  </si>
  <si>
    <t>eleciasmith1 wrote a review Jul 2019London, United Kingdom1 contribution</t>
  </si>
  <si>
    <t>One night stay at Travel LodgeWe stayed at Travel Lodge as it was close to Gatwick, and we were going on 
holiday the previous day. We had never stayed in a Travel Lodge hotel 
before, so we had no idea what we would encounter, but we were pleasantly 
surprised.Read moreReview collected in partnership with TravelodgeDate of 
stay: July 2019HelpfulShare</t>
  </si>
  <si>
    <t>https://www.tripadvisor.co.uk/Hotel_Review-g191265-d229508-Reviews-or605-Travelodge_Gatwick_Airport_Central-Horley_Surrey_England.html#REVIEWS</t>
  </si>
  <si>
    <t>taldridge2019 wrote a review Jul 2019Cambridge, United Kingdom1 contribution</t>
  </si>
  <si>
    <t>Overnight stayGood for an overnight stay Room was fine &amp; beds very comfy Location is very 
close to the terminals Only let down was slow service in the 
restaurant.......not good when you have 2 small children with youRead 
moreReview collected in partnership with TravelodgeDate of stay: July 
2019HelpfulShare</t>
  </si>
  <si>
    <t>G A wrote a review Jul 201911 contributions15 helpful votes</t>
  </si>
  <si>
    <t>professional,clean &amp; comfortable!Our flight was delayed, so we missed our train home. our daughter booked a 
room for us for 1 night,including breakfast. We had a family room, Clean 
and spacious. Clean white towels,Tea/coffee making, Air conditioning. Next 
morning, we had a lovely breakfast.Staff are very good, the prices are very 
reasonable. Daughter is staying 1 night with her partner,.flying on a early 
flight to Greece. We highly recommend.Read moreDate of stay: July 
2019HelpfulShare</t>
  </si>
  <si>
    <t>morleyc22 wrote a review Jul 20191 contribution</t>
  </si>
  <si>
    <t>Good locationIt is what you would expect from a no frills Hotel. Convenient for the 
Airport but lacks any ambience. Most of the staff showed little or no 
customer service. Bar staff knowledge of drink was very poor.Read 
moreReview collected in partnership with TravelodgeDate of stay: July 
2019HelpfulShare</t>
  </si>
  <si>
    <t>eugenebrotto . wrote a review Jul 20192 contributions</t>
  </si>
  <si>
    <t>Bring your own sheets, pillowcases and soaps!Disgusting hotel! I know it's for transients landing late at Gatwick, but 
come on! Watered down, non-existent soaps, smelly pillowcases, beds not 
made well (sheets not put on properly). The carpet running through the 
halls should have been removed and burned 10 years ago. The staff were 
polite and as helpful as they could be, but they had nothing to work with. 
Michael at front desk did his best by offering us the complimentary 
breakfast, which had amazing coffee. The rest of breakfast was just ok. He 
also upgraded us to the "business class" room, which was the same as 
regular room, except that it had a hair dryer and a different chair. I 
would be more than happy to pay a little more and stay somewhere clean! Not 
worth the savings, sorry!Read moreReview collected in partnership with 
TravelodgeDate of stay: July 2019HelpfulShareResponse from TravelodgeUK, 
James from the Social Media Team at Travelodge Gatwick Airport 
CentralResponded 31 Jul 2019Thank you for reviewing our Travelodge Gatwick 
Airport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</si>
  <si>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Eowidith wrote a review Jul 20196 contributions</t>
  </si>
  <si>
    <t>Poor cleaning and maintenanceNothing special about the hotel, ok if you want a quick overnight for the 
airport. Paying for a car parking ticket is cumbersome, no logical way of 
doing this other than to just pay at the machine and walk all the way back 
to your car. I had repeated issues with heating on in the rooms in hot 
weather, aircon not working in multiple rooms, I reported this every 
morning and evening and was told it was fixed when it clearly had never 
been looked at. There was no kettle in my room, only a coffee machine which 
wouldn't work without a coffee capsule in it, so no hot water for tea etc. 
The cleaners were throwing bin contents (non-flushable wipes etc) down the 
toilet too and to top it all off, I found a mouse dropping in my bathroom 
on a recent stay, with no escalation or contact at…Read moreReview 
collected in partnership with TravelodgeDate of stay: July 
2019HelpfulShareResponse from TravelodgeUK, Shaf from the Social Media 
Team. at Travelodge Gatwick Airport CentralResponded 31 Jul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</si>
  <si>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https://www.tripadvisor.co.uk/Hotel_Review-g191265-d229508-Reviews-or610-Travelodge_Gatwick_Airport_Central-Horley_Surrey_England.html#REVIEWS</t>
  </si>
  <si>
    <t>Sarah C wrote a review Jul 20191 contribution</t>
  </si>
  <si>
    <t>Mrs CatleyOvernight stay with a party of 11. Rooms comfortable and clean. We decided 
to eat an evening meal in the cafe on ground floor. Extremely busy due to 
an off loaded delayed flight which meant kitchen and waiting staff were 
pushed to capacity. There was a delay on the food wait time but we were 
more than compensated by Sarah ( the Supervisor) and her excellent and 
hardworking team of staff who offered us all Complimentary drinks from the 
bar and desserts. Excellent value and the gratuitous food and drinks were 
very much appreciated by our large party. Many thanks - Great service in 
difficult circumstances. Well done!Read moreDate of stay: July 
2019HelpfulShare</t>
  </si>
  <si>
    <t>thelawrences20172019 wrote a review Jul 20191 contribution</t>
  </si>
  <si>
    <t>2 thumbs upgood convenient place for the travelling guest, sensible staff, decent 
facility competitive price and good transport links to airport. Would 
recommend for families on short stay through UK and need decent place close 
to airport to stayRead moreReview collected in partnership with this 
hotelDate of stay: July 2019HelpfulShare</t>
  </si>
  <si>
    <t>Venture791301 wrote a review Jul 20197 contributions2 helpful votes</t>
  </si>
  <si>
    <t>HolidayStated here overnight as a stopover to start our holidays and would 
definitely recommend to anyone. The rooms were clean &amp; quiet. Beds were 
comfortable. Food was good and the shuttle bus from the hotel to/from 
Gatwick Airport and train station was frequent and cheap.Read moreDate of 
stay: July 20191 Helpful voteHelpfulShare</t>
  </si>
  <si>
    <t>Magee1959 wrote a review Jul 2019Melbourne, Australia21 contributions6 
helpful votes</t>
  </si>
  <si>
    <t>Convenient to Gatwick Airport for a pre flight stayThe hotel was clean , rooms large and well appointed, shuttle bus was very 
convenient and easy to use stopping and picking up right at the door every 
20 min. staff were very helpful giving me extra milk for my own breads I 
was flying early .Read moreReview collected in partnership with 
TravelodgeDate of stay: July 20191 Helpful voteHelpfulShare</t>
  </si>
  <si>
    <t>https://www.tripadvisor.co.uk/Hotel_Review-g191265-d229508-Reviews-or615-Travelodge_Gatwick_Airport_Central-Horley_Surrey_England.html#REVIEWS</t>
  </si>
  <si>
    <t>lawrencem954 wrote a review Jul 2019Elk Grove, California14 contributions2 
helpful votes</t>
  </si>
  <si>
    <t>Not recommended.Our room was supposed to be a king. We were placed in a double bed room 
except they took out one of the beds. Just left an empty space. Rugs are 
well stained, bath room dirty (nail clippings on floor and the shower was 
just stupid. Only liquid soap but no wash cloths.Read moreReview collected 
in partnership with TravelodgeDate of stay: July 2019HelpfulShareResponse 
from TravelodgeUK, Niki from The Social Media Team at Travelodge Gatwick 
Airport CentralResponded 28 Jul 2019Thank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t>
  </si>
  <si>
    <t>D7860PGalina wrote a review Jul 2019Huntingdon, United Kingdom1 
contribution1 helpful vote</t>
  </si>
  <si>
    <t>Excellent!The best choice if you need to fly from Gatwick airport ( north or south 
terminal) .Quite place ,comfortable beds and every 15 min you have bus (in 
front of hotel ) for terminals wich is £4 per adult.Read moreReview 
collected in partnership with this hotelDate of stay: July 20191 Helpful 
voteHelpfulShare</t>
  </si>
  <si>
    <t>Simon Ferris wrote a review Jul 20191 contribution</t>
  </si>
  <si>
    <t>https://www.tripadvisor.co.uk/Hotel_Review-g186338-d1812157-Reviews-or735</t>
  </si>
  <si>
    <t>Business tripHad to stay here during a tiring leg of my business trip. Made that little 
bit better by the staff member who I spoke to- name of Lauren I believe. 
Top staff member always polite to me in the duration of my stay.Read 
moreDate of stay: July 2019HelpfulShare</t>
  </si>
  <si>
    <t>Resort508850 wrote a review Jul 20191 contribution</t>
  </si>
  <si>
    <t>Great value for moneyLoved my room' nice and cool' beautiful view' Lovely surroundings' wish I 
had time to stay longer. Hope to take my son and his family soon. Excellent 
base for a few days break. Hope to go to Brighton or by the sea somewhere 
.Read moreReview collected in partnership with TravelodgeDate of stay: July 
2019HelpfulShare</t>
  </si>
  <si>
    <t>Remainannonymous wrote a review Jul 2019London, United Kingdom1 contribution</t>
  </si>
  <si>
    <t>Convenient, Comfortable and Good Value for money.We stayed here recently, just for a couple of nights. It was not planned in 
advance but we found it very easy to book last minute. Location is great, 
just a few minutes from the airport by shuttle bus (walking is probably not 
an option especially with bags due to the road/mororway traffic). Ulimited 
breakfast is definitely worth it. Dinner and drinks can work out quite 
costly if you were to go for that option, but they do have offers on ie. 
Happy Hour or 2 Course Meal for approx £15.00pp. Staff were friendly, rooms 
were clean and comfortable. Worth staying should you need somewhere close 
to the airport for 1 or 2 nights. Would stay here again should I need 
to.Read moreReview collected in partnership with TravelodgeDate of stay: 
July 2019HelpfulShare</t>
  </si>
  <si>
    <t>https://www.tripadvisor.co.uk/Hotel_Review-g191265-d229508-Reviews-or620-Travelodge_Gatwick_Airport_Central-Horley_Surrey_England.html#REVIEWS</t>
  </si>
  <si>
    <t>Richard W wrote a review Jul 2019Bulmer, United Kingdom1 contribution</t>
  </si>
  <si>
    <t>Great way to set off.We were very pleased with Travelodge it was very modern, clean and 
comfortable. The reception staff were polite and friendly. The meal was 
good to and not expensive. We will definitely use them again.Read 
moreReview collected in partnership with this hotelDate of stay: July 
2019HelpfulShare</t>
  </si>
  <si>
    <t>suemitchell88 wrote a review Jul 2019Teignmouth, United Kingdom2 
contributions1 helpful vote</t>
  </si>
  <si>
    <t>Overnight stayStayed overnight for a family get together next day.Everything good , good 
night sleep,no noise from the floor above. Do have to consider car parking 
fees although good value at £8 all day &amp; night. We would stay againRead 
moreReview collected in partnership with TravelodgeDate of stay: July 
2019HelpfulShare</t>
  </si>
  <si>
    <t>ivorhumphreyroberts wrote a review Jul 2019Rochester, United Kingdom1 
contribution1 helpful vote</t>
  </si>
  <si>
    <t>Good Value Hotel near Gatwick.Good value hotel near Gatwick. When selecting a hotel near Gatwick it is 
important to consider the cost of getting to and from the airport and 
hotel. Some hotels will mean a £25 or more taxi fare, both ways. This 
travelodge means a £4 bus fare. Bar prices a little steep, but its about a 
20 minute walk into Horley.Read moreReview collected in partnership with 
this hotelDate of stay: July 20191 Helpful voteHelpfulShare</t>
  </si>
  <si>
    <t>https://www.tripadvisor.co.uk/Hotel_Review-g191265-d229508-Reviews-or625-Travelodge_Gatwick_Airport_Central-Horley_Surrey_England.html#REVIEWS</t>
  </si>
  <si>
    <t>SarahW065 wrote a review Jul 2019Ascot, United Kingdom6 contributions8 
helpful votes</t>
  </si>
  <si>
    <t>Good for an over night stay before a flight.Basic budget room good value for an overnight stay before a trip. Room was 
fine. Staff were helpful and friendly on reception. Didn't try the 
breakfast. Shower worked fine and everything seemed clean.Read moreReview 
collected in partnership with TravelodgeDate of stay: July 2019HelpfulShare</t>
  </si>
  <si>
    <t>evey866 wrote a review Jul 2019San Antonio, Texas1 contribution</t>
  </si>
  <si>
    <t>Overnight stayHotel was great for an overnight stay before a long haul flight the next 
morning to the US. Only disappointment was the price of the bus from the 
airport to the hotel. $16.00 per person one way was ridiculous! If we had 
known, would have taken an Uber...Read moreReview collected in partnership 
with TravelodgeDate of stay: July 2019HelpfulShare</t>
  </si>
  <si>
    <t>tonawai wrote a review Jul 2019Dubai, United Arab Emirates1 contribution</t>
  </si>
  <si>
    <t>Excellent First class serviceThis was the best service I have ever experienced you really allowed me to 
enjoy my holiday thank you your staff showed the cared and went out of 
there way to make your stay pleasant the breakfast was the best and the 
service in that area was pleasant staff smiling with a good morning 
greetingRead moreReview collected in partnership with TravelodgeDate of 
stay: July 2019HelpfulShare</t>
  </si>
  <si>
    <t>Revduncan wrote a review Jul 2019Birmingham, United Kingdom1,995 
contributions147 helpful votes</t>
  </si>
  <si>
    <t>Clean, comfortable good value for moneyEven arriving at 3am all was well. We had booked but the only unfilled 
rooms were disabled rooms - not a problem. The refurb has uplifted the 
whole place. Bright, clean and crisp. Bed comfortable, good bathroom 
facilities. Quiet. The staff were friendly and welcoming. Very helpful. The 
frequent bus service to the airport is useful - currently £4 an adult each 
way - good to have right change. Children free. Even at 2am it was every 30 
minutes. The breakfast buffet is extensive and of superior quality to the 
usual stuff on offer. Branded baked beans, sausages that tasted as though 
they contained meat, nice bacon and scrambled egg made from free range 
British eggs. Coffee could do with improving though. Very happy to use this 
each time I need a bed at Gatwick. The APCOA parking…Read moreDate of stay: 
July 20192 Helpful votesHelpfulShare</t>
  </si>
  <si>
    <t>sarahjhall2019 wrote a review Jul 20191 contribution</t>
  </si>
  <si>
    <t>overnight stayclean and comfortable room. Good restaurant and bar. Extremely pleasant and 
helpful staff. Excellent access to the airport with frequent shuttle 
service. price very reasonable and competitive. Would stay again.Read 
moreReview collected in partnership with this hotelDate of stay: July 
2019HelpfulShare</t>
  </si>
  <si>
    <t>https://www.tripadvisor.co.uk/Hotel_Review-g191265-d229508-Reviews-or630-Travelodge_Gatwick_Airport_Central-Horley_Surrey_England.html#REVIEWS</t>
  </si>
  <si>
    <t>Mrs Fox wrote a review Jul 2019Derby, United Kingdom4 contributions</t>
  </si>
  <si>
    <t>Family break away!Really convenient overnight stay before Great evening before our family 
holiday to Morocco! Food was ok but not fabulous. Very relaxed atmosphere 
and easy check out and parking. Good transfer to the airport.Read 
moreReview collected in partnership with this hotelDate of stay: July 
2019HelpfulShare</t>
  </si>
  <si>
    <t>Emma wrote a review Jul 2019Leicester, United Kingdom6 contributions</t>
  </si>
  <si>
    <t>Excellent hotelMy fiance and I stayed at this hotel overnight before an early flight the 
next day - extremely convenient and value for money, would definitely 
recommend! Word of advice - use the shuttle bus to get there rather than a 
taxi, much cheaper for such a short journey.Read moreReview collected in 
partnership with TravelodgeDate of stay: July 2019HelpfulShare</t>
  </si>
  <si>
    <t>https://www.tripadvisor.co.uk/Hotel_Review-g191265-d229508-Reviews-or635-Travelodge_Gatwick_Airport_Central-Horley_Surrey_England.html#REVIEWS</t>
  </si>
  <si>
    <t>jenren1937 wrote a review Jul 2019Hereford, United Kingdom1 contribution1 
helpful vote</t>
  </si>
  <si>
    <t>SuperbI cannot rate this lovely place highly enough. Easy check in, easy check 
out. A warm welcome, with smiles, led to a stunning experience. A beautiful 
room with the bed from heaven and a bathroom sparklingly clean and very 
useable. Everything worked. Lashings of hot water, cosy, spotless, 
generously sized towels. Even the air con was simple to use and the t.v. 
was the right size for the room,controls easy. After a pleasant meal in the 
restaurant , generously sized portions, tasty, I retired for a very 
comfortable long night’s rest in a quiet and seemingly totally safe 
atmosphere. This is so important for a somewhat mature lady travelling 
alone. The only criticism I can offer is the price of breakfast and a 
system that charges the same for a piece of toast and a coffee as for 
a…Read moreReview collected in partnership with this hotelDate of stay: 
July 20191 Helpful voteHelpfulShare</t>
  </si>
  <si>
    <t>wendysK4675TK wrote a review Jul 2019Gosport, United Kingdom2 contributions</t>
  </si>
  <si>
    <t>Very comfortable stayThe room was very comfortable and the staff very helpful. Breakfast was 
very tasty and plenty to eat. Restaurant was very clean and tidy. Music in 
the reception area was very calming, I did not leave the room till late and 
this was not a problem. Overall the experience was very pleasant.Read 
moreReview collected in partnership with TravelodgeDate of stay: July 
2019HelpfulShare</t>
  </si>
  <si>
    <t>leeswansea wrote a review Jul 2019Swansea, United Kingdom86 contributions23 
helpful votes</t>
  </si>
  <si>
    <t>USUAL HIGH STANDARD BUT..Our stay was very comfortable. The super room was perfect for our 
requirments and good value with the evening meal (very nice) and breakfast 
good. The hotel was super easy to get to from and back to Gatwick next 
morning before we flew. The style of the restaurant isnt very pleasant , it 
may be attempting to be modern but its really quite stark. Staff were all 
great at reception and restaurant. Just one unhelpful man bun on reception 
when looking for a cash point as theirs was out of order - go to the garage 
over the way - in fact the hotel next door (about 50 yards has one) It 
would have been nice to know instead of treking to the garage in the heat 
to find its cashpoint was also o.o.o. Well worth visiting again if we have 
the need.Read moreDate of stay: July 2019HelpfulShare</t>
  </si>
  <si>
    <t>https://www.tripadvisor.co.uk/Hotel_Review-g186338-d1812157-Reviews-or740</t>
  </si>
  <si>
    <t>clareW3576XV wrote a review Jul 20192 contributions</t>
  </si>
  <si>
    <t>One night stop overEasy access from motorway Great location for both terminals Parking, comfy 
bed, clean room, great value at £39 for one night stop over, stayed in 
ground floor room located on the car park side but wasn't disturbed by the 
noise of bus transfers, cars or people and cases so that was a bonus Paid 
£12 for car parking for 24 hours, but could have got for £8 if gone in to 
the Travelodge first before paying for parking note to other travellers to 
do so Shuttle bus 10 mins from both terminals £4 cash only each way Would 
recommend to stay here if needing a stop over before or after flights from 
GatwickRead moreReview collected in partnership with TravelodgeDate of 
stay: July 2019HelpfulShare</t>
  </si>
  <si>
    <t>https://www.tripadvisor.co.uk/Hotel_Review-g191265-d229508-Reviews-or640-Travelodge_Gatwick_Airport_Central-Horley_Surrey_England.html#REVIEWS</t>
  </si>
  <si>
    <t>fenlandgirl2019 wrote a review Jul 20192 contributions2 helpful votes</t>
  </si>
  <si>
    <t>Great stay, convenient locationGreat location (not far from airport yet still quiet), Hotel has recently 
been renovated and the rooms and restaurant are now all nicely furnished 
with good facilities. Did not have dinner at the hotel, but the breakfast 
buffet was plentiful and hot. Would definitely stay here againRead 
moreReview collected in partnership with this hotelDate of stay: July 
2019HelpfulShare</t>
  </si>
  <si>
    <t>Kayla R wrote a review Jul 20191 contribution</t>
  </si>
  <si>
    <t>Amazing Staff but Far Away!We had to stay here for two nights because of a cancellation in our flight 
and it was definitely an adventure. The aspect that stood out to me the 
most was an amazing receptionist named Hamedi (hope I spelt that right!). 
She took care of us and really made the stay so enjoyable! Other than that, 
hotel is clean and comfortable, but super far away from everything. An okay 
stay for one night to catch a flight, but definitely not the best option 
for actually staying in London. Especially if you don’t have access to a 
car. Also, kinda weird that the hotel doesn’t serve food between meals, so 
make sure you wake up on time if you plan to eat on site!Read moreDate of 
stay: July 2019HelpfulShare</t>
  </si>
  <si>
    <t>Jane T wrote a review Jul 201910 contributions4 helpful votes</t>
  </si>
  <si>
    <t>Excellent locationThe Hotel is well placed to leave the car when travelling abroad and is 
well serviced by the regular airport shuttle buses. You know what you are 
going to get when staying at a Travelodge and this hotel met those 
expectations.Read moreReview collected in partnership with TravelodgeDate 
of stay: July 2019HelpfulShare</t>
  </si>
  <si>
    <t>https://www.tripadvisor.co.uk/Hotel_Review-g191265-d229508-Reviews-or645-Travelodge_Gatwick_Airport_Central-Horley_Surrey_England.html#REVIEWS</t>
  </si>
  <si>
    <t>O5606BEhelena wrote a review Jul 2019County Mayo, Ireland1 contribution</t>
  </si>
  <si>
    <t>Lovely modern TravelodgeTravelodge in ideal location for stopover at Gatwick. Very modern and 
trendy vibe. Receptionist, young male, very attentive. Room very 
comfortable with coffee making facilities and bathroom very clean.Read 
moreReview collected in partnership with TravelodgeDate of stay: July 
2019HelpfulShare</t>
  </si>
  <si>
    <t>EmmaABZ wrote a review Jul 2019Aberdeen, United Kingdom148 contributions63 
helpful votes</t>
  </si>
  <si>
    <t>Truly recommendedMy husband and I stayed here for one night - we had an early flight from 
Gatwick. The room we booked (not an upgraded one) was absolutely impeccably 
clean and spacious. We had dinner in the hotel (and breakfast the next day) 
and we simply couldn’t fault it: simple, very well cooked and tasty. The 
meal price was very reasonable and the staff couldn’t have been more 
helpful, nice and polite. If you need a one night stay over, do not 
hesitate to book here - truly really worth it.Read moreDate of stay: May 
2019HelpfulShare</t>
  </si>
  <si>
    <t>abeedie64 wrote a review Jul 2019Witney, United Kingdom1 contribution</t>
  </si>
  <si>
    <t>1 night stay before our holiday.Good for what we wanted, reasonably priced and very close to Gatwick 
Airport. Also ate in the restaurant and found the food ok (party included 2 
vegetarians and 1 vegan all catered for). Room spacious clean and tidy. 
Stayed in room 101.Read moreReview collected in partnership with this 
hotelDate of stay: July 2019HelpfulShare</t>
  </si>
  <si>
    <t>jwallllll wrote a review Jul 20194 contributions</t>
  </si>
  <si>
    <t>House keeper checksSomeone should be checking the rooms to ensure they are clean. E.G the 
remote control cups and spoons toilet and sick Table Shower Curtin Bin not 
clean inside because they just put another bin liner to cover rather than 
clean inside remote control used by all needs to be cleaned daily. They 
fill with dust and dirt Dust on the window this is not hard to doRead 
moreReview collected in partnership with TravelodgeDate of stay: July 
2019HelpfulShareResponse from TravelodgeUK, Niki from The Social Media Team 
at Travelodge Gatwick Airport CentralResponded 14 Jul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</si>
  <si>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https://www.tripadvisor.co.uk/Hotel_Review-g191265-d229508-Reviews-or650-Travelodge_Gatwick_Airport_Central-Horley_Surrey_England.html#REVIEWS</t>
  </si>
  <si>
    <t>Eric A wrote a review Jul 2019Sudbury, United Kingdom127 contributions28 
helpful votes</t>
  </si>
  <si>
    <t>Nearby to Gatwick for overnight stayCar park nearly full when we arrived. Charge £8/24hrs. Rooms-normal 
Travelodge standard. I think it has been refurbished. Clean. You can park 
here whilst on holiday with shuttle bus to airport. I think there is a 
charge .Read moreDate of stay: June 2019HelpfulShare</t>
  </si>
  <si>
    <t>caitlinmir wrote a review Jul 2019Portsmouth8 contributions6 helpful votes</t>
  </si>
  <si>
    <t>Brilliant nights sleepGot back at just after midnight. Reception were there and we checked in 
really quickly. Room was spotless. We were on the 4th floor and it was 
really quiet. Breakfast was delicious - has everything you could want. Paid 
the extra £10 to delay checkout which meant we did not have to rush. Will 
be booking this hotel again when I go away next year.Read moreReview 
collected in partnership with this hotelDate of stay: July 2019HelpfulShare</t>
  </si>
  <si>
    <t>Zulfi H wrote a review Jul 20193 contributions</t>
  </si>
  <si>
    <t>Travelodge Gatwick CentralThe hotel was clean, comfortable and specious. Rooms were big, however 
seating capacity in the room was low. Just two small chairs. Room was 
clean, bed was also very comfortable. Clean bathroom with tub, however no 
hair dryer. No mini bar was available, neither the safe deposit box. From 
Gatwick, hotels shuttles are available (G1 and G2) charges GBP 4.Read 
moreReview collected in partnership with TravelodgeDate of stay: July 
2019HelpfulShare</t>
  </si>
  <si>
    <t>491katie wrote a review Jul 20191 contribution</t>
  </si>
  <si>
    <t>Dirty TowelsThe towels were dirty and the shower had someone else's hair in 
it.........To specify, the folded towels in the bathroom clearly had dirt 
and someone else's hair in it. There was also a weird smell in the 
room.Read moreReview collected in partnership with TravelodgeDate of stay: 
July 2019HelpfulShareResponse from TravelodgeUK, Shaf from the Social Media 
Team. at Travelodge Gatwick Airport CentralResponded 11 Jul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</si>
  <si>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https://www.tripadvisor.co.uk/Hotel_Review-g191265-d229508-Reviews-or655-Travelodge_Gatwick_Airport_Central-Horley_Surrey_England.html#REVIEWS</t>
  </si>
  <si>
    <t>dave20144 wrote a review Jul 2019Essex, United Kingdom36 contributions9 
helpful votes</t>
  </si>
  <si>
    <t>Comfortable, clean, easy check-inStayed the night before an early flight. Comfortable and quiet (despite 
being near the airport!), clean and a very easy self check-in system. Would 
happily do again ahead of our next trip. Complimentary tea and Kit-Kats 
even better!Read moreReview collected in partnership with this hotelDate of 
stay: June 2019HelpfulShare</t>
  </si>
  <si>
    <t>Leahil01 wrote a review Jul 2019London, United Kingdom77 contributions14 
helpful votes</t>
  </si>
  <si>
    <t>Perfect for airpritThis is honestly a brilliant hotel for airport stay. It’s £4 for the bus 
which stops right outside. All new hotel and rooms are quite big. They also 
have automatic check in with the machines. Definitely recommendRead 
moreDate of stay: July 2019HelpfulShare</t>
  </si>
  <si>
    <t>929declanp wrote a review Jul 2019Waterford, Ireland8 contributions1 
helpful vote</t>
  </si>
  <si>
    <t>Top marksStayed in this hotel recently and will have to give full marks,beds were 
lovely and comfortable, room was spotless, reception staff were excellent 
on arriving, looking forward to my stay there August,Read moreDate of stay: 
June 2019HelpfulShare</t>
  </si>
  <si>
    <t>https://www.tripadvisor.co.uk/Hotel_Review-g191265-d229508-Reviews-or660-Travelodge_Gatwick_Airport_Central-Horley_Surrey_England.html#REVIEWS</t>
  </si>
  <si>
    <t>Jonathan T wrote a review Jul 20196 contributions1 helpful vote</t>
  </si>
  <si>
    <t>Very good overnight stayI stayed at the travelodge after coming in on a late flight to Gatwick. The 
room was great value for money, spacious, comfortable and bright. Check in 
at reception took a long time which is why I'm not rating it five stars. I 
would use this hotel again though if I was ever planning on staying close 
to the airport. Shuttle bus service okay although service should be free of 
charge or added to the booking. Not everyone has cash on them. But overall 
great stay.Read moreReview collected in partnership with TravelodgeDate of 
stay: July 2019HelpfulShare</t>
  </si>
  <si>
    <t>898Susan898 wrote a review Jul 2019United Kingdom99 contributions43 helpful 
votes</t>
  </si>
  <si>
    <t>Excellent LocationExcellent location. Shuttle bus to and from the travel lodge to Gatwick 
airport every 15 mins was excellent. Excellent room on ground floor was 
really quiet with TV and Internet/ Lounge and evening meal was good. Also 
reasonable prices.Read moreReview collected in partnership with 
TravelodgeDate of stay: June 2019HelpfulShare</t>
  </si>
  <si>
    <t>GoPlaces12714631614 wrote a review Jul 20191 contribution</t>
  </si>
  <si>
    <t>Overlay from flightGreat overnight stay from a late flight into the UK. Free tea and coffee in 
reception and Food ok and drinks at the bar plenty of choice. Great shuttle 
service back to the airport to. A very well thought addition to hotelRead 
moreReview collected in partnership with TravelodgeDate of stay: June 
2019HelpfulShare</t>
  </si>
  <si>
    <t>Gregory W wrote a review Jul 2019New York City, New York20 contributions18 
helpful votes</t>
  </si>
  <si>
    <t>Horrible experienceMy room didn’t have any bath wash and the AC didn’t work. I asked twice for 
help and the front desk person refused to do anything until 11pm. 
Apparently they don’t allow you to use the AC until you wait in line for 20 
minutes at the front desk to get help. There literally are 2 people there 
that will do anything while there are at least 3 people at the bar. I tried 
calling the front desk and the phone didn’t actually ring when I was 
standing in the lobby. So they just have a fake number to call them.Read 
moreDate of stay: July 2019HelpfulShareResponse from TravelodgeUK, Niki 
from The Social Media Team at Travelodge Gatwick Airport CentralResponded 8 
Jul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</si>
  <si>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Coastal22805843519 wrote a review Jul 2019Vancouver, Canada1 contribution</t>
  </si>
  <si>
    <t>comfortable rooms , great breakfastWe stayed on 3 different days, one night each time in June and July. Each 
room was comfortable, I like the nice big towels. The staff were very kind 
to give us a room with a bath the second stay as I had a stiff leg , much 
eased by a long soak. The desk lady tried hard to get the wi-fi to work 
with my old tablet.We did report that the short shower curtain should be 
replaced with one longer.in one room.Read moreReview collected in 
partnership with this hotelDate of stay: June 2019HelpfulShare</t>
  </si>
  <si>
    <t>https://www.tripadvisor.co.uk/Hotel_Review-g191265-d229508-Reviews-or665-Travelodge_Gatwick_Airport_Central-Horley_Surrey_England.html#REVIEWS</t>
  </si>
  <si>
    <t>Michael C wrote a review Jul 2019Augignac, France61 contributions16 helpful 
votes</t>
  </si>
  <si>
    <t>Convenient stayRefurbished, clean and comfortable room. Staff members very welcoming and 
helpful. Only criticism is that there is quite a lot of noise from next 
door bathrooms. I would stay again overnight but no longer than that.Read 
moreDate of stay: July 2019HelpfulShare</t>
  </si>
  <si>
    <t>lgraham015 wrote a review Jul 2019Las Vegas, Nevada95 contributions30 
helpful votes</t>
  </si>
  <si>
    <t>Good sleep, lovely staffOvernight stay between flights. Room and transfer all fine, but stay made 
exceptional by the kindness of the staff, especially Emma. I stupidly left 
my wallet in Inverness, and was very distressed. Emma comped me a free 
breakfast which saw me through til my next flight. Also, the breakfast was 
delicious.Read moreDate of stay: March 2019HelpfulShare</t>
  </si>
  <si>
    <t>Pioneer26276052495 wrote a review Jul 20191 contribution1 helpful vote</t>
  </si>
  <si>
    <t>Great location, value for money and comfort.Good location for the Gatwick airport. The Hotel Hoppa bus is reasonably 
priced at £4 per person and runs approximately every 15 minutes G1,G3 and 
possibly G7. The duration of the ride from hotel to terminal (North) is 
approximately 30 minutes as the bus stops at another hotel and the south 
terminal. The hotel is clean, beds comfortable, rooms clean, no complaints. 
Happy with my choice and will stay there again if needed.Read moreReview 
collected in partnership with TravelodgeDate of stay: July 20191 Helpful 
voteHelpfulShare</t>
  </si>
  <si>
    <t>Gary wrote a review Jul 2019Orpington, United Kingdom3 contributions1 
helpful vote</t>
  </si>
  <si>
    <t>Overnight stayPleasant staff, basic room but shower head dirty and mould around shower 
tray. Bedding was clean and room temp was fine. Evening food was very basic 
but edible. Drinks were expensive. Breakfast was ok with a good selection 
of food.Read moreReview collected in partnership with TravelodgeDate of 
stay: June 2019HelpfulShareResponse from TravelodgeUK, Ben from the Social 
Media Team at Travelodge Gatwick Airport CentralResponded 10 Jul 2019Thank 
you for taking the time to write a review about our Gatwick Airport Central 
hotel. We're pleased to hear that you found the hotel team to be pleasant 
and your bed was clean however we are sorry to learn of your disappointment 
with the cleaning standards in the bathroom, in such instances we would 
suggest to let our reception team know so that they can reallocate your 
room or fix the issues you have. We appreciate all the feedback we receive 
and our Hotel Managers regularly review their TripAdvisor reviews in order 
to fix any issues raised and pass on feedback to their team. If you wish to 
contact us directly to give us more feedback, please be aware that you can 
always contact our Customer Services team via our website. Thank you once 
again and we do hope you will stay with us in the future.Read more</t>
  </si>
  <si>
    <t>Paul22118 wrote a review Jul 2019Bexhill-on-Sea, United Kingdom41 
contributions31 helpful votes</t>
  </si>
  <si>
    <t>Close to GatwickThis Travelodge is well situated to the airport and easy to find. Beware 
that you have to pay extra, yes extra to park your car outside the front 
doors. There is a cafeteria style restaurant inside which is adequate for 
overnight stay. Rooms are clean and functional and while everyone of the 
staff was friendly and accommodating it is still a Travelodge and not a 
boutique hotel. Excellent pricing.Read moreReview collected in partnership 
with TravelodgeDate of stay: June 2019HelpfulShare</t>
  </si>
  <si>
    <t>https://www.tripadvisor.co.uk/Hotel_Review-g186338-d1812157-Reviews-or745</t>
  </si>
  <si>
    <t>https://www.tripadvisor.co.uk/Hotel_Review-g191265-d229508-Reviews-or670-Travelodge_Gatwick_Airport_Central-Horley_Surrey_England.html#REVIEWS</t>
  </si>
  <si>
    <t>Gerry H wrote a review Jul 201976 contributions10 helpful votes</t>
  </si>
  <si>
    <t>Really pleasant stayBooked 3 rooms for family travelling early the next day.The staff were very 
pleasant &amp; helpful.The rooms &amp; beds were very clean &amp; comfortable.They 
provide a kettle &amp; tea/ coffee etc.We all ate in the bar / restaurant &amp; 
were delighted with our food.It was also happy hour so that was a bonus. In 
the main reception you could make your own hot drinks which was a nice 
touch.In the morning the buses run every 20 minutes to the terminals &amp; cost 
£4 each .Will definitely stay here again.Read moreReview collected in 
partnership with this hotelDate of stay: June 2019HelpfulShare</t>
  </si>
  <si>
    <t>piratical wrote a review Jul 2019Jensen Beach, Florida178 contributions65 
helpful votes</t>
  </si>
  <si>
    <t>Good Decent RoomsOur first toom smelled of smoke. The rooms don't have AC, as most hotel 
rooms in UK do not. We slept good. The sheets were of nice quality. What 
made this hotel room very acceptable, is that they provided access to Cab 
to town, where we had our one last Italian meal at a great place downtown. 
They also provided shuttle to the airport. Remember, though! You MUST pay 
for the shuttle, which is about 4.60 pounds per person. They do take Euros 
in an emergency. The hotel has an ATM but our US ATM did not work. We 
literally had just enough cash to pay for it. haha Anyway, we made it to 
the airport in perfect time! Last night in London Gatwick worked out well. 
By the way, we took a train from London city to London Gatwick, then called 
an UBER. That worked well getting us to…Read moreDate of stay: July 
2019HelpfulShare</t>
  </si>
  <si>
    <t>PD123 wrote a review Jul 20195 contributions2 helpful votes</t>
  </si>
  <si>
    <t>Cheap but not greatWe booked this as we had an early flight the following the morning. The 
shuttle from the terminals to the hotel is £4pp each way, a little 
expensive I think. I know its cheap but I did expect more, the carpet in 
our room was dirty, the shower curtain let water through so the floor was 
soaking and the floor in the bathroom was filthy, the towel used was black 
after drying up the water. The bathroom has no ventilation which is 
horrible as everything ends up damp. The food in the restaurant is awful, 
don't waste money eating there, get something on your way or order a 
takeaway, which we did see some people do while we were there. The bed was 
comfortable and the lady who checked us in was nice and helpful.Read 
moreDate of stay: June 2019HelpfulShare</t>
  </si>
  <si>
    <t>Graham.IRL wrote a review Jul 2019Dublin, Ireland5 contributions5 helpful 
votes</t>
  </si>
  <si>
    <t>BasicYou pay for what you get. Pros: Location and beds were excellent. Cons. 
Rooms were very out dated but in good condition. Found body hairs in the 
toilet area so we moved room. Then the kettle blew up in my hand when I 
plugged it in, I am not exaggerating, complained to the manager and he 
offered me a meal to apologise and I accepted. Thankfully I was not hurt 
but was a scary experience. Due to not being properly looked after in the 
hotel I emailed a Clare in Travelodge Customer Services department but I 
was fobbed off because I was told I was given a free pizza and drink for 
what happened which was not the point. The pizza was burnt, not nice or 
ate. We ordered a takeaway instead as we were so hungry. I could see they 
were under staffed and they were doing their best in the…Read moreDate of 
stay: August 20181 Helpful voteHelpfulShareResponse from TravelodgeUK, 
Molly from the Social Media Team at Travelodge Gatwick Airport 
CentralResponded 4 Jul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</si>
  <si>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https://www.tripadvisor.co.uk/Hotel_Review-g191265-d229508-Reviews-or675-Travelodge_Gatwick_Airport_Central-Horley_Surrey_England.html#REVIEWS</t>
  </si>
  <si>
    <t>Bernie_on_holiday wrote a review Jul 2019Northampton, United Kingdom43 
contributions18 helpful votes</t>
  </si>
  <si>
    <t>Good hotel for Gatwick airportI booked a night at the travelodge because I had an early flight, because 
it's about 0.5 miles from the North Terminal and was reasonably priced. The 
rooms are good, spacious and clean. The air-con is set to either heat or 
cool and is controlled by the reception, when I stayed it was set to heat 
and I asked them to change it to change it to cool (which they happily 
did). Food and drinks are available at the hotel and there is only other 
hotels or a garage nearby. A free transit service runs between the various 
hotels and Gatwick airport north and south terminals and runs virtually 24 
hours a day. A timetable is kept at reception. It is walkable (0.5 miles) 
to the north terminal, albeit part of the way along a dual carriageway 
without any pavements.Read moreDate of stay: June 2019HelpfulShare</t>
  </si>
  <si>
    <t>https://www.tripadvisor.co.uk/Hotel_Review-g191265-d229508-Reviews-or680-Travelodge_Gatwick_Airport_Central-Horley_Surrey_England.html#REVIEWS</t>
  </si>
  <si>
    <t>JemmaGos wrote a review Jul 2019Hither Green20 contributions9 helpful votes</t>
  </si>
  <si>
    <t>Charges for shuttle to airportStaff here are friendly. However, I think the policies of this hotel need 
reviewing. I would expect that the shuttle bus - 3 mins to the airport are 
covered in your stay. Instead they are charged £4 each way per person. I’d 
also expect car parking to be free for the night of your stay. Will be 
looking for an alternative next time at Gatwick.Read moreDate of stay: July 
2019HelpfulShareResponse from TravelodgeUK, Shaf from the Social Media 
Team. at Travelodge Gatwick Airport CentralResponded 2 Jul 2019Thank you 
for reviewing our Gatwick Airport Central Travelodge. We're really pleased 
hear the hotel team were friendly and sorry to learn of your disappointment 
regarding the shuttle service charge. Unfortunately this service is not 
affiliated with Travelodge and this is not something we would be able to 
accommodate. Feedback is invaluable and our Hotel Managers regularly review 
their TripAdvisor reviews in order to fix any issues raised and pass on 
feedback to their team. Thank you once again and we do hope you will stay 
with us in the future.Read more</t>
  </si>
  <si>
    <t>LoftyPaul wrote a review Jul 2019Lincoln, United Kingdom7 contributions7 
helpful votes</t>
  </si>
  <si>
    <t>Travelodge GatwickExcellent hotel. Very clean and convenient for airport. Rooms were 
excellent and the restaurant was very good. All in all. Very good value for 
money. We will definitely use this hotel again. Thoroughly recommendedRead 
moreReview collected in partnership with this hotelDate of stay: June 
2019HelpfulShare</t>
  </si>
  <si>
    <t>GOMS2013 wrote a review Jul 2019Newcastle upon Tyne, United Kingdom723 
contributions193 helpful votes</t>
  </si>
  <si>
    <t>Good location and good parkingBooked here for the first time. Decent location, decent, quiet room and 
good aircon. Parking easy in the grounds and plenty of spaces (we were in 
school term time). Not walkable to the terminals and transfer coaches 
(operate 24/7) are quite frequent costing £4/adult/way. Evening food 
choices not good and quite expensive and drinks even more so. Did not try 
breakfast as we had an early flight.Read moreDate of stay: June 
2019HelpfulShare</t>
  </si>
  <si>
    <t>Tour07073045365 wrote a review Jul 20191 contribution</t>
  </si>
  <si>
    <t>I wouldn’t recommend this placeNo blow dryer, iron or ironing board in the room. You have to get them from 
reception. Iron drains out faster than you can blink when you put water in 
it. The ATM machine they have doesn’t even accepts international cards.Read 
moreReview collected in partnership with TravelodgeDate of stay: June 
2019HelpfulShareResponse from TravelodgeUK, Niki from The Social Media Team 
at Travelodge Gatwick Airport CentralResponded 2 Jul 2019Thank you for 
taking the time to review our hotel. We feel that we offer all that is 
needed for a comfortable night’s stay. We do not provide extras which other 
hotels may provide so we can keep our room rates low but please note that 
hair dryers and irons can be borrowed from the reception desk. Your 
feedback has been noted and we thank you once again for reviewing our 
hotel. We do hope you will stay with us in the future.Read more</t>
  </si>
  <si>
    <t>https://www.tripadvisor.co.uk/Hotel_Review-g191265-d229508-Reviews-or685-Travelodge_Gatwick_Airport_Central-Horley_Surrey_England.html#REVIEWS</t>
  </si>
  <si>
    <t>madholidayfan1979 wrote a review Jul 2019Brighton, United Kingdom12 
contributions9 helpful votes</t>
  </si>
  <si>
    <t>Good sleepStayed here in June 2019 with partner before flight. Beds are very comfy 
had a good night sleep . Stayed in a super room very spacious the coffee 
machine was good . Had a evening meal in bar cafe drinks were expensive . 
Meal was good but was long wait but when we ordered desert we had to wait 
ages and then they gave us one instead of 2 But were apologetic. they were 
friendly staff . Travelled to airport by bus which was very frequent and £3 
each way . Would stay againRead moreDate of stay: June 2019HelpfulShare</t>
  </si>
  <si>
    <t>GRAWISE wrote a review Jul 2019Hamble, United Kingdom51 contributions39 
helpful votes</t>
  </si>
  <si>
    <t>ConvenientAs described. Budget hotel with on site restaurant. Food selection good. 
Bus goes to south terminal first then north. Did not know this so only just 
made the plane. So leave yourself more time. Staff were all pleasant.Read 
moreReview collected in partnership with TravelodgeDate of stay: June 
2019HelpfulShare</t>
  </si>
  <si>
    <t>Carol K wrote a review Jun 2019London, United Kingdom31 contributions13 
helpful votes</t>
  </si>
  <si>
    <t>Good Location for GatwickVery clean and spacious, good value for overnight stay although price for 
drinks is very expensive, easy and regular transfer bus from main entrance 
to both terminals, lifts to all floors, although the car park gets quite 
busy early eveningRead moreReview collected in partnership with 
TravelodgeDate of stay: June 2019HelpfulShare</t>
  </si>
  <si>
    <t>https://www.tripadvisor.co.uk/Hotel_Review-g191265-d229508-Reviews-or690-Travelodge_Gatwick_Airport_Central-Horley_Surrey_England.html#REVIEWS</t>
  </si>
  <si>
    <t>649ericah wrote a review Jun 2019Lincolnshire, United Kingdom1 contribution</t>
  </si>
  <si>
    <t>Casual stayMy sister and I stayed so we could be close by to see our cousins off on 
their trip and it was so convenient and economical. We had a really 
enjoyable and comfortable stay. Would strongly recommend staying and will 
be doing so again.Read moreReview collected in partnership with 
TravelodgeDate of stay: June 2019HelpfulShare</t>
  </si>
  <si>
    <t>Stevensmith896 wrote a review Jun 20191 contribution</t>
  </si>
  <si>
    <t>Brilliant customer service.Wanted to leave a review regarding one of the front desk staff (tall guy, 
with a beard) palmaz I think the name was. Absolutely brilliant guy, good 
banter and amazing customer service! absolute brillaint guy! Hopefully see 
more of him when I’m back! Keep up the good work! (Definitely will be 
coming here again)Read moreDate of stay: June 2019HelpfulShare</t>
  </si>
  <si>
    <t>Global300848 wrote a review Jun 20196 contributions3 helpful votes</t>
  </si>
  <si>
    <t>Comfortable and enjoyableThis hotel gives great value for money - the rooms are spacious, clean and 
comfortable in every way. Everything works smoothly and the staff are 
gracious, polite and exceedingly helpful, ready to assist in any way 
possible. The bus from/to the airport is frequent and trouble free.Read 
moreReview collected in partnership with TravelodgeDate of stay: June 
2019HelpfulShare</t>
  </si>
  <si>
    <t>https://www.tripadvisor.co.uk/Hotel_Review-g191265-d229508-Reviews-or695-Travelodge_Gatwick_Airport_Central-Horley_Surrey_England.html#REVIEWS</t>
  </si>
  <si>
    <t>Safari33304246069 wrote a review Jun 2019Cancun, Mexico1 contribution</t>
  </si>
  <si>
    <t>Bad experienceStayed overnight in order to get a good nights sleep prior to an early 
morning flight. Was given a room on the same corridor as a large group of 
young adults, inhabiting several rooms. Repeated knocked on each others 
door and slammed doors; did not mind the laughter and chatter so much. Went 
on until turned 1am and reception took little or no notice when asked if 
they could request they keep the noice down a littleRead moreReview 
collected in partnership with TravelodgeDate of stay: June 2019HelpfulShare</t>
  </si>
  <si>
    <t>Travel602670 wrote a review Jun 20191 contribution</t>
  </si>
  <si>
    <t>Pleasant stayChecked in at 1.30am after flying in to Gatwick. Expected lots of hassle 
and worries including whether our room had been cancelled even though we 
had informed them of our arrival. Everything was fine. Nice bright 
reception lovely staff and no hassle. You need to book early as when we got 
there a few couples tur Ed up on spec to be told they were fully booked. 
Transfer buses take 15 mins to the airport and cost £4 each way. Frequent 
service. Lovely clean comfy beds.Read moreReview collected in partnership 
with TravelodgeDate of stay: June 2019HelpfulShare</t>
  </si>
  <si>
    <t>https://www.tripadvisor.co.uk/Hotel_Review-g191265-d229508-Reviews-or700-Travelodge_Gatwick_Airport_Central-Horley_Surrey_England.html#REVIEWS</t>
  </si>
  <si>
    <t>TravelWithJosh wrote a review Jun 2019England, United Kingdom339 
contributions57 helpful votes</t>
  </si>
  <si>
    <t>IdealPerfect for what it’s meant for which is a night before your flight. Cab 
can be booked from reception for £6 to airport, rooms are good and clean. 
Only negative is that the food in the restaurant was pricey and the booze 
even more so!Read moreDate of stay: June 2019HelpfulShare</t>
  </si>
  <si>
    <t>A6748SIrobertt wrote a review Jun 2019Worthing, United Kingdom1 contribution</t>
  </si>
  <si>
    <t>https://www.tripadvisor.co.uk/Hotel_Review-g186338-d1812157-Reviews-or750</t>
  </si>
  <si>
    <t>Travelodge Gatwick CentralThe overall Travelodge was great but we were caught out when we found that 
in the early hours of the morning after returning from Spain we were on the 
first floor of a section of the Travelodge that was accessed by stairs so 
we had to manhandle our luggage up to our room, in fairness one of the 
reception staff offered to carry our luggage for us.Read moreReview 
collected in partnership with TravelodgeDate of stay: June 2019HelpfulShare</t>
  </si>
  <si>
    <t>NorthStar44315310113 wrote a review Jun 2019Cape Town, South Africa1 
contribution</t>
  </si>
  <si>
    <t>Convenient location but frustrating booking experience.Rooms were adequate, clean and neat. The booking process was a bit 
frustrating as it enticed me to sign up for the newsletter and then I could 
get a 10% discount code. I signed up, got the email with the code and 
entered it at the final stage of the website booking. It showed the 
discount was applied. The very next screen confirming the booking however 
showed the price as the full price. I queried this with the Facebook 
support staff who said they couldn’t help me and then also at reception 
when we checked in. I feel it’s a clever trick to get you to book but they 
don’t honour the discount. It also asked for my credit card details (for 
payment) but upon booking confirmation it said I would have to make payment 
upon check in as it doesn’t accept international credit cards. I…Read 
moreReview collected in partnership with TravelodgeDate of stay: June 
2019HelpfulShareResponse from TravelodgeUK, James from the Social Media 
Team at Travelodge Gatwick Airport CentralResponded 27 Jun 2019Thank you 
for reviewing our Travelodge Gatwick Airport Central Hotel. We're happy to 
hear you were pleased with the cleanliness of your hotel during this stay 
but we're sorry to hear of the issues experienced during the booking 
process. Please rest assured the hotel managers check Tripadvisor reviews 
of their hotels so your comments will be reviewed by the hotel's team. 
Thank you again for leaving this review and we do hope that you choose to 
stay with us again in the future.Read more</t>
  </si>
  <si>
    <t>skippygeorgyraffy wrote a review Jun 2019Maple Ridge, Canada1 contribution</t>
  </si>
  <si>
    <t>Close to Gatwick, AirportGreat overnight stay! Very close to the airport. The service was amazing!!! 
The only downfall was they didn't have free Wi-fi! The bed was 
exceptionally comfortable&gt; the service was quick and efficient and the room 
was very clean!Read moreReview collected in partnership with TravelodgeDate 
of stay: June 2019HelpfulShare</t>
  </si>
  <si>
    <t>Philip R wrote a review Jun 20191 contribution</t>
  </si>
  <si>
    <t>Great Work from Receptionsuper work from Caterina in reception, well done!! Made my stay all work 
very efficiently, hugely appreciated. Hotel good, good refusbishment, very 
clean. Close in proximity to the airport terminals, which is v helpful.Read 
moreDate of stay: June 2019HelpfulShare</t>
  </si>
  <si>
    <t>https://www.tripadvisor.co.uk/Hotel_Review-g191265-d229508-Reviews-or705-Travelodge_Gatwick_Airport_Central-Horley_Surrey_England.html#REVIEWS</t>
  </si>
  <si>
    <t>Sandra wrote a review Jun 20194 contributions1 helpful vote</t>
  </si>
  <si>
    <t>Great base for gatwick airport.As usual excellent service, reception staff pleasant and helpful. Rooms 
comfortable and clean. Coffee and tea making facilities in all rooms. Great 
cafe. Regular shuttle bus to and from airport. Price on shuttle recently 
increased to £4 per adult one way.Read moreDate of stay: June 
2019HelpfulShare</t>
  </si>
  <si>
    <t>AngusMacoatup wrote a review Jun 2019Canvey Island, United Kingdom14 
contributions10 helpful votes</t>
  </si>
  <si>
    <t>Cheap and cheerful preflightGood -Staff very good and helpful. Not Good -Website pushes new premier 
classes of rooms. If all you want is a basic room persist with the website, 
I searched hard and found a cheaper family room. Cafe bar serves basic food 
like pizza and curry. Hotel is backing onto airport road, but only entrance 
is on on A23, not "Central" at all , no signs on airport roads, 1.8 miles 
from terminal. Car park was an unwelcome additional cost.The carpark 
website quoted £8 but this only applies after you book in as a Travelodge 
guest I paid "24 hour" charge of £13 despite only being there 8 hours.Read 
moreDate of stay: June 2019HelpfulShareResponse from TravelodgeUK, James 
from the Social Media Team at Travelodge Gatwick Airport CentralResponded 3 
Jul 2019Thank you for reviewing our Travelodge Gatwick Airport Central 
Hotel. We're happy to hear you were pleased with the service from the 
hotel's team during this stay with us but we are sorry to hear you weren't 
pleased with the issues experienced in the car park as well as the booking 
process. Please rest assured the hotel managers check Tripadvisor reviews 
of their hotels so your comments will be reviewed by the hotel's team. 
Thank you again for leaving this review and we do hope that you choose to 
stay with us again in the future.Read more</t>
  </si>
  <si>
    <t>https://www.tripadvisor.co.uk/Hotel_Review-g191265-d229508-Reviews-or710-Travelodge_Gatwick_Airport_Central-Horley_Surrey_England.html#REVIEWS</t>
  </si>
  <si>
    <t>Navigate19661614424 wrote a review Jun 2019London, United Kingdom1 
contribution</t>
  </si>
  <si>
    <t>Travelodge Gatwick-great stayHotel receptionist greeted us as soon as we walked through the door which 
was great. She explained all the hotel had to offer and booked us in very 
quickly. The hotel bar gets very busy at times so be aware if you want to 
order food.Read moreReview collected in partnership with TravelodgeDate of 
stay: June 2019HelpfulShare</t>
  </si>
  <si>
    <t>Quest58366269150 wrote a review Jun 2019London, United Kingdom2 
contributions</t>
  </si>
  <si>
    <t>FantasticBrilliant customer service. Massive beautiful Travelodge plus hotel. Well 
done to Travelodge for having such a amazing team with fabulous customer 
service, I will be returning on Monday and can’t waitRead moreReview 
collected in partnership with TravelodgeDate of stay: June 2019HelpfulShare</t>
  </si>
  <si>
    <t>john r wrote a review Jun 2019Limerick, Ireland3 contributions2 helpful 
votes</t>
  </si>
  <si>
    <t>gatwick tripgreat staff. very clean and well kept. hotel is well maintained. just a 30 
min train ride to center of London. food very acceptable. everyone of the 
staff had a smile. great place to stay if you are in London for a few days, 
then this Hotel is very suitable.Read moreReview collected in partnership 
with TravelodgeDate of stay: June 2019HelpfulShare</t>
  </si>
  <si>
    <t>Keith10061948 wrote a review Jun 2019Spili, Greece56 contributions33 
helpful votes</t>
  </si>
  <si>
    <t>How to become an alcoholic!Don't buy a soft drink during 'Happy Hour' as you will be charged the full 
price, and you will be encouraged by the barman to order more than 1 round 
during this period!! Great for the liver!!, but not good if you only want a 
soft drink.Read moreReview collected in partnership with TravelodgeDate of 
stay: June 2019HelpfulShare</t>
  </si>
  <si>
    <t>https://www.tripadvisor.co.uk/Hotel_Review-g191265-d229508-Reviews-or715-Travelodge_Gatwick_Airport_Central-Horley_Surrey_England.html#REVIEWS</t>
  </si>
  <si>
    <t>Rai wrote a review Jun 201932 contributions12 helpful votes</t>
  </si>
  <si>
    <t>Cheap option for pre/post Flight stay.The days of me getting to a airport for a long haul flight from my home on 
the day of the flight are long gone, luckily with booking far enough in 
advance you can get some really good deals on travelodge stays and it makes 
it a no brainer to start one's trip off smoothly and well rested. This 
location is served via a shuttle bus that runs 24 hours with buses running 
to a timetable that is avaliable from reception, the cost to either the 
South or North terminal is 4 GBP paid in "cash only" to the driver. The bus 
routes takes you to the south terminal first with a run time of approx 12 
minutes and to the north terminal second with a further 8 or so minutes so 
allow 20 minutes to the North terminal from the hotel. The hotel itself is 
perfectly fine for a nights stay, clean with…Read moreDate of stay: June 
2019HelpfulShare</t>
  </si>
  <si>
    <t>Adam wrote a review Jun 20191 contribution</t>
  </si>
  <si>
    <t>Best value around the area.Rooms clean and tidy, bed comfortable. Best value per night I could find 
around the airport. Only negative would be food wasn't great and overpriced 
but to be expected at travelodge I guess. Would happily stay againRead 
moreReview collected in partnership with TravelodgeDate of stay: June 
2019HelpfulShare</t>
  </si>
  <si>
    <t>j0 wrote a review Jun 2019Wilstead, United Kingdom22 contributions4 helpful 
votes</t>
  </si>
  <si>
    <t>Overnight stayLovely welcome when we arrived. Very helpful reception staff in the evening 
and in the morning. Beds very comfortable had a very good sleep as room was 
very quite. Cafe staff very friendly and helpful too.Read moreReview 
collected in partnership with this hotelDate of stay: June 2019HelpfulShare</t>
  </si>
  <si>
    <t>https://www.tripadvisor.co.uk/Hotel_Review-g191265-d229508-Reviews-or720-Travelodge_Gatwick_Airport_Central-Horley_Surrey_England.html#REVIEWS</t>
  </si>
  <si>
    <t>Alan R wrote a review Jun 2019Wales, United Kingdom49 contributions41 
helpful votes</t>
  </si>
  <si>
    <t>Great stayWhat can I say firstly we arrived late afternoon on 12/6/19 and what I must 
say we had a pleasant stay I must give amazing praise for the young guy on 
reception I can’t remember his name but he was blonde short hair this young 
man was so helpful polite and deserves recognition thank you , rooms were 
great and clean comfy beds and great facilities amazing stay one fault the 
food they had no pizzas the night we arrived and the breakfast wasn’t good 
value from what we saw think this needs looking into other than that great 
stayRead moreDate of stay: June 2019HelpfulShare</t>
  </si>
  <si>
    <t>Toone03 wrote a review Jun 2019Portsmouth, United Kingdom121 
contributions68 helpful votes</t>
  </si>
  <si>
    <t>Great Airport HotelClean, great location near to north terminal. Rooms are spacious and 
perfect for night before/after flights. Have tea and coffee facilities. Bus 
takes a few minutes from North Terminal but longer to south.Read moreReview 
collected in partnership with this hotelDate of stay: June 2019HelpfulShare</t>
  </si>
  <si>
    <t>Dream07549161898 wrote a review Jun 2019Bath, United Kingdom1 contribution</t>
  </si>
  <si>
    <t>Shocking! Worst hotel experience ever!!!I paid and reserved a Travelodge room on the 23rd May for the 18th-19th 
June. I checked online to see if there were certain times to check-in but 
as an airport hotel, they were promoting a 24hr check in service. As our 
flight got delayed, we arrive at 2:30am. When we went to check in, even 
after showing confirmation of reservation and purchase, they told us they 
had no rooms. Proceeded to tell us this is not their fault and always 
happens and in other words told us to be on our way sort of thing, I was 
very angry about this. Considering the tough travel and time of morning and 
told them you have taken money from my account for a room to be reserved 
and I received confirmation and you have sold it to someone else, they 
further went and lied about a whole floor being down due to…Read moreReview 
collected in partnership with TravelodgeDate of stay: June 2019HelpfulShare</t>
  </si>
  <si>
    <t>Rosie H wrote a review Jun 2019Bridgwater, United Kingdom2 contributions</t>
  </si>
  <si>
    <t>Night before holiday.Brilliant hotel, not far from Gatwick Airport. Very helpful staff. Helped 
me do my boarding pass for the nxt days flight. Good transport service from 
Gatwick to the hotel. Fare was £4.00 each way. So for me everything was 
OK.Read moreReview collected in partnership with this hotelDate of stay: 
June 2019HelpfulShare</t>
  </si>
  <si>
    <t>Imran.5 wrote a review Jun 2019Walsall, United Kingdom2 contributions</t>
  </si>
  <si>
    <t>Extraordinary service once again.I would just like to point out the amazing service provided by palmaz from 
the front desk, very attentive, brilliant customer service and all in all 
makes the stay more enjoyable with his excellent rapport with the 
customers.Read moreDate of stay: June 2019HelpfulShare</t>
  </si>
  <si>
    <t>https://www.tripadvisor.co.uk/Hotel_Review-g191265-d229508-Reviews-or725-Travelodge_Gatwick_Airport_Central-Horley_Surrey_England.html#REVIEWS</t>
  </si>
  <si>
    <t>Sheila S wrote a review Jun 2019Newcastle upon Tyne, United Kingdom31 
contributions16 helpful votes</t>
  </si>
  <si>
    <t>stop over before filightThe building, surrounding area, bedrooms, reception, bar area and the staff 
are all excellent and value for money, my only critisisum would be the 
price for drinks, I paid £2.50 for a very small bottle of lemonadeRead 
moreReview collected in partnership with this hotelDate of stay: May 
2019HelpfulShare</t>
  </si>
  <si>
    <t>NorthStar56518135779 wrote a review Jun 2019Chico, California1 contribution</t>
  </si>
  <si>
    <t>https://www.tripadvisor.co.uk/Hotel_Review-g186338-d1812157-Reviews-or755</t>
  </si>
  <si>
    <t>Clean and cheap. That's itClean rooms and basic amenities. Good if you are just sleeping there. 
Parking lot is owned by a third party and is a disaster. Machines dont work 
and with the app if you aren't a UK citizen it won't accept your moneyRead 
moreReview collected in partnership with TravelodgeDate of stay: June 
2019HelpfulShareResponse from TravelodgeUK, Shaf from the Social Media 
Team. at Travelodge Gatwick Airport CentralResponded 19 Jun 2019Thank you 
for reviewing our Gatwick Airport Central Travelodge. We're really pleased 
to hear the cleanliness were up to standards and do apologise for the 
incovenience you had with the parking. Feedback is invaluable and our Hotel 
Managers regularly review their TripAdvisor reviews in order to fix any 
issues raised and pass on feedback to their team. Thank you once again and 
we do hope you will stay with us in the future.Read more</t>
  </si>
  <si>
    <t>Sunshine46028862501 wrote a review Jun 20191 contribution1 helpful vote</t>
  </si>
  <si>
    <t>Paid for an early check in - no rooms availableWe paid extra for an early check in but no rooms were available, we had to 
wait for a room which after a 8 and a half hour flight wasn’t appreciated. 
A room was obviously rushed to be ready as the bathroom hadn’t been cleaned 
with hairs in the shower and on the floor. The bedroom carpet was also 
wet.Read moreReview collected in partnership with TravelodgeDate of stay: 
June 20191 Helpful voteHelpfulShareResponse from TravelodgeUK, Ben from the 
Social Media Team at Travelodge Gatwick Airport CentralResponded 26 Jun 
2019Thank you for taking the time to share your experience of your stay at 
our Gatwick Airport Central Travelodge with us. We're sorry to hear that a 
room was not available for your check in time and of your disappointment 
with the cleanliness in the bathroom. We appreciate all the feedback we 
receive and our Hotel Managers regularly review their TripAdvisor reviews 
in order to fix any issues raised and pass on feedback to their team. Thank 
you once again and we do hope you will stay with us in the future.Read more</t>
  </si>
  <si>
    <t>Eric wrote a review Jun 20198 contributions3 helpful votes</t>
  </si>
  <si>
    <t>Travelodge Gatwick Airport CentralHotel is well priced, clean and comfortable. The staff are excellent and 
the facilities are very near perfect. Tea and coffee is complementary to 
the room as well as good Wi-Fi and a TV. The rooms are also well insulated 
against noise so a good nights sleep was had by both of us. Overall a great 
stay.Read moreReview collected in partnership with TravelodgeDate of stay: 
June 2019HelpfulShare</t>
  </si>
  <si>
    <t>Patsy T wrote a review Jun 2019Perth32 contributions8 helpful votes</t>
  </si>
  <si>
    <t>Easy for early takeoffsThe photo is a tad misleading as the rooms are doubles, so for three of us 
we organised a family room. A big room and clean except for a makeup stain 
on my duvet cover. Staff were friendly and efficient and a shuttle bus - £4 
each - collected us in the morning for our 6.30am flight. I guess you could 
get the shuttle from the train station to the hotel, but we didn't know 
this. My taxi cost £11. DON'T try to walk from the station to the hotel, 
there is no pathway despite Google maps saying there is. Leave a little 
longer than you think you need in the morning as it takes a while to fill 
up the bus and then collect from other hotels.Read moreDate of stay: June 
2019HelpfulShare</t>
  </si>
  <si>
    <t>https://www.tripadvisor.co.uk/Hotel_Review-g191265-d229508-Reviews-or730-Travelodge_Gatwick_Airport_Central-Horley_Surrey_England.html#REVIEWS</t>
  </si>
  <si>
    <t>alliew890 wrote a review Jun 2019Lincolnshire, United Kingdom28 
contributions6 helpful votes</t>
  </si>
  <si>
    <t>Good visitGreat value rooms, clean and comfortable beds. Restaurant food was 
reasonable. Located very close to a petrol station which is very well 
stocked, including European travel adapters for about £2! The receptionist 
was very kind and booked us a taxi to the airport, 2 or more people the 
taxi is cheaper than the bus.Read moreDate of stay: June 2019HelpfulShare</t>
  </si>
  <si>
    <t>Venture66354989458 wrote a review Jun 20191 contribution</t>
  </si>
  <si>
    <t>Best airport HotelStay every Saturday due to work, best value for money at the airport plus 
not as busy as on site hotels which is great, room spotless beds comfy food 
great Can't ask for anything else Ps staff all coolRead moreReview 
collected in partnership with this hotelDate of stay: May 2019HelpfulShare</t>
  </si>
  <si>
    <t>PaulC671 wrote a review Jun 2019Southampton, United Kingdom3 contributions1 
helpful vote</t>
  </si>
  <si>
    <t>Good airport hotelFriendly, efficient staff throughout. Rooms very good as advertised Shame 
no continental breakfast is available any more, full breakfast good value 
despite recent price increase. Clean and tidy everywhere, good bus and taxi 
service. Hotel much improved through out since major renovation.Read 
moreReview collected in partnership with this hotelDate of stay: June 
2019HelpfulShare</t>
  </si>
  <si>
    <t>https://www.tripadvisor.co.uk/Hotel_Review-g191265-d229508-Reviews-or735-Travelodge_Gatwick_Airport_Central-Horley_Surrey_England.html#REVIEWS</t>
  </si>
  <si>
    <t>suekingnana wrote a review Jun 20194 contributions1 helpful vote</t>
  </si>
  <si>
    <t>Excellent hotelHotel very large with spacious room clean comfortable beds with lovely 
bathroom air condition in room it has a large bar/ restaurant food value 
for money breakfast was help your self so you are not limited to how much 
you eat or drink staff seemed friendly there is a bus link outside hotel 
which takes you to the airport also a car park which you do have to pay at 
a reduced price if stayin at hotel would love to stay again if in the area 
would highly recommend.Read moreReview collected in partnership with this 
hotelDate of stay: May 2019HelpfulShare</t>
  </si>
  <si>
    <t>Tristram H wrote a review Jun 2019Brighton, United Kingdom90 
contributions40 helpful votes</t>
  </si>
  <si>
    <t>A separate charge for wifi? What kind of management thinks that’s OK?Why bother reviewing a Travelodge, they are all the same aren’t they? Well, 
I hope not. This one charges for wifi (I thought that irritation had 
stopped years ago), which then didn’t work for the second device. The bar 
had no beer so I eventually got almost a full pint of Guinness from the 
hard-pressed staff. A dismally small choice of just four pizza toppings was 
followed by a very long wait. The room (56) had poor sound-proofing. The 
breakfast room was uncomfortably cold because of air-conditioning setting. 
The good cooking and friendly service was not enough to make up for a poor 
customer experience.Read moreDate of stay: June 2019HelpfulShareResponse 
from TravelodgeUK, Tilly from The Social Media Team at Travelodge Gatwick 
Airport CentralResponded 19 Jun 2019Thank you for your review of our 
Gatwick Airport Central hotel. We're really sorry to learn of your 
disappointment with our WiFi extra. We do not include the cost of this 
extra in our room rates unlike some of our competitors as we believe this 
allows our guests to pay for the services they need so we can continue to 
offer great room rates. This extra is non-refundable as guests are able to 
redeem this at any of our UK hotels if not used during their stay. We're 
also sorry to learn that you did not enjoy the remainder of your stay. We 
aim to provide the best service possible to our guests and we will continue 
to do so by making the most of customer feedback such as yours. May we 
thank you for your comments, we do hope you stay with us again.Read more</t>
  </si>
  <si>
    <t>https://www.tripadvisor.co.uk/Hotel_Review-g191265-d229508-Reviews-or740-Travelodge_Gatwick_Airport_Central-Horley_Surrey_England.html#REVIEWS</t>
  </si>
  <si>
    <t>Carol T wrote a review Jun 2019Paphos, Cyprus9 contributions4 helpful votes</t>
  </si>
  <si>
    <t>Brilliant stay!Such an easy to reach hotel using the Gatwick hotel bus even after 2am!! 
The staff were so welcoming, room was clean fresh and linen was so sparking 
white. Good comfy bed and pillows. Great lighting in the room. Fantastic 
all inclusive buffet breakfast with great selection to suit all tastes and 
diets! Highly recommended for a great stay!Read moreReview collected in 
partnership with TravelodgeDate of stay: June 2019HelpfulShare</t>
  </si>
  <si>
    <t>268lawrencem wrote a review Jun 2019Southampton, United Kingdom13 
contributions</t>
  </si>
  <si>
    <t>Overnight stay at Travelodge GatwickExcellent hotel and location, good price. A note however; make sure you 
have cash with you as you need to pay to withdraw cash from the cash 
machine in the lobby and the buses to the airport only accept cash.Read 
moreReview collected in partnership with TravelodgeDate of stay: June 
2019HelpfulShare</t>
  </si>
  <si>
    <t>Tattooedveganbikerdude wrote a review Jun 2019Raunds, United Kingdom107 
contributions3 helpful votes</t>
  </si>
  <si>
    <t>Improvements needed to staff trainingWe stayed here overnight for both our outbound and inbound flights. The 
rooms were very pleasant, good size, reasonable view, and very clean. I do 
however like a window open when I’m sleeping but the windows are annoyingly 
locked shut, apparently to retain a constant temperature in the hotel. When 
you come in to the room for the first time the air conditioning is on. This 
was fine on our first night but our second stay the temperature outside was 
11 degrees and the room was quite literally freezing cold. Not nice when 
you’ve just returned from southern Spain. We had a meal in the restaurant 
on the night of our first stay. Some good vegan options, and reasonably 
good quality, better than expected. However we ordered a crunchy slaw as a 
side to share, this was clearly labelled…Read moreDate of stay: June 
2019HelpfulShareResponse from TravelodgeUK, Tilly from The Social Media 
Team at Travelodge Gatwick Airport CentralResponded 19 Jun 2019Thank you 
for taking the time to write a review of our Gatwick Airport Central hotel. 
We wish for our customers to enjoy their experience in our café so we are 
sorry to hear that you were not positively impressed by your last stay in 
our hotel. We aim to provide a high level of service from our staff in our 
bar cafes and we do apologise that you did not receive this on this 
occasion. We will make the most of your comments to continue improving the 
service we offer and we hope to welcome you again in the near future.Read 
more</t>
  </si>
  <si>
    <t>Ceri g wrote a review Jun 2019Swansea, United Kingdom332 contributions78 
helpful votes</t>
  </si>
  <si>
    <t>3.5 reallyStayed here for work purposes as meetings nearby. It’s easy to find. 
There’s just about enough parking but I’d recommend not getting there too 
late. Good job I spotted you had to pay to park as reception hadn’t 
mentioned it when I checked in. £8 is a bit steep though. Room was clean 
tidy so no problem there. Didn’t have breakfast but have dinner. £20 for a 
ready meal, bowl of chips and a pint of Diet Coke is very expensive. Think 
I’d eat elsewhere if I stay again.Read moreDate of stay: June 
2019HelpfulShare</t>
  </si>
  <si>
    <t>https://www.tripadvisor.co.uk/Hotel_Review-g191265-d229508-Reviews-or745-Travelodge_Gatwick_Airport_Central-Horley_Surrey_England.html#REVIEWS</t>
  </si>
  <si>
    <t>Paulweston1974 wrote a review Jun 2019Nottingham, United Kingdom3 
contributions6 helpful votes</t>
  </si>
  <si>
    <t>Gorgeous Flagship Hotel shame about the hashbrowns.Very impressed with this Hotel and its location to Gatwick Airport is 
really the selling point. One of the more modern Travelodge hotels I've 
stayed in and I've stayed in quite a few over the years the dining/bar area 
is the best I've experienced. Rooms were presented nicely and staff were 
very helpful so all in all an enjoyable family stay over. But can you 
please get the kitchen staff to cook the hash browns properly they're 
supposed to be golden and quite crucchy on thd outside and hit and fluffy 
in the middle. Your efforts are always anaemic and basically undercooked 
with out fail no matter where I stay in the UK if you're going to use 
frozen food please at least cook it well and not serve it like something 
off Rate my plate. Great hotel nonetheless. Paul Weston NottinghamRead 
moreDate of stay: May 2019HelpfulShare</t>
  </si>
  <si>
    <t>TopTurista wrote a review Jun 2019London, United Kingdom208 contributions46 
helpful votes</t>
  </si>
  <si>
    <t>ConvenientThis hotel is convenient if you have an early flight out of Gatwick. Is a 
travelodge, so we all know that is a low cost hotel chain . But this one is 
very clean, spacious rooms and basic . The bar offers a good selection of 
drinks and if you get there on happy hour you will find amazing deals !! 
But the food was awful !! Although it was cheap... if you can find 
somewhere else for dinner don’t hesitate and go outside!! Even the burger 
was pretty awful. Apart of that, good location, pay at reception carpark 
and friendly service.Read moreDate of stay: June 2019HelpfulShareResponse 
from TravelodgeUK, Tilly from The Social Media Team at Travelodge Gatwick 
Airport CentralResponded 19 Jun 2019Thank you for your comments about our 
Gatwick Airport Central hotel We are pleased to learn that you were happy 
with the location of your hotel, it was clean, you were happy with your 
room. We are sorry to hear of your disappointment with the food. We will be 
sure to pass your review to the hotel team and we hope to welcome you back 
soonRead more</t>
  </si>
  <si>
    <t>Mobe87 wrote a review Jun 2019London, United Kingdom119 contributions9 
helpful votes</t>
  </si>
  <si>
    <t>Good. CLEAN!!!Enjoyed my stay here hotel was just cleaned as in carpets etc so was really 
clean. Lauren the manager is probably one of the best managers I’ve come 
across in travelodges and I stay in many. I would recommend getting the bus 
from and to airport timetable can be seen in photo. Please note if more 
than one of you get a taxi as works out to be same price and quicker ask at 
reception for the booking. Only gripe I have with this hotel is the same as 
all travelodges it’s expensive other than that I love the self check in etc 
good hotel good price great night right by Gatwick.Read moreDate of stay: 
May 2019HelpfulShare</t>
  </si>
  <si>
    <t>Voyage10772632308 wrote a review Jun 2019Glasgow, United Kingdom1 
contribution</t>
  </si>
  <si>
    <t>good experienceI would recommend this hotel to anyone - I booked the hotel very late on - 
it was the actual day I was planning on staying there. The price was right 
+ rec'd good service + there was a shuttle bus to + from the airport - 
ThanksRead moreReview collected in partnership with this hotelDate of stay: 
June 2019HelpfulShare</t>
  </si>
  <si>
    <t>https://www.tripadvisor.co.uk/Hotel_Review-g191265-d229508-Reviews-or750-Travelodge_Gatwick_Airport_Central-Horley_Surrey_England.html#REVIEWS</t>
  </si>
  <si>
    <t>Louise P wrote a review Jun 20197 contributions8 helpful votes</t>
  </si>
  <si>
    <t>One night stop before holidayWe booked a Super room for a one night stay prior to flying out of Gatwick. 
Traveling with 2 boys (11 &amp; 13) it was great that the room had 2 single 
beds rather than the usual sharing of a sofa bed, which generally leads to 
not much sleep. A nice touch of a coffee machine in the room, unfortunately 
only enough milk etc, for one drink each. My only other gripe is that there 
were no toiletries in the room other than the soap dispenser in the 
bathroom. Room very clean and comfortable bed, and no rooms heard through 
the walls/door from other guests. Car Parking was £8.Read moreDate of stay: 
May 2019HelpfulShare</t>
  </si>
  <si>
    <t>Sightsee11270267342 wrote a review Jun 20191 contribution</t>
  </si>
  <si>
    <t>Simple, comfortable, cleanNo frills here, but this is a great place to stay and the second shuttle 
stop away from Gatwick Airport. (albeit first shuttle stop is a stone's 
throw away) Super comfortable bed, new bathroom, kind, helpful staff, very 
secure, great food, quiet. Definitely will stay here again.Read moreReview 
collected in partnership with this hotelDate of stay: May 2019HelpfulShare</t>
  </si>
  <si>
    <t>Seaside307694 wrote a review Jun 20191 contribution</t>
  </si>
  <si>
    <t>Early morning flight - bewareIf you are given a ground floor room ( especially room 1) ask to change if 
you need to get any sleep as the bus stops right outside and people waiting 
for it have no consideration for anyone trying to sleep in rooms close by. 
Also no net curtains in ground floor rooms so anyone walking past can look 
right in.Read moreReview collected in partnership with TravelodgeDate of 
stay: May 2019HelpfulShareResponse from TravelodgeUK, Ben from the Social 
Media Team at Travelodge Gatwick Airport CentralResponded 11 Jun 2019Thank 
you for your review. We are sorry to hear that external noise affected the 
comfort of your stay. We strive to make our customers as comfortable as 
possible and we would like to apologise if on this occasion we were not 
able to offer you a good night's sleep. Wherever possible, we mention on 
the hotel’s booking page that due to the hotel’s location, external noise 
may be heard. We have also taken measures within our hotels such as double 
glazing to try and reduce the impact this may have on a guests stay with 
us. Feedback is invaluable and our Hotel Managers regularly review their 
TripAdvisor reviews in order to fix any issues raised and pass on feedback 
to their team. We hope that there will be another occasion to welcome you 
again and improve your views on Travelodge.Read more</t>
  </si>
  <si>
    <t>Brianelsy wrote a review Jun 2019Fife, United Kingdom188 contributions35 
helpful votes</t>
  </si>
  <si>
    <t>Another excellent stayStay here on most occasions when we travel down from Scotland for a flight 
from Gatwick to the Caribbean. Been done up since our last visit and 
couldn’t fault a thing.easy check in and room was clean.we had The buffet 
breakfast which was lovely and plentiful.recommend to anyone as will use 
again in the future.Read moreDate of stay: May 2019HelpfulShare</t>
  </si>
  <si>
    <t>https://www.tripadvisor.co.uk/Hotel_Review-g191265-d229508-Reviews-or755-Travelodge_Gatwick_Airport_Central-Horley_Surrey_England.html#REVIEWS</t>
  </si>
  <si>
    <t>Sunshine67068891459 wrote a review Jun 2019Franklin, Tennessee1 contribution</t>
  </si>
  <si>
    <t>Good location for overnight layoverThe hotel is very conveniently located to the airport but £4 for the 
shuttle is ridiculous when regular bus fare is £1.50. “Free” WiFi only 
lasts for 30 minutes. No phone/fridge/microwave in the room, but good stock 
of tea/coffee.Read moreReview collected in partnership with TravelodgeDate 
of stay: June 2019HelpfulShareResponse from TravelodgeUK, Molly from the 
Social Media Team at Travelodge Gatwick Airport CentralResponded 10 Jun 
2019Thank you for your review. We are pleased to hear that you found the 
location of the Hotel to be convenient for your trip, however we apologise 
if you felt the shuttle service was not of good value. We offer our 
customers 30 minutes free WiFi per day within our hotels. Not all guest's 
require WiFi and due to being a budget brand, we are able to keep the price 
of our rooms as low as we can by offering extras such as WiFi for a small, 
additional price. Being a budget Hotel brand, we believe that we provide 
all the necessary facilities to ensure a comfortable stay, for value. 
However we are always looking to improve the services we offer and we will 
pass your comments on to the relevant team. Thank you again for your 
review.Read more</t>
  </si>
  <si>
    <t>Jennyhotmail wrote a review Jun 2019London, United Kingdom2 contributions</t>
  </si>
  <si>
    <t>Excellent stayLovely stay, excellent value for money. Clean and tidy. Great location 
would recommend to family and friends. Will definitely stay again when 
travelling from LGW. We were a large party of guests family and 
friends.Read moreReview collected in partnership with TravelodgeDate of 
stay: June 2019HelpfulShare</t>
  </si>
  <si>
    <t>David R wrote a review Jun 2019Douglas, United Kingdom1 contribution</t>
  </si>
  <si>
    <t>Polite and friendly staffThe staff were very polite and friendly! The evening meal was delightful 
too. We had a problem on entering the room as the tv didn't work but this 
was sorted in a matter of minuets! The reception staff couldn't do enough 
for us. Perfect!Read moreReview collected in partnership with 
TravelodgeDate of stay: June 2019HelpfulShare</t>
  </si>
  <si>
    <t>johnnieboy2017 wrote a review Jun 2019Syros, Greece8 contributions1 helpful 
vote</t>
  </si>
  <si>
    <t>https://www.tripadvisor.co.uk/Hotel_Review-g186338-d1812157-Reviews-or760</t>
  </si>
  <si>
    <t>Worst TravelodgeVery poor experience at Travelodge. Stayed 3 nights and paid breakfast and 
evening meal upfront, a big mistake. Poor service in restaurant in 
evenings. Waited 30 minutes to be served to be told to join another queue. 
Waited a further 25 minutes to be served. Took my place at a table and then 
waited over an hour for my food only for it to be of such poor quality it 
was inedible. Told a staff member who told me to join the queue at the bar 
to complain. Similar episodes on all 3 evenings of my stay. Breakfast only 
slightly better, staff disinterested and food of poor quality. Room very 
very noisy.Read moreReview collected in partnership with TravelodgeDate of 
stay: June 2019HelpfulShareResponse from TravelodgeUK, Ben from the Social 
Media Team at Travelodge Gatwick Airport CentralResponded 9 Jun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</si>
  <si>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https://www.tripadvisor.co.uk/Hotel_Review-g191265-d229508-Reviews-or760-Travelodge_Gatwick_Airport_Central-Horley_Surrey_England.html#REVIEWS</t>
  </si>
  <si>
    <t>Seaside44501262478 wrote a review Jun 20191 contribution</t>
  </si>
  <si>
    <t>Excellent value hotelGood facilities. Clean, modern rooms. Bar and restaurant. Efficient regular 
bus service to both terminals. What more do you need? I would heartily 
recommend this hotel and would happily use it again on a future trip.Read 
moreReview collected in partnership with TravelodgeDate of stay: May 
2019HelpfulShare</t>
  </si>
  <si>
    <t>danny23saracen wrote a review Jun 2019Ventnor, United Kingdom29 
contributions9 helpful votes</t>
  </si>
  <si>
    <t>DREADFUL EXPERIENCE - NEVER AGAIN!I had the misfortune to stay in the Gatwick Central Travelodge on 31 May. 
There is no problem with the rooms and they have all been refurbished and 
decorated. There were two people serving behind bar and there was always a 
queue of up to ten people in each queue ordering food and drinks. I ordered 
a bottle of wine which was Italian and cost over £18 which was dreadful. 
Yes I know it’s London prices but you can buy a bottle of quality wine at 
Gatwick Premier Inn for less than £11! I asked for three glasses and was 
told that they didn’t have any wine glasses! This was because there were 
dozens of all types of glasses on tables along with plates! I was given 
three different glasses which were not wine glasses and they were filthy! I 
eventually managed to get glasses…Read moreDate of stay: May 20191 Helpful 
voteHelpfulShareResponse from TravelodgeUK, Niki from The Social Media Team 
at Travelodge Gatwick Airport CentralResponded 9 Jun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</si>
  <si>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Mohawk1946 wrote a review Jun 2019Devizes, United Kingdom464 
contributions448 helpful votes</t>
  </si>
  <si>
    <t>Ok BUTLovely room great staff. Parking is£8 for the night. Drinks are really 
expensive. However,I thought I had a great deal. Poster said, “doubles for 
£2.85. Wow I thought that’s good! Oh no that’s £2.85 EXTRA! Very 
misleading, see photo. Also bought tonic with my drink £2.50, then wanted 
another just one. £1.60????. Explain! Nice rooms nice staff, but as I have 
said horrendously expensive. Food? Well all I can say is no real choice and 
waited over 39mins for my dessert! Won’t stay here again.Read moreDate of 
stay: June 2019HelpfulShare</t>
  </si>
  <si>
    <t>Christine W wrote a review Jun 2019Bromsgrove, United Kingdom4 contributions</t>
  </si>
  <si>
    <t>Great airport hotelThis hotel is really conveniently located for the airport, and provides 
excellent parking facilities for the duration of your holiday. The hotel 
itself is comfortable with good facilities. The room was a bit hot, but 
great apart from that.Read moreReview collected in partnership with 
TravelodgeDate of stay: May 2019HelpfulShare</t>
  </si>
  <si>
    <t>https://www.tripadvisor.co.uk/Hotel_Review-g191265-d229508-Reviews-or765-Travelodge_Gatwick_Airport_Central-Horley_Surrey_England.html#REVIEWS</t>
  </si>
  <si>
    <t>Turkish304210 wrote a review Jun 2019Northamptonshire, United Kingdom9 
contributions4 helpful votes</t>
  </si>
  <si>
    <t>Great nights sleep before our holidayStayed at Gatwick Central before our holiday. Room was very clean and had a 
really comfortable night's sleep. Good food in the restaurant and a nice 
atmosphere to relax in before our trip. Great location for access to the 
airportRead moreReview collected in partnership with TravelodgeDate of 
stay: May 20191 Helpful voteHelpfulShare</t>
  </si>
  <si>
    <t>holidaylaura wrote a review Jun 2019Cardiff7 contributions27 helpful votes</t>
  </si>
  <si>
    <t>Best Travelodge I've stayed inThe rooms were a good size and comfortable. Double bed and two singles for 
the children. Good facilities within the hotel including a nice bar area 
and a great breakfast in the morning. The last Travelodge I stayed in was 
pretty basic but this one impressed me.Read moreReview collected in 
partnership with TravelodgeDate of stay: May 20191 Helpful voteHelpfulShare</t>
  </si>
  <si>
    <t>Ian F wrote a review Jun 20192 contributions1 helpful vote</t>
  </si>
  <si>
    <t>Mr foxWell what a hotel. Very clean and tidy as you walk through the door. 
Reception are there to greet you very helpful.rooms are very clean and the 
beds are comfy.evening meal was ok. Night time staff where excellent only 
two staff on running around and reece on the bar was very kind and helpful. 
Any question all answer by steve the manager. What a great stayRead 
moreDate of stay: June 20191 Helpful voteHelpfulShare</t>
  </si>
  <si>
    <t>Monikaher wrote a review Jun 2019Reading, United Kingdom4 contributions</t>
  </si>
  <si>
    <t>Charged twice, dirty roomI booked the hotel through a third party. When I arrived, the lady at the 
reception told me I need to pay again, the other one is only a deposit, I 
will get it back. She also charged me more than I booked my room for. Next 
morning I asked the manager why I paid twice, he apologized for her 
mistake, he said she shouldn't charged me second time but if I call them 
they will give my money back. I called them, they sent me to customer 
service. Customer service sent me back to the hotel. I called them couple 
of times, the answer is always the same: I take your number and someone 
will give you a call back. I haven't had a call back yet. Also the third 
party contacted to the hotel, they don't get response either. It has been 3 
weeks and noone takes the responsibility to refund my money…Read moreDate 
of stay: May 20191 Helpful voteHelpfulShareResponse from TravelodgeUK, 
Tilly from The Social Media Team at Travelodge Gatwick Airport 
CentralResponded 5 Jun 2019Thank you for taking the time to write a review 
with regards to our Gatwick Airport Central Hotel. We are sorry to learn of 
the experience you have had whilst staying with us. We would kindly ask you 
contact one of our Customer Services Advisors with your review via our 
website help form to look into this more thoroughly. Thank you again for 
reviewing our hotel.Read more</t>
  </si>
  <si>
    <t>https://www.tripadvisor.co.uk/Hotel_Review-g191265-d229508-Reviews-or770-Travelodge_Gatwick_Airport_Central-Horley_Surrey_England.html#REVIEWS</t>
  </si>
  <si>
    <t>Lisa P wrote a review Jun 2019Villasanta, Italy9 contributions11 helpful 
votes</t>
  </si>
  <si>
    <t>Reasonable rates for a near airport stayOn entering the hotel we were immediatly greeted by the friendly reception 
staff. Check in was quick. The room was clean and modern. The overall price 
was great for a two night stay for a family of four.Read moreReview 
collected in partnership with TravelodgeDate of stay: June 20191 Helpful 
voteHelpfulShare</t>
  </si>
  <si>
    <t>Emma B wrote a review Jun 2019London, United Kingdom19 contributions12 
helpful votes</t>
  </si>
  <si>
    <t>Absolutely fine for an airport stayPositives: *Good size room *Price was really reasonable (about £45) 
*Tea/coffee facilities *Good size bar/cafe with enough choices and they 
clingfilmed it so we could take it to our room because our toddler needed 
to go to bed! Negatives: -There was a big gap down the side of the 
curtains, which meant light was shining on to what was the child's bed. She 
therefore would not sleep until we moved the travel cot to a dark corner by 
the front door! I would expect proper, well-fitted blackout blinds, given 
most people use a hotel the night before a flight because the flight is 
super early (we were needing to be up at 3.15am!). -as with any hotel, you 
get slamming doors and people chatting full volume all through the night, 
but not Travelodge's fault - just ignorant people!! …Read moreDate of stay: 
May 2019HelpfulShare</t>
  </si>
  <si>
    <t>YamahaXS100 wrote a review Jun 20197 contributions4 helpful votes</t>
  </si>
  <si>
    <t>Not up to the usual standardGuest had obviously been smoking in several of the bedrooms, which meant we 
had to be moved. Our friends and family put up with it but I suffer from 
Chronic Asthma &amp; COPD. So ask for a room used by non smokers if need 
be.Read moreReview collected in partnership with TravelodgeDate of stay: 
May 2019HelpfulShare</t>
  </si>
  <si>
    <t>RobinCBoston wrote a review Jun 2019Boston11 contributions2 helpful votes</t>
  </si>
  <si>
    <t>Very Basic + Expensive Shuttle AccessVery basic hotel. Clean but limited. 30 mins free wifi and very expensive 
shuttle (4 GBP per person for trip) for less than a mile (in addition to 
long wait times). For two or four people, it makes the hotel more expensive 
than the on-airport Premier Inn. IF you're by car and need a no frills 
place to sleep. This is probably fine.Read moreReview collected in 
partnership with TravelodgeDate of stay: June 2019HelpfulShare</t>
  </si>
  <si>
    <t>https://www.tripadvisor.co.uk/Hotel_Review-g191265-d229508-Reviews-or775-Travelodge_Gatwick_Airport_Central-Horley_Surrey_England.html#REVIEWS</t>
  </si>
  <si>
    <t>Rebecca T wrote a review Jun 2019Oxfordshire, United Kingdom13 
contributions4 helpful votes</t>
  </si>
  <si>
    <t>Great stay!Great stay ahead of our flight from Gatwick. We checked in around 10pm 
which was quick and also got food which came quickly and was good. Checked 
out round 3pm with no problems. Room was good with comfy bed, would 
definitely recommend if you’re flying out from gatwick!Read moreReview 
collected in partnership with this hotelDate of stay: May 20191 Helpful 
voteHelpfulShare</t>
  </si>
  <si>
    <t>melindabannister wrote a review Jun 2019London, United Kingdom3 
contributions13 helpful votes</t>
  </si>
  <si>
    <t>Pleasantly surprised, very nice hotel with great efficient check in processReally nicely renovated Travelodge. Lovely restaurant and bar-wish I has 
got there earlier to enjoy it! The self check in was amazing, room 
allocated and room key given in minutes flat. Rooms comfortable and 
cleanRead moreReview collected in partnership with this hotelDate of stay: 
May 20192 Helpful votesHelpfulShare</t>
  </si>
  <si>
    <t>https://www.tripadvisor.co.uk/Hotel_Review-g191265-d229508-Reviews-or780-Travelodge_Gatwick_Airport_Central-Horley_Surrey_England.html#REVIEWS</t>
  </si>
  <si>
    <t>Carolyn331 wrote a review Jun 2019Muchelney, United Kingdom8 contributions1 
helpful vote</t>
  </si>
  <si>
    <t>Very poor serviceThe bathroom was poorly maintained the toilet flush was broken. It was 
noisy all night long. The staff were really unhelpful with a problem I had 
with regards to car parking. I wouldn’t stay here again. Very poor 
serviceRead moreReview collected in partnership with TravelodgeDate of 
stay: May 20191 Helpful voteHelpfulShareResponse from TravelodgeUK, Tilly 
from The Social Media Team at Travelodge Gatwick Airport CentralResponded 5 
Jun 2019Thank you for taking the time to write a review with regards to our 
Gatwick Airport Central Hotel. We are sorry to learn of the experience you 
have had whilst staying with us. We would kindly ask you contact one of our 
Customer Services Advisors with your review via our website help form to 
look into this more thoroughly. Thank you again for reviewing our 
hotel.Read more</t>
  </si>
  <si>
    <t>Daniel B wrote a review Jun 201911 contributions9 helpful votes</t>
  </si>
  <si>
    <t>Worst sleep I’ve ever had in a hotelWhen I first arrived I thought this was going to a great hotel Food was 
acceptable and room looked good for the price However once it was time to 
sleep I noticed the bed was extremely uncomfortable and the bed was hard 
around the edges this discomfort made sleep problematic However at around 
3ish I managed to get some sleep only to he awoken by a fire alarm at 3:30 
due to other guests smoking in their rooms This is not what I needed as I 
needed a good nights sleep before my long haul flight the next day I will 
not stop at this hotel againRead moreDate of stay: May 
2019HelpfulShareResponse from TravelodgeUK, Tilly from The Social Media 
Team at Travelodge Gatwick Airport CentralResponded 5 Jun 2019Thank you for 
submitting your review of our Gatwick Airport Central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</si>
  <si>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Geoff A wrote a review Jun 20191 contribution</t>
  </si>
  <si>
    <t>Good choice for an overnight stayMy husband and I stayed overnight in order to catch an early flight the 
following day. Staff were friendly and helpful. It was convenient to have a 
Cafe Bar onsite as we had arrived late in the evening. Food was reasonably 
priced and a good choice of menu. It was disappointing that the foyer 
leading to the rooms and the room that we stayed in stunk of urine. This 
was unpleasant. I couldn't wash my hair as there wasn't a hairdryer 
available. Luckily, we brought shampoo and body wash as none provided.Read 
moreReview collected in partnership with TravelodgeDate of stay: May 
2019HelpfulShare</t>
  </si>
  <si>
    <t>Kristine r wrote a review May 20199 contributions2 helpful votes</t>
  </si>
  <si>
    <t>great hotelstayed for one night as early flight next day buses were every 15 mins 
lovely roon really comfortable would definitely stay again five minute 
journey from gatwick to hotel and on returning from hotel to gatwick takes 
15 minsRead moreReview collected in partnership with TravelodgeDate of 
stay: May 20191 Helpful voteHelpfulShare</t>
  </si>
  <si>
    <t>https://www.tripadvisor.co.uk/Hotel_Review-g191265-d229508-Reviews-or785-Travelodge_Gatwick_Airport_Central-Horley_Surrey_England.html#REVIEWS</t>
  </si>
  <si>
    <t>Paradise54654366508 wrote a review May 2019Tenby, United Kingdom3 
contributions2 helpful votes</t>
  </si>
  <si>
    <t>Parking is a joke.The Hotel was great, the staff were great, the room and breakfast were 
excellent. But it was all let down by the parking which was a joke and the 
wifi service of paying after 30 minutes is 5 years out of date. I have 
stayed in small family owned seaside bed and breakfasts with superior wifi 
service. Come on Travelodge join the 21st century.Read moreReview collected 
in partnership with TravelodgeDate of stay: May 2019HelpfulShare</t>
  </si>
  <si>
    <t>Jo C wrote a review May 2019East Sussex10 contributions5 helpful votes</t>
  </si>
  <si>
    <t>Gatwick stopoverArrived after a late flight back from holiday. Arrived and very nice staff 
- we were upgraded to a SuperRoom for free and we didn’t realise till we 
got to the room! It’s fab and the extra perks made our holiday blues that 
bit betterRead moreDate of stay: May 20191 Helpful voteHelpfulShare</t>
  </si>
  <si>
    <t>Claridges7 wrote a review May 2019Ukunda, Kenya28 contributions10 helpful 
votes</t>
  </si>
  <si>
    <t>CONVENIENT FOR GATWICK AIRPORTFor me it's convenient for Gatwick airport and the price is competitive. 
The room is quite big compared to usual B&amp;B's or Guest Houses. The power 
shower is really nice and the lighting in the bathroom is good. The 
bedding, pillows, towels are fresh and clean. The room smells fresh and 
clean. It is served by a local airport bus every 10-15 minutes for £3 one 
way (cash only) which is convenient. Overall I was satisfied with 
everything and will probably stay here again next time I fly out of 
Gatwick, and I do recommend it to everyone.Read moreReview collected in 
partnership with TravelodgeDate of stay: May 2019HelpfulShare</t>
  </si>
  <si>
    <t>Dan wrote a review May 2019Caroline Springs, Australia29 contributions37 
helpful votes</t>
  </si>
  <si>
    <t>Great service, location and roomsStayed at the Travelodge for two nights in a Super Room. The room was very 
spacious, clean and well appointed. The service from the staff that we 
encountered was excellent and the cafe/lounge area was modern and 
comfortable. If you are flying in/out of Gatwick, I would certainly 
recommend using the shuttle service for 3 pounds p/person as the Travelodge 
is usually the second stop on the run so it doesn't take long to get to the 
hotel at all. The lounge area of the hotel is really comfortable, quiet, 
there are ample power outlets around and the food is great so my advice 
would be to hang around the hotel lounge to wait for your flight rather 
than use the airport lounges. Would definately stay here again.Read 
moreDate of stay: May 20191 Helpful voteHelpfulShare</t>
  </si>
  <si>
    <t>https://www.tripadvisor.co.uk/Hotel_Review-g191265-d229508-Reviews-or790-Travelodge_Gatwick_Airport_Central-Horley_Surrey_England.html#REVIEWS</t>
  </si>
  <si>
    <t>Travel305570 wrote a review May 2019Tirana, Albania1 contribution</t>
  </si>
  <si>
    <t>Overnight StayComfortable bed and quiet. Reception staff were very helpful and sorted out 
my issue effectively. There was no hairdryer which was not good as I had to 
go around with wet hair and travel like this onto my next destination..Read 
moreReview collected in partnership with TravelodgeDate of stay: May 
2019HelpfulShare</t>
  </si>
  <si>
    <t>Azy wrote a review May 20191 contribution</t>
  </si>
  <si>
    <t>It does what it says on the tin.You get your money’s worth really. Not a hell but not a lush place either. 
Nice &amp; friendly staff. Room clean. Passed on food as I do at all budget 
places. The bar’s ok, Rob the bar guy and I talked basketball at the bar 
that was a plus. All in all does what it says on the tin.Read moreDate of 
stay: May 2019HelpfulShare</t>
  </si>
  <si>
    <t>Journey45617204247 wrote a review May 2019Los Angeles, California1 
contribution</t>
  </si>
  <si>
    <t>https://www.tripadvisor.co.uk/Hotel_Review-g186338-d1812157-Reviews-or765</t>
  </si>
  <si>
    <t>You get what you pay forCheap budget hotel-lousy food, nasty smelling soap. Also, ASK for a hair 
dryer when you check in..otherwise you will be walking out with wet hair in 
the cold air. This hotel could do just a little bit better. Indifferent 
staff.Read moreReview collected in partnership with TravelodgeDate of stay: 
May 2019HelpfulShare</t>
  </si>
  <si>
    <t>airbus100 wrote a review May 2019Switzerland30 contributions28 helpful votes</t>
  </si>
  <si>
    <t>Cash stolen out of room 170155 Euros and 90 USD were stolen out of room number 170 during my stay in 
May 2019. Since there is no room safe I kept my passport folder incl. 
driving licence and the foreign currencies in my bag. When leaving the room 
on the first day I asked housekeeping to clean the room which he did. 
Second day I asked another housekeeper to clean the room which she did. I 
know it is almost impossible to proof who stole the money unless 
fingerprints or DNA samples are taken. Since I keep accurate note on a 
small paper of all the foreign currencies I carry with me and the 
Travelodge was the only place the where passport folder was unattended it 
is very, very likely that the cash got stolen out of the room. Very bad 
experience.Read moreReview collected in partnership with TravelodgeDate of 
stay: May 2019HelpfulShareResponse from TravelodgeUK, Molly from the Social 
Media Team at Travelodge Gatwick Airport CentralResponded 29 May 2019Thank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</si>
  <si>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teeesse wrote a review May 20193 contributions5 helpful votes</t>
  </si>
  <si>
    <t>Mixed FeelingsAlthough the hotel was clean, it is not that easy to get from the airport 
to the hotel - you need a shuttle bus and reliant staff in the airport who 
know one exists!. In addition, there was no phone in the room so calling 
reception is not an option - difficult with a 6 year old who is 
sleeping.Read moreReview collected in partnership with TravelodgeDate of 
stay: May 2019HelpfulShare</t>
  </si>
  <si>
    <t>https://www.tripadvisor.co.uk/Hotel_Review-g191265-d229508-Reviews-or795-Travelodge_Gatwick_Airport_Central-Horley_Surrey_England.html#REVIEWS</t>
  </si>
  <si>
    <t>donjmapleridge wrote a review May 2019Maple Ridge, Canada11 contributions10 
helpful votes</t>
  </si>
  <si>
    <t>Great Hotel, Great LocationThis hotel was a great experience. Clean, well appointed and very close to 
the airport and the shuttle was an excellent bonus. We enjoyed the 
restaurant as well as the bar. All the staff met or exceeded our 
expectations.Read moreReview collected in partnership with TravelodgeDate 
of stay: May 2019HelpfulShare</t>
  </si>
  <si>
    <t>LashesbyCeslyn wrote a review May 2019Worcester, United Kingdom69 
contributions11 helpful votes</t>
  </si>
  <si>
    <t>Comfort and convenienceWe were looking for an overnight room before an onward trip. There were 
check-in kiosks meaning no wait to get out room key-cards. Elevators were 
easily accessible although stairs were not signposted from the lobby. We 
had a family room and it was spacious and the bathroom facicites were 
clean, with wall mounted soap/shower wash. The beds were very comfortable 
with extra pillows on hand. Vending machines were available in the lobby, 
not over-priced, and contactless payment can be used, there was also a 
bar/restaurant available which we didn't use as we were arriving late and 
leaving early. The room was warm when we arrived and the a/c took a while 
to cool it down to a sleeping temperature, but it was silent and our cool 
preferences are not to everyones choice.Read moreDate of stay: May 
2019HelpfulShare</t>
  </si>
  <si>
    <t>https://www.tripadvisor.co.uk/Hotel_Review-g186338-d1812157-Reviews-or770</t>
  </si>
  <si>
    <t>https://www.tripadvisor.co.uk/Hotel_Review-g191265-d229508-Reviews-or800-Travelodge_Gatwick_Airport_Central-Horley_Surrey_England.html#REVIEWS</t>
  </si>
  <si>
    <t>Excursion157072 wrote a review May 20191 contribution</t>
  </si>
  <si>
    <t>overnightThe Travelodge was very convenient to the airport. there is a shuttle that 
cost 3pounds per person. There is a 24 hour bar and restaurant. The room 
was well appointed. There is no wifi in the room which is inconvenient as 
connecting was slow and you only got a half hour.Read moreReview collected 
in partnership with TravelodgeDate of stay: May 2019HelpfulShare</t>
  </si>
  <si>
    <t>sue ord wrote a review May 2019Leyland, United Kingdom3 contributions</t>
  </si>
  <si>
    <t>excellenthad an amazing time thank you all staff especially reece wat a great guy 
couldn't do enough for us made us feel so welcome great food and drink 
company excellent can't wait to see u soon xxx thank u reece mwah 
xxxxxxxRead moreDate of stay: May 2019HelpfulShare</t>
  </si>
  <si>
    <t>https://www.tripadvisor.co.uk/Hotel_Review-g191265-d229508-Reviews-or805-Travelodge_Gatwick_Airport_Central-Horley_Surrey_England.html#REVIEWS</t>
  </si>
  <si>
    <t>mandy m wrote a review May 2019Moray, United Kingdom60 contributions20 
helpful votes</t>
  </si>
  <si>
    <t>Clean, comfortable and good valueStayed overnight here as it was cheaper than a night in Brighton - really 
good value for money. My room was on the ground floor right beside the door 
leading to all the rooms, so I thought it would be noisy, but it wasn't. 
Everywhere was well maintained and clean. I don't like shower curtains, but 
at least it was clean and did fit inside the shower tray to prevent 
flooding the room. Bathroom is small "pod", but fine for an overnight stay. 
Bus from/to Gatwick airport is £3 a trip and only accepts cash.Read 
moreReview collected in partnership with TravelodgeDate of stay: May 
2019HelpfulShare</t>
  </si>
  <si>
    <t>JmW1973 wrote a review May 2019Bristol, United Kingdom65 contributions10 
helpful votes</t>
  </si>
  <si>
    <t>Good Amenities. Parking ExpensiveGood amenities. Parking an issue as £8 for 24 hrs with no option for a 
smaller rate period. All other Travelodge we have stayed in parking is 
free. Great location as very close to Gatwick Airport... Only 10 minutes 
away on the car.Read moreDate of stay: May 2019HelpfulShare</t>
  </si>
  <si>
    <t>JaboStocktononTees wrote a review May 2019Stockton on Tees29 
contributions22 helpful votes</t>
  </si>
  <si>
    <t>Lovely roomWe booked a super room and we weren't disappointed. Really spacious as it 
was on a corner. Comfortable bed and pillows. Room very clean We pre booked 
our evening meal which was very nice. Staff are very friendly and helpful. 
Taxi to airport is 6pd the same as it would cost for 2 people on the 
bus.Read moreReview collected in partnership with this hotelDate of stay: 
May 2019HelpfulShare</t>
  </si>
  <si>
    <t>https://www.tripadvisor.co.uk/Hotel_Review-g191265-d229508-Reviews-or810-Travelodge_Gatwick_Airport_Central-Horley_Surrey_England.html#REVIEWS</t>
  </si>
  <si>
    <t>Maps814247 wrote a review May 20193 contributions</t>
  </si>
  <si>
    <t>Great serviceHelpful friendly staff. Bent over backwards to find extension lead needed 
for cpac machine on 2 seperate occasions. Can't fault . Will recommend to 
every body. Very convenient for airport, frequent bus service outsideRead 
moreReview collected in partnership with TravelodgeDate of stay: May 
2019HelpfulShare</t>
  </si>
  <si>
    <t>iceman123EastSussex wrote a review May 2019East Sussex484 contributions201 
helpful votes</t>
  </si>
  <si>
    <t>Value for MoneyVery handy for an overnight stop for Gatwick North if you have an early 
flight. Reasonably priced basic food, but drinks expensive. Head waiter 
failed to tell us we needed to order food at the bar and we did not spot 
this on the menu..Read moreReview collected in partnership with 
TravelodgeDate of stay: May 2019HelpfulShare</t>
  </si>
  <si>
    <t>Rhonda wrote a review May 2019Vancouver, Canada1 contribution</t>
  </si>
  <si>
    <t>Clean, efficient and helpful staffI stayed overnight in order to catch an early flight. Super clean, quiet 
and efficient. Dinner at the bar was really good and a quick taxi ride away 
from the airport in the morning. I wish more of the places I stayed on this 
trip were as restful. Thank you.Read moreReview collected in partnership 
with TravelodgeDate of stay: May 2019HelpfulShare</t>
  </si>
  <si>
    <t>Tour45135915086 wrote a review May 20191 contribution</t>
  </si>
  <si>
    <t>Dee3Late return flight, landed, plus usual conditions through airport so was 
happy to get to hotel quickly, took a time to find bus stop to hotel, bus 
soon arrived and not too far to hotel. On arrival it was an easy check in, 
small room for three people, Clean and tidy. Check in from 3pm to 12 noon 
next day, I arrived after midnight, had to then check out by midday, 
different booking system for a later check out would have helped.Read 
moreReview collected in partnership with TravelodgeDate of stay: May 
2019HelpfulShare</t>
  </si>
  <si>
    <t>https://www.tripadvisor.co.uk/Hotel_Review-g191265-d229508-Reviews-or815-Travelodge_Gatwick_Airport_Central-Horley_Surrey_England.html#REVIEWS</t>
  </si>
  <si>
    <t>channonnnev wrote a review May 201913 contributions1 helpful vote</t>
  </si>
  <si>
    <t>Very friendly staff!I checked in with a friend recently but had different flight times. I was 
very nervous of flying solo and sat at the bar for ages. The Bartender 
Reece was so friendly and went beyond his job of pouring me a drink and 
spent time talking to me and calming me down before my flight. I hope he 
gets the credit he deserves, he made me very comfortable. Breakfast is good 
too! ��Read moreDate of stay: May 2019HelpfulShare</t>
  </si>
  <si>
    <t>Nicole W wrote a review May 20193 contributions</t>
  </si>
  <si>
    <t>Great location, clean, good valueThe hotel was clean, the cafe was tasty with a lot of variety at the 
breakfast buffet, and the staff very friendly and helpful. The bus shuttle 
to the airport was very prompt and ran every ten minutes, which was very 
convenient. We had a very large room, which was nice, but not a single 
table or chair was in it, so we had to put everything on the floor and sit 
on the bed. Also, the wifi only allowed 2 devices, which was not 
communicated to us before hand. It was fine as there was only 2 of us, but 
it would have been nice to know if we had brought the family.Read 
moreReview collected in partnership with TravelodgeDate of stay: May 
2019HelpfulShare</t>
  </si>
  <si>
    <t>https://www.tripadvisor.co.uk/Hotel_Review-g191265-d229508-Reviews-or820-Travelodge_Gatwick_Airport_Central-Horley_Surrey_England.html#REVIEWS</t>
  </si>
  <si>
    <t>Debra L wrote a review May 2019Deal, United Kingdom28 contributions11 
helpful votes</t>
  </si>
  <si>
    <t>Overnight airport stayOvernight stay prior to a week away with family _ have stayed here 
regularly over the past 3 years and have watched it being transformed and 
updated over that period. We always choose a super room as it has all that 
you require in terms of a hair dryer coffee machine and iron. Rooms have 
recently been refurbished and so has the restaurant and bar area and the 
breakfast was hot plentiful and there was a staff member available should 
you require anything _ breakfast is all you can eat/drink and great value _ 
would recommend and if you book far enough in advance you always get a 
great deal!Read moreReview collected in partnership with this hotelDate of 
stay: May 2019HelpfulShare</t>
  </si>
  <si>
    <t>heffalumploveshols wrote a review May 2019Aldershot, United Kingdom34 
contributions28 helpful votes</t>
  </si>
  <si>
    <t>Great overnight stopoverOnly stayed overnight but had a great comfy bed. Room was very quiet. Great 
shower and coffee making facilities. Will definitely stay again as this is 
so convenient for Gatwick. Breakfast very expensive.Read moreDate of stay: 
May 20191 Helpful voteHelpfulShare</t>
  </si>
  <si>
    <t>https://www.tripadvisor.co.uk/Hotel_Review-g191265-d229508-Reviews-or825-Travelodge_Gatwick_Airport_Central-Horley_Surrey_England.html#REVIEWS</t>
  </si>
  <si>
    <t>Travellingdoc wrote a review May 2019Cardiff, United Kingdom4,335 
contributions248 helpful votes</t>
  </si>
  <si>
    <t>NoisyIt’s not located walking distance to the airport, there is a bus to the 
terminal. Parking is £8 per 24hours. There is no other rate.The car park 
was practically full too. Check in was poor. Long queue and no receptionist 
on arrival. The self check in terminals did not work. Had room 535, 
spacious and minimalist. But major problems over night with noise- from the 
road, people taking, creaking walls contracting and doors closing. Very 
poor noise insulation. Bathroom- basic- wall attached shower gel. Did not 
try breakfast!Read moreDate of stay: May 2019HelpfulShareResponse from 
TravelodgeUK, Ben from the Social Media Team at Travelodge Gatwick Airport 
CentralResponded 19 May 2019Thank you for your review. We are sorry to 
learn of your disappointment with the hotels location and that external 
noise affected the comfort of your stay. We strive to make our customers as 
comfortable as possible and we would like to apologise if on this occasion 
we were not able to offer you a good night's sleep. Wherever possible, we 
mention on the hotel’s booking page that due to the hotel’s location, 
external noise may be heard. We have also taken measures within our hotels 
such as double glazing to try and reduce the impact this may have on a 
guests stay with us. Feedback is invaluable and our Hotel Managers 
regularly review their TripAdvisor reviews in order to fix any issues 
raised and pass on feedback to their team. We hope that there will be 
another occasion to welcome you again and improve your views on 
Travelodge.Read more</t>
  </si>
  <si>
    <t>Quest46602238599 wrote a review May 20191 contribution</t>
  </si>
  <si>
    <t>Perfect for an overnight pre/after flightThe price was competitive and all facilities and services were very good. 
We opted for breakfast and it offered as good choice and set us up for the 
journey home, The location was great for the airport and the bus service 
was easy to use and frequent.Read moreReview collected in partnership with 
TravelodgeDate of stay: May 2019HelpfulShare</t>
  </si>
  <si>
    <t>https://www.tripadvisor.co.uk/Hotel_Review-g191265-d229508-Reviews-or830-Travelodge_Gatwick_Airport_Central-Horley_Surrey_England.html#REVIEWS</t>
  </si>
  <si>
    <t>Denise R wrote a review May 2019Sandy, United Kingdom13 contributions6 
helpful votes</t>
  </si>
  <si>
    <t>Great for early flightsReasonable price for airport hotel, nice and comfy with access to nice bar 
and restaurant. Food was good and reasonably priced. Defiantly worth a try. 
One niggle £8.00 for overnight parking otherwise no other problems.Read 
moreReview collected in partnership with TravelodgeDate of stay: May 
2019HelpfulShare</t>
  </si>
  <si>
    <t>Nathan wrote a review May 20191 contribution</t>
  </si>
  <si>
    <t>Excellent nightI’ve been visiting travelodge for years now, specifically Gatwick and there 
have been many staff come and go but Reece tonight came in too a busy bar, 
stayed calm and sorted all the problematic people out. While keeping the 
pints coming a big well down!Read moreDate of stay: May 2019HelpfulShare</t>
  </si>
  <si>
    <t>https://www.tripadvisor.co.uk/Hotel_Review-g191265-d229508-Reviews-or835-Travelodge_Gatwick_Airport_Central-Horley_Surrey_England.html#REVIEWS</t>
  </si>
  <si>
    <t>Getaway57214186391 wrote a review May 2019Woodley, United Kingdom1 
contribution</t>
  </si>
  <si>
    <t>Friendly staff/ clean roomsExcellent set of staff, very welcoming and all were very tentative. Rooms 
were spot on, large, clean and tidy. Everything was easy to use and food 
from the bar was actually really good. It was a first for us to stay at 
hotel before flying, will be doing this againRead moreReview collected in 
partnership with TravelodgeDate of stay: May 2019HelpfulShare</t>
  </si>
  <si>
    <t>janetdP2942MX wrote a review May 2019Madoc2 contributions</t>
  </si>
  <si>
    <t>Stay at Travelodge HotelVery clean , bright room, lovely to soak in proper bath tub. Would have 
been nice to have had a fridge, alarm clock &amp; phone in the room as standard 
items. Staff were very pleasant &amp; helpful, food was lovely .Read moreReview 
collected in partnership with TravelodgeDate of stay: May 2019HelpfulShare</t>
  </si>
  <si>
    <t>andremoysescardoso wrote a review May 2019Newmarket, Canada244 
contributions72 helpful votes</t>
  </si>
  <si>
    <t>Great value for money !Great value for money. Clean and spacious room. Shuttle to the airport. It 
was missing a hair dryer in the room. The rooms didn’t have a phone to talk 
to the reception. The wifi was paid which makes no sense in modern world 
(just add £3 to the room rate but don’t explicitly charge for wifi) !!!Read 
moreReview collected in partnership with TravelodgeDate of stay: May 
2019HelpfulShare</t>
  </si>
  <si>
    <t>https://www.tripadvisor.co.uk/Hotel_Review-g191265-d229508-Reviews-or840-Travelodge_Gatwick_Airport_Central-Horley_Surrey_England.html#REVIEWS</t>
  </si>
  <si>
    <t>Quest30848978075 wrote a review May 20191 contribution</t>
  </si>
  <si>
    <t>Clean, Convenien, Comfy!Always stay here overnight for flights from Gatwick. It is spotlessly 
clean, the staff are friendly, and although the too.s are pretty basic, 
what more does anyone need...bed, tv, bathroom, charging points and a good 
night's sleep. Cafe food is fine and well stocked bar. What's not to 
like?Read moreReview collected in partnership with this hotelDate of stay: 
April 2019HelpfulShare</t>
  </si>
  <si>
    <t>Mike R wrote a review May 20199 contributions2 helpful votes</t>
  </si>
  <si>
    <t>ideal locationgreat hotel, staff brilliant and so convenient for the airport. Have stayed 
there several times, ideal for early morning flights, no chance of delays 
on roads or trains. I have travelled by advance fare tickets on the train 
and it works out cheaper to stay at Travlodge than to drive up and pay for 
fuel and parking and less to worry about. Would thoroughly recomendRead 
moreReview collected in partnership with this hotelDate of stay: April 
2019HelpfulShare</t>
  </si>
  <si>
    <t>Chloe2410 wrote a review May 2019Hartest, United Kingdom119 contributions34 
helpful votes</t>
  </si>
  <si>
    <t>https://www.tripadvisor.co.uk/Hotel_Review-g186338-d1812157-Reviews-or775</t>
  </si>
  <si>
    <t>Nice convenient hotelGreat location and really convenient for the airport. The hotel is nicely 
refurbished and was clean and modern. The staff were friendly. The room was 
clean and tidy and spacious. We pre-paid the dinner which for the price of 
£14 for two courses was pretty good value for money and was good food. The 
drinks were a little expensive at the bar but that’s to be expected in a 
hotel. They have quite a big car park, we found it plenty of spaces 
arriving about 4, but it did fill up in the evening. The rooms were quiet 
and we didn’t hear the planes or road. Overall good value for money for a 
nice clean room and very convenient for Gatwick airport.Read moreDate of 
stay: May 2019HelpfulShare</t>
  </si>
  <si>
    <t>Antonios T wrote a review May 2019London, United Kingdom109 contributions15 
helpful votes</t>
  </si>
  <si>
    <t>Very ConvenientWe always stay at Travelodge Gatwick Central when we have an early flight 
the next day although we only live 25 miles away from Gatwick Airport. We 
choose the Syper Rooms because they are large and very comfortable. As 
usually the staff are very helpful and the service in general very good. 
There is a Shuttle Bus Service (£3 per person) and drops us at either South 
or North Terminal running at a good frequency. The hotel provides a 
timetable. It also has a good bar and snacks (pizzas, sandwiches etc) and 
Breakfast.Read moreDate of stay: April 2019HelpfulShare</t>
  </si>
  <si>
    <t>https://www.tripadvisor.co.uk/Hotel_Review-g191265-d229508-Reviews-or845-Travelodge_Gatwick_Airport_Central-Horley_Surrey_England.html#REVIEWS</t>
  </si>
  <si>
    <t>Francisco S wrote a review May 2019Tavira, Portugal5 contributions1 helpful 
vote</t>
  </si>
  <si>
    <t>Really good value for moneyRooms were great and spacious, bathroom had everything you would want. Only 
letdown was that you had to pay for wifi. People on the reception were 
friendly, and helpfull. Didn't try the breakfast, but it's not expensive 
for what you should get.Read moreReview collected in partnership with 
TravelodgeDate of stay: May 2019HelpfulShare</t>
  </si>
  <si>
    <t>Paulena D wrote a review May 20192 contributions</t>
  </si>
  <si>
    <t>Perfect location for travel and outstanding breakfast service!I didnt know what to expect staying at hotel near the airport but our stay 
was amazing. It was very easy to get to the hotel via shuttle from the 
airport for a small fee, which takes you right to the door. Rooms and 
bathroom were much more modern than I expected and we had a wonderful stay. 
Breakfast service was really great. They had such a variety to choose from 
which appeased my picky eater. The breakfast staff was super nice and 
accommodating, I was really impressed.Read moreReview collected in 
partnership with TravelodgeDate of stay: May 2019HelpfulShare</t>
  </si>
  <si>
    <t>Jill H wrote a review May 20191 contribution</t>
  </si>
  <si>
    <t>Good for Gatwick airportVery convenient location for either airport terminal. Buses run direct from 
front door of hotel to Gatwick airport approximately every 10 minutes. 
Clean and comfortable hotel room. Parking available on site on payment of 
appropriate parking charges.Read moreReview collected in partnership with 
TravelodgeDate of stay: May 2019HelpfulShare</t>
  </si>
  <si>
    <t>https://www.tripadvisor.co.uk/Hotel_Review-g191265-d229508-Reviews-or850-Travelodge_Gatwick_Airport_Central-Horley_Surrey_England.html#REVIEWS</t>
  </si>
  <si>
    <t>elaineT557 wrote a review May 2019Birmingham, United Kingdom124 
contributions52 helpful votes</t>
  </si>
  <si>
    <t>Hotel before holidayThis hotel is ideal for Gatwick airport, the beds are comfortable and rooms 
large with tea and coffee facilities, meals good and reasonably priced with 
parking facilities if needed, we will definitely stay again when flying 
from GatwickRead moreReview collected in partnership with TravelodgeDate of 
stay: May 2019HelpfulShare</t>
  </si>
  <si>
    <t>Trip63314 wrote a review May 20191 contribution</t>
  </si>
  <si>
    <t>Good valueThe room was extras-free as was the price. We would have loved to have the 
breakfast, but did feel that it was overpriced, although maybe it was the 
breakfast to end all breakfasts and also a value for the $.Read moreReview 
collected in partnership with TravelodgeDate of stay: May 2019HelpfulShare</t>
  </si>
  <si>
    <t>Guide66558814021 wrote a review May 2019Christchurch, United Kingdom1 
contribution1 helpful vote</t>
  </si>
  <si>
    <t>Not cleanArrived to stay as had an early flight the following morning and went to 
use the shower and to my disgust the towels were covered in poo and tissue 
paper with poo on! All they did was give clean towels weren’t sorry at all 
and got no refund!Read moreReview collected in partnership with 
TravelodgeDate of stay: May 20191 Helpful voteHelpfulShareResponse from 
TravelodgeUK, James from the Social Media Team at Travelodge Gatwick 
Airport CentralResponded 10 May 2019Thank you for reviewing our Travelodge 
Gatwick Airport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</si>
  <si>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David S wrote a review May 2019Malvern, United Kingdom605 contributions290 
helpful votes</t>
  </si>
  <si>
    <t>Terrific valueUp to the same standard as every other Travelodge, but £8 to park 
overnight. There is a small restaurant and bar and staff are really 
helpful. Convenient for North and South terminals. It is basic, but really 
good value.Read moreDate of stay: April 2019HelpfulShare</t>
  </si>
  <si>
    <t>https://www.tripadvisor.co.uk/Hotel_Review-g191265-d229508-Reviews-or855-Travelodge_Gatwick_Airport_Central-Horley_Surrey_England.html#REVIEWS</t>
  </si>
  <si>
    <t>Vacation13425530562 wrote a review May 20191 contribution</t>
  </si>
  <si>
    <t>Great value for moneyVery happy with our stay at this hotel, the receptionist was very friendly 
and caring - this is exactly what we needed coming to the hotel extremely 
tired in the middle of the night. The room was nice and clean, very happy 
with everythingRead moreReview collected in partnership with TravelodgeDate 
of stay: May 2019HelpfulShare</t>
  </si>
  <si>
    <t>tamsterHerneBay wrote a review May 2019Herne Bay17 contributions4 helpful 
votes</t>
  </si>
  <si>
    <t>Pre holiday stayNice hotel. Bar area is lovely. Rooms are clean and roomy. No noise from 
outside although some noise inside. Mostly people which isn't the hotel's 
fault. Got there early.Check-in was 3pm but had a drink in the bar while 
waiting. Overall pleased with our stay. Be careful of the car park - it's 
privately owned!!Read moreDate of stay: May 2019HelpfulShare</t>
  </si>
  <si>
    <t>Cfcglen wrote a review May 2019London, United Kingdom6 contributions</t>
  </si>
  <si>
    <t>Well worth the moneyNot the greatest hotel I’ve ever been to, but for the money you can’t go 
wrong here. It’s about 2 mins from South terminal Plenty of parking Parking 
overnight is £8.50 Good bar &amp; restaurant on site. Front of house staff 
really friendly &amp; helpful.Read moreDate of stay: May 2019HelpfulShare</t>
  </si>
  <si>
    <t>https://www.tripadvisor.co.uk/Hotel_Review-g191265-d229508-Reviews-or860-Travelodge_Gatwick_Airport_Central-Horley_Surrey_England.html#REVIEWS</t>
  </si>
  <si>
    <t>Odyssey64196264668 wrote a review May 20191 contribution</t>
  </si>
  <si>
    <t>Simple as can beA nice and clean hotel, with friendly helpful staff..The bar was clean.. 
food was lovely and plenty of options for a quick snack, Tea and coffee was 
also available in the room which was nice if you had a late arrival..Read 
moreReview collected in partnership with TravelodgeDate of stay: May 
2019HelpfulShare</t>
  </si>
  <si>
    <t>Babsbaz wrote a review May 2019Risca, United Kingdom36 contributions57 
helpful votes</t>
  </si>
  <si>
    <t>Very good valueThis was our 10th stay and it is excellent value prior to flying or after a 
late night arrival. £3bus ride 10 minutes from the terminals. Excellent 
breakfast with all you can eat. Tea and coffee in the rooms. Not 5 star but 
excellent value.Read moreReview collected in partnership with 
TravelodgeDate of stay: May 2019HelpfulShare</t>
  </si>
  <si>
    <t>Vacation01468668758 wrote a review May 20191 contribution</t>
  </si>
  <si>
    <t>Fantastically located hotel next to Gatwick airportJust stayed one night at this hotel before jetting off from Gatwick. Was 
everything we needed, comfy, tidy, clean and a good night's sleep before a 
long flight. A bus picked us up directly from the hotel entrance to go to 
the airport. Great service for this very reasonably priced hotel.Read 
moreReview collected in partnership with TravelodgeDate of stay: April 
2019HelpfulShare</t>
  </si>
  <si>
    <t>Vicky wrote a review May 2019South Ockendon, United Kingdom47 
contributions7 helpful votes</t>
  </si>
  <si>
    <t>ChillingChecked in and as soon as we got to our room there was a member of staff 
from maintenance called jim fixing our light, jim was well presented in his 
nice blue uniform he was friendly funny and welcoming a credit to your 
company.Read moreDate of stay: May 2019HelpfulShare</t>
  </si>
  <si>
    <t>Traveler61489380117 wrote a review May 20191 contribution</t>
  </si>
  <si>
    <t>bad experience- No direct walking path from the airport and no instruction on how to get 
to the hotel. We followed a walk path which led to the wrong place. We (2 
girls) ended up lost, in the middle of nowhere at 1am, with heavy 
suitcases, 5°C weather and no cab around. We had no other choice than ask 
to a stranger for a ride which is very unsafe! - At the hotel, DAB did not 
work. Reception told us we need to get a shuttle to to the airport which 
cost 3£ and had to pay cash only. Receptionist could not get any cash back. 
closest DAB cost 1.95£ to get money for a 3£ shuttle. I used a shuttle but 
my friend who had to get p at 6am used a cab. She asked to reception to 
request a cab. I am not sure if they did as in the end, 25 min after the 
driver was still not there. She then had to download the…Read moreReview 
collected in partnership with TravelodgeDate of stay: May 
2019HelpfulShareResponse from TravelodgeUK, Molly from the Social Media 
Team at Travelodge Gatwick Airport CentralResponded 7 May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</si>
  <si>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https://www.tripadvisor.co.uk/Hotel_Review-g191265-d229508-Reviews-or865-Travelodge_Gatwick_Airport_Central-Horley_Surrey_England.html#REVIEWS</t>
  </si>
  <si>
    <t>jonathan r wrote a review May 2019Plymouth, United Kingdom14 contributions3 
helpful votes</t>
  </si>
  <si>
    <t>Ok but could still do a lot betterWe stayed in a Travelodge plus room and although they are a step up in 
normal rooms they still could be made better. Curtains still let in a lot 
of light and is very easily rectified by putting up a pelmit on top to 
block the light that comes in. Air in is a nice addition but you can’t 
change the settings from heating to aircon it Also a very noisy unit even 
when it’s not turned on it still makes a funny noise that can’t be stopped. 
Showers are an improvement with moveable shower heads rather than fixedones 
coffee machine is a great extra with free KitKat’s :).Read moreDate of 
stay: May 2019HelpfulShare</t>
  </si>
  <si>
    <t>Essex Lad wrote a review May 2019Maldon, United Kingdom125 contributions73 
helpful votes</t>
  </si>
  <si>
    <t>Convenient Location For Stop OverWe have used hotel on several occasions for one night stop over before 
early morning flight. Hotel is a little dated but we have always found it 
to be clean and comfortable for a short stay. Bar prices are expensive but 
Horley town centre is within walking distance or a short taxi ride away and 
has many places to offer for eating out etc.Read moreDate of stay: April 
2019HelpfulShare</t>
  </si>
  <si>
    <t>https://www.tripadvisor.co.uk/Hotel_Review-g191265-d229508-Reviews-or870-Travelodge_Gatwick_Airport_Central-Horley_Surrey_England.html#REVIEWS</t>
  </si>
  <si>
    <t>Carol K wrote a review May 2019Newquay, United Kingdom11 contributions1 
helpful vote</t>
  </si>
  <si>
    <t>Very pleasant stayThe Food was amazing, the room comfortable and overall stay was satisfying 
thank you. I did get a call at 10.10pm to say there would be a taxi picking 
me up in the morning which I could have done without.Read moreReview 
collected in partnership with this hotelDate of stay: May 2019HelpfulShare</t>
  </si>
  <si>
    <t>Julian L wrote a review May 20192 contributions1 helpful vote</t>
  </si>
  <si>
    <t>Works for me!Travelodge Gatwick Airport Central is a great place to either recharge your 
batteries, or spend the night to catch a morning flight. The shuttle 
service is convenient and well organized. The rooms are comfortable and 
quiet. The restaurant has food and the bar serves alcohol. The employees 
are friendly and courteous, and the price is reasonable.Read moreReview 
collected in partnership with this hotelDate of stay: April 2019HelpfulShare</t>
  </si>
  <si>
    <t>https://www.tripadvisor.co.uk/Hotel_Review-g191265-d229508-Reviews-or875-Travelodge_Gatwick_Airport_Central-Horley_Surrey_England.html#REVIEWS</t>
  </si>
  <si>
    <t>r0nam70 wrote a review May 2019Cornwall, United Kingdom81 contributions12 
helpful votes</t>
  </si>
  <si>
    <t>Parking chaosWhilst the hotel was good the parking was chaotic with cars parked on the 
grass areas (fortunately dry) as there were so many vehicles there - many 
more than the number of rooms in the Travelodge. Charging at £8 for a 24 
hour period with a maximum stay of 15 days seems to be the reason as many 
vehicles were probably left while their owners went away! The ticket 
machines were out of order and one had to pay over the phone with an 
automated system and then send a text message with registration details 
etc! - OK if you have signal. The hotel is very close to the airport but 
fortunately there was little noise from the aircraft taking off or landing. 
An issue was that there were no glasses in the room - necessitating a trip 
to the bar to obtain.Read moreReview collected in partnership with this 
hotelDate of stay: April 2019HelpfulShare</t>
  </si>
  <si>
    <t>Stellar O wrote a review May 2019Lincoln, United Kingdom10 contributions2 
helpful votes</t>
  </si>
  <si>
    <t>Great value for money but noisyGreat place but make sure you don't stay in room 19!!!! It was extremely 
noisy all night long!!!!!!from the intake door banging shut everyone 
someone came through the coridoor! The bus pulled up outside every twenty 
minutes and most annoying the window to our room was all the smokers area 
people stood right outside talking all hours of the night. I don't 
appreciate any of this when I have to get up at 4am!!! Will definitely stay 
again as it's a nice, friendly place but will make sure I'm not in the same 
room again!!!Read moreReview collected in partnership with TravelodgeDate 
of stay: May 2019HelpfulShare</t>
  </si>
  <si>
    <t>carolmiggy wrote a review May 2019Gibraltar3 contributions3 helpful votes</t>
  </si>
  <si>
    <t>Fantastic findI have never stayed at a Travelodge because of the bad reviews I've read. 
This changed 100% when I stayed with them yesterday. Fantastic room with 
the latest technology. Amazingly comfortable beds and spacious rooms. This 
will definitely be my go to hotel when I visit the UK Highly 
recommendedRead moreDate of stay: May 2019HelpfulShare</t>
  </si>
  <si>
    <t>D7605PIgeorgek wrote a review May 2019London, United Kingdom4 
contributions7 helpful votes</t>
  </si>
  <si>
    <t>Never Again!This is an awful Travelodge. The rooms are as expected but the 
leisure/communal areas are horrible. Don't expect any comfort in the bar 
which is over priced and like a community hall/sports centre. Pay a bit 
more and stay at the Premier Inn!Read moreReview collected in partnership 
with TravelodgeDate of stay: April 2019HelpfulShareResponse from 
TravelodgeUK, Tilly from The Social Media Team at Travelodge Gatwick 
Airport CentralResponded 12 May 2019Thank you for submitting your review of 
our Gatwick Airport Central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</si>
  <si>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iamjw1990 wrote a review May 2019Trowbridge, United Kingdom30 
contributions5 helpful votes</t>
  </si>
  <si>
    <t>Great location for airport!Room was clean, comfortable and just what you needed. Great location for 
flying from Gatwick airport &amp; the shuttle bus to and from the airport are 
quick &amp; easy! No issues with this! Only issue was that I had prebooked car 
parking but this wasn't showing on my booking - had to show my email to 
prove I had prepaid for it. The rooms aren't very soundproof and be 
prepared to hear doors banging etc for people assumingly getting up/in for 
flights etc.Read moreReview collected in partnership with TravelodgeDate of 
stay: April 2019HelpfulShare</t>
  </si>
  <si>
    <t>https://www.tripadvisor.co.uk/Hotel_Review-g191265-d229508-Reviews-or880-Travelodge_Gatwick_Airport_Central-Horley_Surrey_England.html#REVIEWS</t>
  </si>
  <si>
    <t>Departure32705693795 wrote a review Apr 20191 contribution</t>
  </si>
  <si>
    <t>Top stayEverything about this stay was great and the beds so comfy there was plenty 
of room for the 4 of us in the 1 room totally recommend. Easy to commute in 
London city from and staff very friendly and helpful as this was the 1st 
time we had visited LondonRead moreReview collected in partnership with 
TravelodgeDate of stay: April 2019HelpfulShare</t>
  </si>
  <si>
    <t>Emberroy wrote a review Apr 2019Greater London, United Kingdom34 
contributions8 helpful votes</t>
  </si>
  <si>
    <t>Very goodI have stayed here a few times recently the friendly reception staff made 
checking in smooth the refurbishment has made a vast improvement the rooms 
are nicely decorated and always spotlessly clean. The bar cafe is much 
improved the food good with quick service and also I must mention the bar 
staff who are very efficient in particularly a friendly bubbly young lady 
called Millie.Read moreDate of stay: April 2019HelpfulShare</t>
  </si>
  <si>
    <t>Shirley9093567 wrote a review Apr 20192 contributions</t>
  </si>
  <si>
    <t>You really do get what you pay for!There was no parking spaces left, we were advised to park at the airport by 
the receptionist. The room was clean but the bed really uncomfortable. The 
room was so noisy, we could hear everything from the room next door, a 
young couple very much in love! The bathroom noises......mmmmm, and every 
other guest going to bed throughout the night. I would pay more and stay 
somewhere else if I were you. Oh yes we found a space to park on a grass 
verge on the entrance to the hotel!Read moreReview collected in partnership 
with TravelodgeDate of stay: April 2019HelpfulShareResponse from 
TravelodgeUK, Shaf from the Social Media Team. at Travelodge Gatwick 
Airport CentralResponded 1 May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</si>
  <si>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https://www.tripadvisor.co.uk/Hotel_Review-g191265-d229508-Reviews-or885-Travelodge_Gatwick_Airport_Central-Horley_Surrey_England.html#REVIEWS</t>
  </si>
  <si>
    <t>joanboon22 wrote a review Apr 2019Portreath, United Kingdom2 contributions</t>
  </si>
  <si>
    <t>Good start to our holiday!We always stay at this Travelodge and have never had a complaint in many 
years of staying! Be back again in September! Have always found staff to be 
friendly and helpful. Rooms clean, bed comfortable and shower works. What 
more do you need!Read moreReview collected in partnership with this 
hotelDate of stay: April 2019HelpfulShare</t>
  </si>
  <si>
    <t>Vacation03057084061 wrote a review Apr 20191 contribution</t>
  </si>
  <si>
    <t>Excellent stayclean and spacious room, extremely friendly staff and good breakfast.I 
would definitely go back to this hotel if I ever need accommodation in the 
area. Highligt for me was the team. Everyone I sow there (staff) were 
pleasant and friendly.Read moreReview collected in partnership with 
TravelodgeDate of stay: April 2019HelpfulShare</t>
  </si>
  <si>
    <t>260jennm wrote a review Apr 2019Toronto, Canada4 contributions</t>
  </si>
  <si>
    <t>Lovely stay close to airportClean, modern and comfortable. Not a bad word to say about this travel 
offs- one of the best I’ve tayed in from this brand. The bedding was 
fabulous and new, the room was spotless. We were very impressed with this 
hotel for the price but would have been nice to have WiFiRead moreReview 
collected in partnership with TravelodgeDate of stay: April 2019HelpfulShare</t>
  </si>
  <si>
    <t>https://www.tripadvisor.co.uk/Hotel_Review-g186338-d1812157-Reviews-or780</t>
  </si>
  <si>
    <t>natleg1380 wrote a review Apr 2019Southampton, United Kingdom13 
contributions7 helpful votes</t>
  </si>
  <si>
    <t>Travel Lodge - GatwickNicely decorated, clean, tidy, nice bar area. The car park was full when I 
arrived so I had to park on the grass under a tree. When I returned from my 
holiday my car was covered in bird poo so wasn't very happy with that!Read 
moreReview collected in partnership with this hotelDate of stay: April 
2019HelpfulShare</t>
  </si>
  <si>
    <t>https://www.tripadvisor.co.uk/Hotel_Review-g191265-d229508-Reviews-or890-Travelodge_Gatwick_Airport_Central-Horley_Surrey_England.html#REVIEWS</t>
  </si>
  <si>
    <t>Climber26286459692 wrote a review Apr 20191 contribution</t>
  </si>
  <si>
    <t>SuperbAmazing service all around. Had a broken suitcase crisis which was resolved 
by the staff finding a spare case in the luggage room. Free of charge. 
Shuttle service to and from Gatwick great. Had to book out later than 12h00 
and for a mere tenner was allowed an extra 2 hours. Great people. Great 
place.Read moreReview collected in partnership with TravelodgeDate of stay: 
April 2019HelpfulShare</t>
  </si>
  <si>
    <t>PCMAN1964 wrote a review Apr 2019Bristol, United Kingdom338 
contributions202 helpful votes</t>
  </si>
  <si>
    <t>Telling it like it is!Travelodge, clean tidy comfortable on a budget. Staff were very nice and 
helpful. Downside, parking. Even if you’ve prebooked months in advance you 
may not find a space. We had to park on the grass verge. Everything else 
was good but expect better when pre booking and being charged extra for 
parking.Read moreDate of stay: April 2019HelpfulShare</t>
  </si>
  <si>
    <t>Flyer51050643755 wrote a review Apr 20191 contribution</t>
  </si>
  <si>
    <t>Perfect locationTravelodge at Gatwick airport was the perfect place to stay for our early 
morning flight. It is only a couple of minutes from the airport parking. We 
found the hotel to be very clean and a very reasonable price.Read 
moreReview collected in partnership with TravelodgeDate of stay: April 
2019HelpfulShare</t>
  </si>
  <si>
    <t>272LinV wrote a review Apr 2019Plymouth, United Kingdom26 contributions28 
helpful votes</t>
  </si>
  <si>
    <t>Good overnight stayWe stayed in room 11 on the ground floor at the back of the hotel so it was 
very quiet, well, except for the couple next door, but the hotel had no 
control over that! Our room was clean, comfortable and convenient being on 
the ground floor. We had two easy chairs and coat hooks on the back of the 
room door, these have been lacking in the past. We ate in the cafe bar, 
took advantage of happy hour, £8.50 for two drinks, and ate a tasty, made 
to order pizza. Millie in the bar provided excellent, friendly service. 
Reception staff were friendly and helpful. Perfect location for an 
overnight stay before an early morning flight. Taxi to airport quick and 
easy although the shuttle bus stops right outside the hotel and goes to 
both terminals. Will definitely stay here again.Read moreReview collected 
in partnership with this hotelDate of stay: April 2019HelpfulShare</t>
  </si>
  <si>
    <t>https://www.tripadvisor.co.uk/Hotel_Review-g191265-d229508-Reviews-or895-Travelodge_Gatwick_Airport_Central-Horley_Surrey_England.html#REVIEWS</t>
  </si>
  <si>
    <t>JuanitaBrighton wrote a review Apr 2019Brighton216 contributions27 helpful 
votes</t>
  </si>
  <si>
    <t>An excellent hotel close to the airportThree of us stayed here prior to taking an early morning flight to Rome. 
The hotel was very well maintained and spotlessly clean. There was a good 
restaurant and a bar area with a good atmosphere which was perfect for our 
pre hoiday night's stay. The reception staff were friendly and helpful and 
the shuttle bus was a real asset.Read moreReview collected in partnership 
with this hotelDate of stay: April 2019HelpfulShare</t>
  </si>
  <si>
    <t>Sightseer32552907069 wrote a review Apr 20191 contribution</t>
  </si>
  <si>
    <t>Good value apart from the barUp[ to it's usual standard and given a welcome refurb. But paying a private 
company to park in the hotel car park is poor and the bar prices were 
outrageous. Tasty self service breakfast with plenty of choiceRead 
moreReview collected in partnership with TravelodgeDate of stay: April 
2019HelpfulShare</t>
  </si>
  <si>
    <t>Nomad32203 wrote a review Apr 20192 contributions</t>
  </si>
  <si>
    <t>A perfect hotel when waiting for your next plane.If you have to wait half a day for your next flight, og for a walk in 
Horley while the hotal takes care of your luggage. Some nice pubs and 
restaurants there. This hotel is situated and made fot short stays, with 
easy shuttle to the airpoirt.Read moreReview collected in partnership with 
TravelodgeDate of stay: April 2019HelpfulShare</t>
  </si>
  <si>
    <t>34769pete wrote a review Apr 2019Northampton, United Kingdom190 
contributions92 helpful votes</t>
  </si>
  <si>
    <t>Cheap overnight pre flight.Stayed the night before an early flight. Standard Travelodge room so tidy 
wth basic facilities, overnight parking an additional £8. Really didn't 
like the fact that the room was way at the back of the hotel up 2 flights 
of stairs without an elevator. What genius designed that into an airport 
hotel where your faced with either leaving all your luggage in your vehicle 
or lugging up stairs. At £44 a night I guess it's cheaper enough that they 
get away with it. Anymore though and I'd stay elsewhere.Read moreDate of 
stay: April 2019HelpfulShareResponse from TravelodgeUK, Tilly from The 
Social Media Team at Travelodge Gatwick Airport CentralResponded 9 May 
2019Thank you for your comments about our Gatwick Airport Central hotel. 
We're sorry to hear of your disappointment with the location of your room, 
however we are pleased that you enjoyed the majority of your stay. We will 
pass your feedback to the hotel team and we hope to welcome you back in the 
near futureRead more</t>
  </si>
  <si>
    <t>https://www.tripadvisor.co.uk/Hotel_Review-g191265-d229508-Reviews-or900-Travelodge_Gatwick_Airport_Central-Horley_Surrey_England.html#REVIEWS</t>
  </si>
  <si>
    <t>Wander41717097007 wrote a review Apr 2019London, United Kingdom1 
contribution</t>
  </si>
  <si>
    <t>Travelodge LGWGreat customer service. Friendly and helpful especially when I lost my 
mobile phone. All staff members went above and beyond what I would normally 
expect for hotel staff; this included house keeping staff who did a great 
job.Read moreReview collected in partnership with TravelodgeDate of stay: 
April 2019HelpfulShare</t>
  </si>
  <si>
    <t>Caroline W wrote a review Apr 2019Stroud, United Kingdom35 contributions16 
helpful votes</t>
  </si>
  <si>
    <t>Pre flight family stayBooked a room for 2 adults and 2 children. When we got to our room there 
was a bed missing! Not a problem though, husband went to let reception know 
and they assigned us a room a few doors down so we just moved. Pleasant 
stay. Clean room. Nice breakfast. Can't complain at the price we paid.Read 
moreDate of stay: April 2019HelpfulShare</t>
  </si>
  <si>
    <t>Mia K wrote a review Apr 2019London, United Kingdom28 contributions18 
helpful votes</t>
  </si>
  <si>
    <t>Good stayI have stay for one night before my flight and I have really enjoyed. The 
assistant manager Lauren was absolutely asset to the company and the bar 
cafe was amazing. I would definitely stay again. We didn't have 
breakfast.Read moreReview collected in partnership with this hotelDate of 
stay: April 2019HelpfulShare</t>
  </si>
  <si>
    <t>GrandTour26868763814 wrote a review Apr 2019Gloucester, United Kingdom1 
contribution1 helpful vote</t>
  </si>
  <si>
    <t>value for moneyExcellent one night stop for 04.25 check-in. Very clean room and shower. 
Kettle, tea, coffee and milk for dawn drink. Very helpful desk staff with 
current timetables for shuttle buses to terminals. Cost less than putting 
car in car park for a week.Read moreReview collected in partnership with 
this hotelDate of stay: April 2019HelpfulShare</t>
  </si>
  <si>
    <t>https://www.tripadvisor.co.uk/Hotel_Review-g191265-d229508-Reviews-or905-Travelodge_Gatwick_Airport_Central-Horley_Surrey_England.html#REVIEWS</t>
  </si>
  <si>
    <t>Jeannetteoscar wrote a review Apr 2019Newcastle upon Tyne, United Kingdom36 
contributions12 helpful votes</t>
  </si>
  <si>
    <t>A good nights sleepHad a great restful stay here very clean great staff great breakfast and so 
close to airport. A good shuttle service to and from airport. Rooms could 
be a little bigger but for a one night stay it was fine.Read moreReview 
collected in partnership with this hotelDate of stay: April 2019HelpfulShare</t>
  </si>
  <si>
    <t>Georgina G wrote a review Apr 2019Plymouth, United Kingdom3 contributions1 
helpful vote</t>
  </si>
  <si>
    <t>One night stay after flightOnly a quick stay after a late evening flight. My only complaint is that 
the information on Travelodge's website for the bus transfer from Gatwick 
South Terminal is wrong. It says to get a G1, G3, or G7 bus from stand 8 - 
this is wrong, it should be stand 9. This may sound like a trivial detail, 
but I was waiting late at night at stand 8 for a bus when a G3 bus pulled 
into stand 9. By the time I scurried halfway to stand 9 the bus pulled away 
as no one was actually stood at stand 9. This left me waiting another 20 
minutes as a lone female traveller after midnight. TRAVELODGE: Please 
update your website with the correct bus stand information. That aside, the 
hotel is convenient and we'll presented, clean and had a very comfortable 
bed. It was pretty soundproofed from outside…Read moreReview collected in 
partnership with TravelodgeDate of stay: April 20191 Helpful 
voteHelpfulShare</t>
  </si>
  <si>
    <t>Sarahwivak wrote a review Apr 2019Northampton, United Kingdom273 
contributions58 helpful votes</t>
  </si>
  <si>
    <t>A vast improvement on my last visit.A vast improvement on my last stay here, especially the restaurant food! 
They had an issue tho and whatever way they tried to input my meal into 
their till system it was overcharging by £2. In the end I had to pay for 
items separately to get the correct price, it took several minutes to sort 
out but the staff were helpful and friendly. The food arrived within about 
ten minutes as the place was very quiet. Everything tasted delicious unlike 
my last visit. It's also had a very nice looking refurbishment. The room 
was tidy and spacious, very basic but had enough for my requirements. Take 
your own shower gel tho as the one in the room smells vile! Only downside 
this time was a leaky shower head bouncing water from the tray all night. I 
had to pad the shower out with a towel to stop…Read moreReview collected in 
partnership with TravelodgeDate of stay: April 2019HelpfulShare</t>
  </si>
  <si>
    <t>Emmalyndseyallan wrote a review Apr 2019London, United Kingdom38 
contributions10 helpful votes</t>
  </si>
  <si>
    <t>Amazing front desk staff and lovely roomGot here at 3 am this morning to find that my partner booked our room for 
the wrong day. The lovely male staff member working this shift was AMAZING 
and helped us change it and booked a lovely top floor room for our one 
night stay. He was brilliant and the room was actually cheaper than we had 
thought. Best customer service- so a massive thank you to him. The room had 
two doubles with tea, coffee and kit-kat bars included. The view was lovely 
and the bed was comfy. iron and hair dryer accessible in room. A great 
short stay and fab customer service. Thank you Travel Lodge Gatwick !Read 
moreDate of stay: April 2019HelpfulShare</t>
  </si>
  <si>
    <t>https://www.tripadvisor.co.uk/Hotel_Review-g191265-d229508-Reviews-or910-Travelodge_Gatwick_Airport_Central-Horley_Surrey_England.html#REVIEWS</t>
  </si>
  <si>
    <t>Excursion49032334711 wrote a review Apr 20192 contributions</t>
  </si>
  <si>
    <t>Great hotelLovely hotel. Staff were friendly. The biggest Travelodge hotel i have 
stayed in. Not the closest hotel to Gatwick airport so don't attempt to 
walk but there's a shuttle that drops you off and picks you up just outside 
the hotel doors.Read moreReview collected in partnership with 
TravelodgeDate of stay: April 2019HelpfulShare</t>
  </si>
  <si>
    <t>Tina W wrote a review Apr 20192 contributions</t>
  </si>
  <si>
    <t>Overnight stay before early flightI have stayed twice at this hotel and cannot fault it. From the friendly 
staff, to the clean rooms and value for money price, to the proximity to 
the airport. The little touches like the lemon and orange water that you 
can help yourself to are nice. There is a shuttle bus that will take you to 
the airport which is about 10 minutes transfer time and you can leave you 
car there for the entire trip (maximum 14 nights) if you want to for a fee. 
The only thing I would say is that even if you pre book your parking you 
are not guaranteed a space and it does get very busy.Read moreReview 
collected in partnership with TravelodgeDate of stay: April 2019HelpfulShare</t>
  </si>
  <si>
    <t>Paul H wrote a review Apr 2019Teesside2 contributions</t>
  </si>
  <si>
    <t>Can't fault itHotel is good, large bar/restaurant. Check-in was fast. No problem with the 
room. The one downfall is the small car park for a large hotel. We were 
lucky to find a space. £8 a day. We'll, you are in London. Good location 
for the airport. Shuttle bus is handy, but again, at a costRead moreReview 
collected in partnership with this hotelDate of stay: April 2019HelpfulShare</t>
  </si>
  <si>
    <t>https://www.tripadvisor.co.uk/Hotel_Review-g191265-d229508-Reviews-or915-Travelodge_Gatwick_Airport_Central-Horley_Surrey_England.html#REVIEWS</t>
  </si>
  <si>
    <t>Rima T wrote a review Apr 2019Harare, Zimbabwe51 contributions18 helpful 
votes</t>
  </si>
  <si>
    <t>Excellent value for an airport hotelI chose this hotel as I got a very good deal on booking.com. I was looking 
for an airport hotel as I had an early morning flight. The reception area 
somewhat resembles an airport check in, with efficient and helpful staff. 
The room was clean and the bathroom facilities were better than I expected. 
There was a large bar/ restaurant with very attentive staff keen to sell 
two of everything as it was “happy hour” the seating was comfortable and 
there were plenty of chairs. The restaurant was very much like a motorway 
service station, but everything was very clean. The food came exceptionally 
quickly, I don’t know if it was microwaved but it was fine. Would 
definitely stay there again if I needed an overnight stay.Read moreReview 
collected in partnership with TravelodgeDate of stay: April 2019HelpfulShare</t>
  </si>
  <si>
    <t>Maureen M wrote a review Apr 2019Inverness, United Kingdom16 
contributions10 helpful votes</t>
  </si>
  <si>
    <t>Friendly and WelcomingReally enjoyed my overnight stay. Staff were friendly and chatty at the 
reception and in the bar / restaurant. Room was clean and comfy - great 
pillows. Room was also a good size. Handy for the airport and regular bus 
serviceRead moreReview collected in partnership with this hotelDate of 
stay: March 2019HelpfulShare</t>
  </si>
  <si>
    <t>Doreen W wrote a review Apr 2019Chichester32 contributions30 helpful votes</t>
  </si>
  <si>
    <t>EXCELLENT AIRPORT HOTELStayed here many times, either before or after a holiday. Easy to reach 
from the airport on the shuttle bus which runs regularly. Rooms are always 
well presented and comfortable. Bar and restaurant area very nice since 
refurbishment and the breakfast is excellent value. Staff are always polite 
and helpful. Will definitely be back.Read moreReview collected in 
partnership with this hotelDate of stay: March 2019HelpfulShare</t>
  </si>
  <si>
    <t>anshumeghatravels wrote a review Apr 2019Singapore, Singapore7 
contributions4 helpful votes</t>
  </si>
  <si>
    <t>Clean, functional rooms at Great Prices! Friendly Staff...Loved the 
Breakfast :)1. Great location; clean, functional rooms at great prices. 2. Friendly 
Staff 3. Loved the Breakfast 4. Very close to Gatwick We will recommend 
this to any one who plans to catch a flight from Gatwick Airport!Read 
moreReview collected in partnership with TravelodgeDate of stay: April 
2019HelpfulShare</t>
  </si>
  <si>
    <t>john13 wrote a review Apr 2019Inverness, United Kingdom5 contributions</t>
  </si>
  <si>
    <t>Great hotel, terrible foodVery nice staff, lovely room, comfortable bed, good facilities, good bar, 
Appalling pizza but it was 11.30pm and maybe chef was a bit tired or 
something. Everything good bar the worst pizza ever had. I would stay again 
though and give the food another chance or just buy from the petrol station 
close by.Read moreDate of stay: April 2019HelpfulShare</t>
  </si>
  <si>
    <t>https://www.tripadvisor.co.uk/Hotel_Review-g191265-d229508-Reviews-or920-Travelodge_Gatwick_Airport_Central-Horley_Surrey_England.html#REVIEWS</t>
  </si>
  <si>
    <t>Adventurer704831 wrote a review Apr 20191 contribution</t>
  </si>
  <si>
    <t>Be prepared for poor and slow bar service in the evenings!Room was clean and comfortable - a good place to stay overnight after an 
evening flight arrival before travelling onwards the following day but the 
bar service was extremely slow and poor with limited food choice as we 
arrived after 9pm.Read moreReview collected in partnership with 
TravelodgeDate of stay: April 2019HelpfulShare</t>
  </si>
  <si>
    <t>lindylou wrote a review Apr 2019Hampshire, United Kingdom36 contributions4 
helpful votes</t>
  </si>
  <si>
    <t>Overnight Gatwick Airport hotel stayWhen we arrived there were no parking spaces so we used what may have 
previously been a disabled bay but the yellow symbol was unclear and had 
almost faded but we did check first with reception that it was alright to 
park there and the receptionist confirmed it was. There was a terrible 
scraping noise above our room so had to call reception and assume they 
spoke to the occupants because the noise stopped shortly afterwards. Very 
disappointed when there was no light/continental breakfast option as we 
don’t eat cooked breakfast so had to eat later at the airport. The only 
positives about this stay were the special room rate, the cleanliness of 
the room and the comfort of the bed. However, we would not stay there again 
because of the limited parking facilities.Read moreReview collected in 
partnership with TravelodgeDate of stay: April 2019HelpfulShare</t>
  </si>
  <si>
    <t>DayTrip44827 wrote a review Apr 20191 contribution</t>
  </si>
  <si>
    <t>RGNice clean hotel with a perfect location and a good value for money. We 
arrived by 10.00 pm so it was difficult to find a space to park the car 
however the receptionists were very co-operative. There is an extra charge 
for the car park.Read moreReview collected in partnership with 
TravelodgeDate of stay: April 2019HelpfulShare</t>
  </si>
  <si>
    <t>themonty888 wrote a review Apr 2019Cwmbran, United Kingdom113 
contributions31 helpful votes</t>
  </si>
  <si>
    <t>Great value budget hotel with fantastic staffVery close to Gatwick airport (a 10 minute taxi ride) this is very well 
located. The hotel has had a significant facelift, is fresh, clean and 
tidy. The staff throughout were very friendly and helpful, nothing was too 
much trouble, all happy to chat, smile and look you in the eye with a 
genuine willingness to help - I have stayed in top class hotels where the 
service hasn't been this good. Particularly have to singe out Andre from 
the bar/waiting staff - top class fella who was keen, enthusiastic and a 
role model for others. Parking - you can't book this in advance, however 
there is plenty available and you can pay on arrival at machine, I paid £56 
for 6 days which was reasonable I thought. Food good value, not a huge 
menu, bar snacks really, but good quality, piping hot and…Read moreDate of 
stay: April 2019HelpfulShare</t>
  </si>
  <si>
    <t>Holiboblovers wrote a review Apr 2019portsmouth96 contributions33 helpful 
votes</t>
  </si>
  <si>
    <t>Stay before early flightThis has been updated recently to a high standard. We regularly stay in 
these cheap but perfectly suitable hotels. Stayed in this one quite a few 
times now and We are impressed with its make over. Really modern fresh 
look. It's perfect if you have an early morning flight from Gatwick north 
or south as a very regular shuttle bus takes you to both terminals. £3 per 
adult charge but that's not a problem. There is a supply of fresh water, 
milk pods, tea bags coffee sugar etc on a table in reception for you to 
help yourself. Very handy so you dont have to disturb the staff for top ups 
. The only downside to this hotel I'd say is the menu. Not enough choice 
for the main meals, this is only my honest opinion. You're ok if you want 
burger,pizza, curry or salad. Not a lot of other…Read moreDate of stay: 
April 2019HelpfulShare</t>
  </si>
  <si>
    <t>https://www.tripadvisor.co.uk/Hotel_Review-g191265-d229508-Reviews-or925-Travelodge_Gatwick_Airport_Central-Horley_Surrey_England.html#REVIEWS</t>
  </si>
  <si>
    <t>https://www.tripadvisor.co.uk/Hotel_Review-g186338-d1812157-Reviews-or785</t>
  </si>
  <si>
    <t>Craig M wrote a review Apr 2019Chichester, United Kingdom65 contributions22 
helpful votes</t>
  </si>
  <si>
    <t>RevisingI was checked in via the podium , I was greeted in an efficient manner. I 
went to my room on the 1st floor. Then went to the bar area. WOW what a 
transformation!! Totally revamped from a “canteen “ style and the bar 
service was amazing!! The bar person couldn’t have been more cheerful and 
helpful, even immediately overcoming my objection to the price. I am a 
regular here and will continue to be !!Read moreReview collected in 
partnership with TravelodgeDate of stay: April 2019HelpfulShare</t>
  </si>
  <si>
    <t>Eve L wrote a review Apr 2019Hatfield, United Kingdom3 contributions4 
helpful votes</t>
  </si>
  <si>
    <t>disappointingRoom clean, comfortable. Hotel generally clean, tidy. But dinner very 
limited and unappetising. We had to leave by 5am, there was no facility for 
breakfast at that time. Maybe a porridge tub we could make with kettle in 
room is an option.Read moreReview collected in partnership with 
TravelodgeDate of stay: April 2019HelpfulShareResponse from TravelodgeUK, 
Tilly from The Social Media Team at Travelodge Gatwick Airport 
CentralResponded 9 May 2019Thank you for your review of our Gatwick Airport 
Central. We're sorry to hear of your disappointment with the bar cafe food, 
however we are pleased to learn that your room was clean and comfortable. 
We will pass your comments to the hotel team to help improve the service 
that we offer and we hope to welcome you back in the near future.Read more</t>
  </si>
  <si>
    <t>S_Wood83 wrote a review Apr 2019London, United Kingdom12 contributions11 
helpful votes</t>
  </si>
  <si>
    <t>Exceed expectations - spacious, comfortable, modernSpacious and very comfortable room. Clean and tidy, everything in good 
condition. Good value for money and convenient location. Much exceed my 
expectations for a Travelodge. Staff were friendly, polite and helpful.Read 
moreReview collected in partnership with TravelodgeDate of stay: April 
2019HelpfulShare</t>
  </si>
  <si>
    <t>John L wrote a review Apr 2019Newton Abbot, United Kingdom127 
contributions61 helpful votes</t>
  </si>
  <si>
    <t>Joke of a hotel which takes money for a parking space but has no space when 
you get thereI arrived at hotel around midnight, the car park was overflowing cars were 
parked all over the place on double yellow lines, blocking people in, and 
spilled out onto the dual carriageway out side. This was anoying as i paid 
for parking in advance and expected there to be a space that i paid for. 
However there is no carpark barriers or control. If i was leaving for a 
flight in the morning i would have been worried about being able to get 
out. The Hotel itself, the rooms were dirty, the sheets were stained, the 
towels durty. The guy who checked us in seemed out of his depth, He had no 
useful response to my parking issue. It took ages to get upstairs as 2 of 3 
lifts not working. This place is in my opinion a complete joke. I know it 
was only £40 but with parking it was £50 but i…Read moreReview collected in 
partnership with TravelodgeDate of stay: April 20191 Helpful 
voteHelpfulShareResponse from TravelodgeUK, James from the Social Media 
Team at Travelodge Gatwick Airport CentralResponded 22 Apr 2019Thanks for 
reviewing our Travelodge Gatwick Airport Central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</si>
  <si>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https://www.tripadvisor.co.uk/Hotel_Review-g191265-d229508-Reviews-or930-Travelodge_Gatwick_Airport_Central-Horley_Surrey_England.html#REVIEWS</t>
  </si>
  <si>
    <t>stevehingley wrote a review Apr 2019Seattle, Washington8 contributions1 
helpful vote</t>
  </si>
  <si>
    <t>Nice hotel but extra chargesI stay in Gatwick hotels regularly having to work nearby. Clean efficient 
and convenient, great staff. However be aware of extra charges. I found the 
extras of early checkin, car parking, wifi etc. As excessive and plain 
mean. The total package cost exceeded another hotel I declined with those 
included. I have no reason to stay again which is a shame, it didn’t have 
to be this way.Read moreReview collected in partnership with TravelodgeDate 
of stay: April 20191 Helpful voteHelpfulShareResponse from TravelodgeUK, 
Shaf from the Social Media Team. at Travelodge Gatwick Airport 
CentralResponded 22 Apr 2019Thank you for reviewing our Gatwick Airport 
Central Travelodge. We're really pleased to hear the cleanliness was up to 
standards and hotel team were great. We really are sorry to learn of your 
disappointment regarding the extra charges you have mentioned above. We do 
provide this information on our website so our guests are aware of this. 
Feedback is invaluable and our Hotel Managers regularly review their 
TripAdvisor reviews in order to fix any issues raised and pass on feedback 
to their team. Thank you once again and we do hope you will stay with us in 
the future.Read more</t>
  </si>
  <si>
    <t>Buddy B wrote a review Apr 20198 contributions2 helpful votes</t>
  </si>
  <si>
    <t>Great stay each time.Keep coming back to this hotel at the airport. They have clean rooms, staff 
are great. The new menu of food is not a great selection but its well 
cooked and presented. They only give you thirty mins of free internet which 
is not standard to other hotels. Still I like this hotel for the service 
they offer.Read moreDate of stay: April 2019HelpfulShare</t>
  </si>
  <si>
    <t>Denise W wrote a review Apr 20197 contributions2 helpful votes</t>
  </si>
  <si>
    <t>Great stop overThis Travelodge is one of the best I have ever seen and stayed in. If you 
are flying from Gatwick I can not recommend this hotel enough. The hotel 
helps you relax even before you start your journey. Excellent bar and 
communal areas.Read moreReview collected in partnership with this hotelDate 
of stay: April 2019HelpfulShare</t>
  </si>
  <si>
    <t>Sue R wrote a review Apr 20195 contributions2 helpful votes</t>
  </si>
  <si>
    <t>Great value for moneyGreat value for money, close to the airport. Very modern and up to date 
rooms and bar area, one downside was the air conditioning in the room was 
very hsrd to understand or not working properly. But overall very good.Read 
moreReview collected in partnership with this hotelDate of stay: April 
2019HelpfulShare</t>
  </si>
  <si>
    <t>Gumbo wrote a review Apr 20196 contributions2 helpful votes</t>
  </si>
  <si>
    <t>Very impressedHaving arrived on the last flight of the night, I was tired and in need of 
rest. I arrived at the hotel to be met by friendly, welcoming and 
professional staff who dealt with my queries quickly and efficiently. The 
room was spotlessly clean and tidy and the bed was extremely comfortable. 
The room was well-equipped and the bathroom was, again, clean. I have 
stayed here before...never disappointed!!Read moreReview collected in 
partnership with TravelodgeDate of stay: April 2019HelpfulShare</t>
  </si>
  <si>
    <t>https://www.tripadvisor.co.uk/Hotel_Review-g191265-d229508-Reviews-or935-Travelodge_Gatwick_Airport_Central-Horley_Surrey_England.html#REVIEWS</t>
  </si>
  <si>
    <t>Casshodgkinson wrote a review Apr 2019Cheltenham, United Kingdom2 
contributions2 helpful votes</t>
  </si>
  <si>
    <t>DirtyFilthy room, chewing gum on bathroom floor along with general filth - it 
had clearly been cleaned in a rush, hairs in bed, dirty smell, stains over 
all soft furnishings and uncomfortable bed, horrible food.Read moreReview 
collected in partnership with TravelodgeDate of stay: April 20192 Helpful 
votesHelpfulShareResponse from TravelodgeUK, James from the Social media 
Team at Travelodge Gatwick Airport CentralResponded 17 Apr 2019Thank you 
for reviewing our Travelodge Gatwick Airport Central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</si>
  <si>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delpozzo_luigi wrote a review Apr 2019Freiburg im Breisgau, Germany3 
contributions8 helpful votes</t>
  </si>
  <si>
    <t>Good HotelI was one night in this hotel and everything was great. The hotel's team 
was frendly and available. The bus are frequently to the airport but it is 
pity you cannot pay with oyster card. I strongly raccomaded.Read moreReview 
collected in partnership with TravelodgeDate of stay: March 2019HelpfulShare</t>
  </si>
  <si>
    <t>Guide42398497422 wrote a review Apr 2019Cannock, United Kingdom1 
contribution</t>
  </si>
  <si>
    <t>Very comfortableA very nice stay, room was spacious as well as clean. The bed was very 
comfortable and no outside noise. Lovely staff and we enjoyed the 
breakfast. We fought the train in to London from the airport so an 
excellent base without the London pricesRead moreReview collected in 
partnership with TravelodgeDate of stay: March 2019HelpfulShare</t>
  </si>
  <si>
    <t>scleverly wrote a review Apr 2019Hastings UK33 contributions15 helpful votes</t>
  </si>
  <si>
    <t>Relax before you flytakes the panic out of getting to the airport on time good clean well 
maintained this travelodge is alway first choice when we fly form Gatwick. 
You know what you are going to get a good nights sleep before the bustle of 
the airport..Read moreReview collected in partnership with TravelodgeDate 
of stay: April 2019HelpfulShare</t>
  </si>
  <si>
    <t>https://www.tripadvisor.co.uk/Hotel_Review-g191265-d229508-Reviews-or940-Travelodge_Gatwick_Airport_Central-Horley_Surrey_England.html#REVIEWS</t>
  </si>
  <si>
    <t>chepasbar wrote a review Apr 2019Canutells82 contributions44 helpful votes</t>
  </si>
  <si>
    <t>What’s Going OnStayed here for one night as usual, we’ve always stayed here for years. 
Check in was ridiculous, it was like nobody had done it before. Took 3 
attempts to get a room then they forgot to write the room number on card so 
didn’t know where to go. There were no glasses in room so asked at 
reception, no problem they said....ask at bar. The barman virtually 
suggested I might abscond with them....What a way to deal with a customer. 
We eventually went for dinner at 7pm, chose off the menu, total rubbish 
turned up, pastry like leather, peas like bullets and burnt chicken. They 
changed the order and was a lot better. They did buy two drinks as 
compensation but they really need to get a grip on the kitchen. Lots of 
people were upset by food preparation. Before we went to room I booked 
a…Read moreDate of stay: April 2019HelpfulShareResponse from TravelodgeUK, 
Shaf from the Social Media Team. at Travelodge Gatwick Airport 
CentralResponded 16 Apr 2019Thank you for reviewing our Gatwick Airport 
Central Travelodge. We're really sorry to learn of your disappointment with 
the service on check in and the general stay was not up to standards on 
this occasion. We really do apologise bar/cafe food was not good and feel 
this was overcooked. Feedback is invaluable and our Hotel Managers 
regularly review their TripAdvisor reviews in order to fix any issues 
raised and pass on feedback to their team. Thank you once again and we do 
hope you will stay with us in the future.Read more</t>
  </si>
  <si>
    <t>Bella M wrote a review Apr 2019pereiro de alem7 contributions1 helpful vote</t>
  </si>
  <si>
    <t>Convenient hotelI use this hotel regularly as it’s so conveniently situated and normally 
don’t have any issues, however, on this last occasion I had difficulty 
regulating the room temperature and also there was a lot of internal noise, 
both from guests and doors.Read moreReview collected in partnership with 
TravelodgeDate of stay: April 2019HelpfulShareResponse from TravelodgeUK, 
Shaf from the Social Media Team. at Travelodge Gatwick Airport 
CentralResponded 16 Apr 2019Thank you for reviewing our Gatwick Airport 
Central Travelodge. We really do apologise you had issues with the room 
temperature and we are also sorry your stay was affected by the internal 
noise. Feedback is invaluable and our Hotel Managers regularly review their 
TripAdvisor reviews in order to fix any issues raised and pass on feedback 
to their team. Thank you once again and we do hope you will stay with us in 
the future.Read more</t>
  </si>
  <si>
    <t>687charleso wrote a review Apr 2019Cork, Ireland17 contributions11 helpful 
votes</t>
  </si>
  <si>
    <t>Perfect for a one nighterTravelodge Gatwick Airport is perfectly placed within a few minutes bus / 
car journey to both Terminals &amp; is cheaper than any other Airport hotel . 
This was my second stay at the premises &amp; have no complaints , clean 
comfortable rooms , nice new bar area , food is so so but wouldn't stop me 
staying again , for me price wasnt paramount but no where came close to 
Travelodge ££ so more than happy to stay here &amp; save a few Quid .Read 
moreReview collected in partnership with this hotelDate of stay: March 
2019HelpfulShare</t>
  </si>
  <si>
    <t>Deborah K wrote a review Apr 2019Worthing, United Kingdom3 contributions2 
helpful votes</t>
  </si>
  <si>
    <t>Gatwick Central TravelodgeWe stayed the night before our very early flight. The rooms have been 
updated, great simple but stylish design, the bed and linen were very 
comfy. We had a totally peaceful sleep : ) Great value stay.Read moreReview 
collected in partnership with TravelodgeDate of stay: April 2019HelpfulShare</t>
  </si>
  <si>
    <t>nmrc1965 wrote a review Apr 2019Bristol, United Kingdom25 contributions12 
helpful votes</t>
  </si>
  <si>
    <t>Clean and comfortableIt is close to the airport, the bed as in most of the travel lodges was 
excellent, I slept really well. food is ok, but next time I will probably 
take a pot noodle, the waiter on the evening we were there had a little 
less than perfect food hygiene!!!. The shuttle bus is quick and has spaces 
for cases.Read moreDate of stay: February 2019HelpfulShare</t>
  </si>
  <si>
    <t>https://www.tripadvisor.co.uk/Hotel_Review-g191265-d229508-Reviews-or945-Travelodge_Gatwick_Airport_Central-Horley_Surrey_England.html#REVIEWS</t>
  </si>
  <si>
    <t>mikejw1966 wrote a review Apr 2019Seaford, United Kingdom8 contributions3 
helpful votes</t>
  </si>
  <si>
    <t>Reasonable hotel, close to the airportI stay here regularly. It's reasonably close to the airport (some others 
are closer). The bedding is fresh and clean, the pillows are comfortable, 
there are enough towels. Everything else I have to bring myself. I bring my 
own travel iron, fan heater (not all room air con units work very well), 
soap, shampoo etc. The wifi is sometimes very good, sometimes very poor - 
it seems to depend which room you are in. It's not always possible to find 
a parking space - you may end up squeezing into a space on the grass.Read 
moreReview collected in partnership with TravelodgeDate of stay: April 
2019HelpfulShareResponse from TravelodgeUK, Molly from the Social Media 
Team at Travelodge Gatwick Airport CentralResponded 15 Apr 2019Thank you 
for your review. We are pleased to hear that you found your room to be 
clean and the bedding to be comfortable. However, we apologise if you were 
unimpressed with the facilities in your room. Being a budget Hotel brand, 
we believe that we provide all the necessary facilities to ensure a 
comfortable stay, for value. However we are always looking to improve the 
services we offer and we will pass your comments on to the relevant team. 
We try to provide as much information as possible regarding the available 
parking facilities on the Hotel's booking page. Guests are also welcome to 
contact the Hotel directly prior to their arrival, and our Reception Teams 
will be more than happy to provide any further information or assistance 
regarding nearby car parks, number of spaces or whether it is possible to 
reserve spaces. Thank you again for your review.Read more</t>
  </si>
  <si>
    <t>Charlotte H wrote a review Apr 20192 contributions</t>
  </si>
  <si>
    <t>Clean, tidy and excellent value for money. Fabulous start to our holidayClean, tidy and excellent value for money. Hotel was sap iso us and well 
maintained. Happy hour (or 2 hours) was fabulously priced and food in 
restaurant was delicious and large portions. Would defo stay here 
again.Read moreReview collected in partnership with TravelodgeDate of stay: 
April 2019HelpfulShare</t>
  </si>
  <si>
    <t>Gourock186349 wrote a review Apr 2019Northampton, United Kingdom156 
contributions54 helpful votes</t>
  </si>
  <si>
    <t>A very nice restaurant with a good selection of mesldGood room, good happy hour, good food all we could wish for at the hotelask 
for a room on the ground floor. We would stay again at thus hotel. A she 
bus every takes you to both terminal Los for Three pound. A bargain. Have 
your car at home as the Gatwick station is much easier to use.Read 
moreReview collected in partnership with TravelodgeDate of stay: April 
2019HelpfulShare</t>
  </si>
  <si>
    <t>Discover49639633822 wrote a review Apr 2019London, United Kingdom1 
contribution</t>
  </si>
  <si>
    <t>One of the best hotelsLondon Gatwick Hotel is Brilliant and this is our second stay in 6 months 
.. Lovely Room, The Hotel is very well looked after, clean &amp; tidy, We love 
your all you can eat Breakfast with children eat free, it’s not just about 
children eating free, we love the breakfast cos it’s tasty and yummy.. And 
we always look forward to it every time we stay at Travelodge .. Friendly 
Staff always helpful.. �� Thank you Travelodge ��Read moreReview collected 
in partnership with TravelodgeDate of stay: April 2019HelpfulShare</t>
  </si>
  <si>
    <t>Tracy K wrote a review Apr 20194 contributions7 helpful votes</t>
  </si>
  <si>
    <t>Poor parking. Not impressedTurned up for a 2 night stay, booked and paid for parking in advance. First 
night got a parking spot. The second night no place to park, when asked at 
the front desk the young lady said park anywhere. People had already filled 
the grass areas, blocked in the coaches. So we ended up parking outside on 
the road. The staff on duty didn't seem concerned that there was no 
parking. They just said that people book parking and leave there cars here. 
Which means that no parking for people actually staying here. Not 
impressed.Read moreDate of stay: April 20191 Helpful 
voteHelpfulShareResponse from TravelodgeUK, Shaf from the Social Media 
Team. at Travelodge Gatwick Airport CentralResponded 15 Apr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</si>
  <si>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https://www.tripadvisor.co.uk/Hotel_Review-g191265-d229508-Reviews-or950-Travelodge_Gatwick_Airport_Central-Horley_Surrey_England.html#REVIEWS</t>
  </si>
  <si>
    <t>Uktravelguy86 wrote a review Apr 201922 contributions5 helpful votes</t>
  </si>
  <si>
    <t>Not the usual standard of TravelodgeMy wife and I stay at Travelodge often for 3 reasons. A comfortable bed, 
value for money and cleanliness. Unfortunately while we got the first 2, 
the room was not clean to even a reasonable standard. The shelves had not 
been wiped as they had water rings from where glasses had been and there 
was an empty plastic bottle on the floor. I'd have given 2* for the room 
alone, however the reception staff were very friendly so 3 overall.Read 
moreDate of stay: April 2019HelpfulShareResponse from TravelodgeUK, Shaf 
from the Social Media Team. at Travelodge Gatwick Airport CentralResponded 
14 Apr 2019Thank you for reviewing our Gatwick Airport Central Travelodge. 
We're pleased to hear you found the hotel team to be friendly. We really do 
apologise the cleanliness was not up to standards on this occasion. 
Feedback is invaluable and our Hotel Managers regularly review their 
TripAdvisor reviews in order to fix any issues raised and pass on feedback 
to their team. Thank you once again and we do hope you will stay with us in 
the future.Read more</t>
  </si>
  <si>
    <t>priley688 wrote a review Apr 2019Ryde, United Kingdom7 contributions3 
helpful votes</t>
  </si>
  <si>
    <t>OvernightGreat overnight stay, it was good to stay overnight before our trip home, 
after a very good sleep in a comfortable bed a good shower and with no rush 
we enjoyed a great buffet breakfast. We checked out when we was ready for 
our last leg of our holiday trip, this was all part of our holiday.Read 
moreReview collected in partnership with this hotelDate of stay: March 
2019HelpfulShare</t>
  </si>
  <si>
    <t>Paul D wrote a review Apr 2019Hayling Island, United Kingdom311 
contributions229 helpful votes</t>
  </si>
  <si>
    <t>Convenient and good value£3 bus ridfe from North Terminal. Good reception, Excellent clean large 
room. Tea / Coffee facilities in room etc. Nice choice of TV channels. 
Breakfast was okay. No wake up facility though is a big issue.!!Read 
moreReview collected in partnership with TravelodgeDate of stay: April 
20191 Helpful voteHelpfulShare</t>
  </si>
  <si>
    <t>ica2599 wrote a review Apr 2019Cheltenham, United Kingdom3 contributions</t>
  </si>
  <si>
    <t>PerfectEverything was excellent. It was very good value for money. The room was 
clean and tidy and the breakfast was decent. The staff were friendly and 
professional. It is s long walk from the airport but a taxi is only £3 each 
and there are busses you could get for the same price too.Read moreReview 
collected in partnership with TravelodgeDate of stay: April 2019HelpfulShare</t>
  </si>
  <si>
    <t>https://www.tripadvisor.co.uk/Hotel_Review-g191265-d229508-Reviews-or955-Travelodge_Gatwick_Airport_Central-Horley_Surrey_England.html#REVIEWS</t>
  </si>
  <si>
    <t>Tracystudd wrote a review Apr 2019Horham, United Kingdom1 contribution</t>
  </si>
  <si>
    <t>Boiler running all nightWe booked here for convenience for early flight with children, we booked a 
super room but got no sleep because the boilers run all night and are so 
noisy, mattress was hard too but I think this could have been manageable if 
it wasn’t for the noisy boiler, and the neighbouring rooms somebody playing 
with the door handles/locks throughout the night, breakfast was cold also, 
but other than that the hotel was clean and looked tidy, would have been 
easier to sleep at home and drove early which is what we tried to avoid in 
the first instance.Read moreReview collected in partnership with 
TravelodgeDate of stay: April 2019HelpfulShareResponse from TravelodgeUK, 
Shaf from the Social Media Team. at Travelodge Gatwick Airport 
CentralResponded 11 Apr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</si>
  <si>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Carlos Q. wrote a review Apr 20193 contributions</t>
  </si>
  <si>
    <t>Best customer experience ever!- Rooms are basic but nice and comfortable. - Breakfast is generous and 
delicious. - Location is great and actually very quiet considering is just 
next to Gatwick airport. - People were very friendly and customer service 
excellent. In fact, I want to share something special that happened to me. 
When I left the hotel with my family, we took a taxi to the airport. We 
arrived to the airport and then whilst we were inside we realised that our 
son had left his backpack inside the taxi. I contacted the hotel to see if 
there was any chance to track the taxi and after some days, they got back 
to me telling me that they were able to find the taxi and get the backpack. 
However, by that time I was already in Italy but the staff at the hotel 
helped me to pack the backpack and then I make…Read moreDate of stay: March 
2019HelpfulShare</t>
  </si>
  <si>
    <t>TinyDiverGirl wrote a review Apr 20193 contributions3 helpful votes</t>
  </si>
  <si>
    <t>Always a good stayClean, comfortable and easy for the airport. Delightful staff, as always. 
Wouldn't stay anywhere else. The bed was comfortable, shower hot, and room 
very clean. Frequent shuttle to the airport which costs only £5.Read 
moreReview collected in partnership with this hotelDate of stay: March 
20191 Helpful voteHelpfulShare</t>
  </si>
  <si>
    <t>https://www.tripadvisor.co.uk/Hotel_Review-g191265-d229508-Reviews-or960-Travelodge_Gatwick_Airport_Central-Horley_Surrey_England.html#REVIEWS</t>
  </si>
  <si>
    <t>ganchie wrote a review Apr 2019Cardiff, United Kingdom17 contributions4 
helpful votes</t>
  </si>
  <si>
    <t>Overnight stay.My wife and I stayed at this hotel before night of our flight in the 
Accessible room. Cracking view of the airport from window very clean. 
Bathroom spotless but only one grab rail at toilet. Water disperses slowly 
so had to put towels on floor. Warning about the twin beds not together so 
be aware my wife fell through them has they were not linked together. Spoke 
to the Manager to warn people about the bed but did not want to know 
blaming contractors has room has been refurbished not customer friendly. 
Restaurant superb has was the staff. Fantastic hotel except for our little 
mishap.Read moreDate of stay: March 2019HelpfulShare</t>
  </si>
  <si>
    <t>Debbie G wrote a review Apr 2019Devon, United Kingdom46 contributions26 
helpful votes</t>
  </si>
  <si>
    <t>Clean, comfortable and convenient for GatwickNice, large comfortable rooms. Well maintained and lovely comfortable beds. 
Great shower in Plus rooms. Kit Kat was a nice additional touch. Only down 
side was food in evening was average, sweet potato in salad not available 
even though on menu, therefore ended up being a mountain of lettuce with a 
few bits of chicken. Coffee at breakfast awful.Read moreReview collected in 
partnership with TravelodgeDate of stay: March 2019HelpfulShare</t>
  </si>
  <si>
    <t>Nicola T wrote a review Apr 2019Gravesend, United Kingdom68 contributions23 
helpful votes</t>
  </si>
  <si>
    <t>Overnight stay before our flightWe have stayed at this hotel many times and on the last stay we vowed never 
again, but due to lack of availability at other airport hotels, we gave the 
Travelodge Gatwick Airport Central another go.....we were pleasantly 
surprised. The hotel has undergone a refurbishment since our last stay, we 
opted for a standard room and was pleased with how clean and smart the 
rooms are now. Car parking is still tight with spaces hard to find, you 
also have to pay £8 per night to park via a machine in reception. We ate in 
the restaurant which we were pleased to see that they have gone back to bar 
meals rather than the buffet that they had last time. The food was okay, we 
had the burger and fries, for the price swap the 3 burgers and offer better 
quality meat, it is tasteless. The bed was…Read moreDate of stay: March 
2019HelpfulShare</t>
  </si>
  <si>
    <t>Sox1966 wrote a review Apr 2019London, United Kingdom56 contributions14 
helpful votes</t>
  </si>
  <si>
    <t>Time for a changeWe've being staying here on average 3 times a year for the last 6 years but 
now it's time for a change. When it was £30 we were happy to put up with 
the minor quibbles that we had ie rooms either to hot or to cold and noisy 
AC units. But now the hotel has been rebranded as a "Travelodge plus" due 
to a few rooms now being "Super rooms" they now feel justified in charging 
double for the same standard room. It's no longer value for money and worth 
spending a little bit extra and stay at the Premier Inn up the Rd.Read 
moreDate of stay: March 2019HelpfulShareResponse from TravelodgeUK, Tilly 
from The Social Media Team at Travelodge Gatwick Airport CentralResponded 9 
Apr 2019Thank you for your review of our Gatwick Airport Central hotel. 
We're sorry to hear you were disappointed with your overal experience and 
we will pass your comments to the hotel team. We hope to welcome you back 
soonRead more</t>
  </si>
  <si>
    <t>https://www.tripadvisor.co.uk/Hotel_Review-g191265-d229508-Reviews-or965-Travelodge_Gatwick_Airport_Central-Horley_Surrey_England.html#REVIEWS</t>
  </si>
  <si>
    <t>jxsswhitx wrote a review Apr 2019Wymondham, United Kingdom1 contribution</t>
  </si>
  <si>
    <t>MissI’m vegan and they had a surprisingly good selection in the restaurant. On 
the menu it said the falafel burger was vegan. However when they gave me it 
I noticed they had put mayonnaise in it. I think this is important to say 
because if someone has an allergy and doesn’t notice, it might be a little 
dangerous. But overall a great stay did enjoy the food in the end :)Read 
moreDate of stay: April 2019HelpfulShare</t>
  </si>
  <si>
    <t>robww wrote a review Apr 2019London, United Kingdom311 contributions87 
helpful votes</t>
  </si>
  <si>
    <t>Great staff, good location and comfortable.Very good value, off airport but frequent buses 24/7 to the airport, takes 
perhaps 10-15 minutes in daytime. Nice staff, massive room, comfortable. 
Nothing to complain about, save for noisy families at 6.30am walking along 
corridor by room. I didn't use wifi but EE mobile very fast.Read moreReview 
collected in partnership with TravelodgeDate of stay: April 2019HelpfulShare</t>
  </si>
  <si>
    <t>ChrisU57 wrote a review Apr 2019Worthing, United Kingdom50 contributions16 
helpful votes</t>
  </si>
  <si>
    <t>Car parking a little expensiveTypical Travelodge rooms, bar/restaurant is very modern and spacious, 
prices not as expensive as expected. However, the stay was marred a little 
by the standard 24 hour £8 car parking charge which we felt was a bit steep 
especially for the night of residency and as we only stayed 8 hours (7PM - 
3AM). Maybe it should be free for the night you stay nor at least 1/2 day 
charge?Read moreDate of stay: March 2019HelpfulShare</t>
  </si>
  <si>
    <t>https://www.tripadvisor.co.uk/Hotel_Review-g191265-d229508-Reviews-or970-Travelodge_Gatwick_Airport_Central-Horley_Surrey_England.html#REVIEWS</t>
  </si>
  <si>
    <t>lescorsaires2017 wrote a review Apr 2019Nursling, United Kingdom20 
contributions1 helpful vote</t>
  </si>
  <si>
    <t>Planned and an inadvertent stayCheap, cheerful and pleasantly surprised by the recent refurbishments. I 
stayed here to catch a red eye which I missed! (Obviously the beds are now 
too comfy!). After rescheduling my flight for the next day, I booked back 
in and the staff were really understanding, polite, helpful and 
accommodating. This made what was a bit of a stressful start to the day 
much easier. Breakfast and dinner were both more than satisfactory and the 
half brick sized sticky toffee pudding was a great treat! Perfect for a 
quick (or an emergency!) stopover.Read moreDate of stay: April 
2019HelpfulShare</t>
  </si>
  <si>
    <t>Sarah D wrote a review Apr 20192 contributions</t>
  </si>
  <si>
    <t>Travelodge GatwickHotel very clean and has comfortable beds. The food is good, plenty of 
choice and reasonably priced. All the staff were friendly and professional. 
The location is good, bus links to the airport are very efficient. Despite 
it being a busy hotel, the communal areas feel airy and spacious. Some nice 
touches, flavoured water, coffee &amp; tea all free of charge in the reception 
area.Read moreReview collected in partnership with this hotelDate of stay: 
April 2019HelpfulShare</t>
  </si>
  <si>
    <t>Susan Jane B wrote a review Apr 2019Jersey, United Kingdom1 contribution</t>
  </si>
  <si>
    <t>Convenient StayGood value for money, convenient overnight stay for flight the next day. 
Always stay here when an overnight stay is required. Good service and 
helpful staff. Very comfortable beds and good restaurant.Read moreReview 
collected in partnership with this hotelDate of stay: March 2019HelpfulShare</t>
  </si>
  <si>
    <t>alastairbru wrote a review Apr 2019Shenstone, United Kingdom35 
contributions8 helpful votes</t>
  </si>
  <si>
    <t>https://www.tripadvisor.co.uk/Hotel_Review-g186338-d1812157-Reviews-or790</t>
  </si>
  <si>
    <t>PerfectExcellent. Easy to get to and nice local pubs. in the hotel the amenities 
are superb and at a cost worth triple what you pay. Would recommend for any 
flight you take and the rooms are spacious and clean. The food is also 
worthwhile tryingRead moreDate of stay: April 2019HelpfulShare</t>
  </si>
  <si>
    <t>Pioneer40911984448 wrote a review Apr 20191 contribution</t>
  </si>
  <si>
    <t>Great short stayLovely, clean and fresh hotel! Really comfy bed and great little 
restaurant! Perfect for a pre holiday stay before you fly! Has all the bits 
you need in the room, kettle etc! Only one downside was if you want to get 
the shuttle it some times gets busy, so for us we just paid £10 for a taxi! 
Great hotel!!Read moreReview collected in partnership with TravelodgeDate 
of stay: March 2019HelpfulShare</t>
  </si>
  <si>
    <t>https://www.tripadvisor.co.uk/Hotel_Review-g191265-d229508-Reviews-or975-Travelodge_Gatwick_Airport_Central-Horley_Surrey_England.html#REVIEWS</t>
  </si>
  <si>
    <t>andtewb wrote a review Apr 2019Reading, United Kingdom2 contributions1 
helpful vote</t>
  </si>
  <si>
    <t>Carpark machineCarpark machines were not working, was told to ring or text to book for 
carpark at an extra cost. Travelodge should've done this for their 
customers, we are paying customers and don't expect an extra charge. Please 
sort problem out for the future.Read moreReview collected in partnership 
with this hotelDate of stay: March 2019HelpfulShare</t>
  </si>
  <si>
    <t>angelfreudian wrote a review Apr 2019Brockworth, United Kingdom39 
contributions15 helpful votes</t>
  </si>
  <si>
    <t>Convenient overnight stay after a late flight.Very welcome bed after 10 hours in transit and an excellent breakfast next 
morning. Breakfast closed just after 10 am - too early for me to take full 
advantage.mid-day would be better. Convenient bus service to the 
airport.Read moreReview collected in partnership with this hotelDate of 
stay: March 2019HelpfulShare</t>
  </si>
  <si>
    <t>George V wrote a review Apr 2019Cardiff, United Kingdom6 contributions1 
helpful vote</t>
  </si>
  <si>
    <t>Unexpectedly good service. Bright modern facilities.I booked one night here to avoid the stress of a very early start to reach 
Gatwick Airport from Wales, for an 8.30 am check in, followed by a long 
flight to Canada. This stay made my journey easy. Really good facility at a 
very affordable price. Friendly helpful staff. High quality / low priced 
dinners and unlimited breakfasts. I could not fault my stay. Well done to 
all at Travelodge!Read moreReview collected in partnership with this 
hotelDate of stay: March 2019HelpfulShare</t>
  </si>
  <si>
    <t>https://www.tripadvisor.co.uk/Hotel_Review-g191265-d229508-Reviews-or980-Travelodge_Gatwick_Airport_Central-Horley_Surrey_England.html#REVIEWS</t>
  </si>
  <si>
    <t>diamondpaye wrote a review Mar 20192 contributions</t>
  </si>
  <si>
    <t>Overnight stay before morning flightI can’t say enough about the friendly helpful and wonderful staff from the 
minute we checked in the room was absolutely spotless with everything we 
needed. All the updgrades were so well priced to be able to check in early 
and using the larger size room for families The dining food was perfect and 
great value for money. The bar staff the wait staff and the chef are to be 
commended for making my first stay at this hotel one of many more to come. 
The breakfast in the morning was amazing and the selection of food was so 
vast and healthy too. I did eat the English breakfast prepared eat all you 
can buffet style which had been prepared perfectly and my kids ate for free 
evening and morning I got on my long flight refreshed and will definately 
be staying here every time I visit the…Read moreDate of stay: March 
2019HelpfulShare</t>
  </si>
  <si>
    <t>whackyofdymchurch wrote a review Mar 2019Dymchurch, United Kingdom128 
contributions99 helpful votes</t>
  </si>
  <si>
    <t>Gatwick stopoverA rest stop before early morning flight. Room excellent restaurant 
brilliant very quick service and food was served nice and hot. Loved it 
even the parking and payment was easy would definitely recommend.Read 
moreReview collected in partnership with TravelodgeDate of stay: March 
2019HelpfulShare</t>
  </si>
  <si>
    <t>Voyage52515457750 wrote a review Mar 20191 contribution1 helpful vote</t>
  </si>
  <si>
    <t>Disappointing shower again and No hot foodWe arrived in the evening to chill out after long journey before flying to 
Texas the following day but we were disappointed that there was no food 
available so had to eat crisps purchased prior that day. The bar area was 
exceptionally hot no air con on also no reception start report to at that 
time.Read moreReview collected in partnership with TravelodgeDate of stay: 
March 20191 Helpful voteHelpfulShare</t>
  </si>
  <si>
    <t>https://www.tripadvisor.co.uk/Hotel_Review-g191265-d229508-Reviews-or985-Travelodge_Gatwick_Airport_Central-Horley_Surrey_England.html#REVIEWS</t>
  </si>
  <si>
    <t>H S wrote a review Mar 2019East Sussex4 contributions16 helpful votes</t>
  </si>
  <si>
    <t>Recent one night stay following refurbishmentTravelodge isn't normally my first choice of hotel brand, but given that 
this hotel was advertised as having undergone a million pound makeover, and 
the price for the room was in line with other hotels, I thought I would 
give this hotel a try. We arrived during the evening - the hotel is very 
dark out the front and I had to watch my footing owing to uneven surfaces 
with very little light. The smokers were congregated outside the front 
door, meaning that I had to walk through a cloud of thick cigarette smoke 
to enter the hotel. The reception is very large - almost like a conference 
centre - with a main reception desk and self check-in kiosks available. We 
used the self check-in as there was a queue at reception. The corridors of 
the hotel are dated (given that it's undergone…Read moreReview collected in 
partnership with TravelodgeDate of stay: March 20191 Helpful 
voteHelpfulShareResponse from TravelodgeUK, James from the Social Media 
Team at Travelodge Gatwick Airport CentralResponded 31 Mar 2019Thank you 
for reviewing our Travelodge Gatwick Airport Central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</si>
  <si>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Georgina Mitchell wrote a review Mar 20197 contributions1 helpful vote</t>
  </si>
  <si>
    <t>Dirty bathroomOn arrival I noticed the bathroom room was dirty. I told it was unclean 
before going for dinner. When I returned they had done nothing about it. So 
I ended up cleaning it myself. Not something you really want to do!Read 
moreReview collected in partnership with TravelodgeDate of stay: March 
20191 Helpful voteHelpfulShareResponse from TravelodgeUK, Tilly from The 
Social Media Team at Travelodge Gatwick Airport CentralResponded 31 Mar 
2019Thank you for your feedback about our Gatwick Airport Central hotel. 
We're really sorry to learn that your bathroom ws not cleaned to our high 
standards and we will be sure to pass this to the hotel team to help 
improve the service that we offer. We hope to welcome you back in the near 
futureRead more</t>
  </si>
  <si>
    <t>Chris H wrote a review Mar 2019Rayleigh, United Kingdom31 contributions27 
helpful votes</t>
  </si>
  <si>
    <t>Value for moneyValue for money overnight stay before early morning flight. Comfy bed, 
clean and tidy room. Good location close to airport, offering coach 
transfer to terminal for £3 per person. It's a stress free way to start 
your holiday.Read moreReview collected in partnership with TravelodgeDate 
of stay: March 2019HelpfulShare</t>
  </si>
  <si>
    <t>Odyssey18942928205 wrote a review Mar 20191 contribution</t>
  </si>
  <si>
    <t>Great hotel and friendly staff but car park payment situation really badThis is a great value hotel especially for early flights from Gatwick. 
Friendly helpful staff comfy rooms etc. Unfortunately, the whole relaxing 
experience is utterly destroyed by the car park payment situation. 
Basically the machines do not work and when you pay online instead of £8 
you get charged £12 plus £0.20 convenience fee!!!!!!!!!!!! I would not 
recommend this hotel if you have a car and need to park until they get the 
car parking situation under control, which is a huge shame as the hotel and 
staff are fantastic.Read moreReview collected in partnership with 
TravelodgeDate of stay: March 2019HelpfulShare</t>
  </si>
  <si>
    <t>https://www.tripadvisor.co.uk/Hotel_Review-g191265-d229508-Reviews-or990-Travelodge_Gatwick_Airport_Central-Horley_Surrey_England.html#REVIEWS</t>
  </si>
  <si>
    <t>Jess wrote a review Mar 20194 contributions2 helpful votes</t>
  </si>
  <si>
    <t>Overnight stay b4 holidayThis site I use every time we go on holiday via Gatwick airport. It has a 
good shuttle bus that goes every 15 minutes or so at a good price. The 
hotel has new super rooms which are ideal and little bit special. The 
shower is better than the normal rooms. The receptionist Jessica was a 
delight, a very happy person to deal with. Looking forward to coming back 
soon.Read moreDate of stay: March 2019HelpfulShare</t>
  </si>
  <si>
    <t>anthonyrT8621CP wrote a review Mar 2019Durham, United Kingdom5 
contributions3 helpful votes</t>
  </si>
  <si>
    <t>checking inFirst time using the automated checking in system it was so easy being 
automated just typed in code and the key and room number was there great 
after a long journey, would recommend this way to anybody because it was so 
easy.Read moreReview collected in partnership with TravelodgeDate of stay: 
March 2019HelpfulShare</t>
  </si>
  <si>
    <t>Trail63413878414 wrote a review Mar 20192 contributions</t>
  </si>
  <si>
    <t>Everything as expectedWe have stayed here many times, either when flying from Gatwick, or as a 
cheaper alternative to staying in Brighton when visiting family. The 
reception area is clean and bright with helpful staff. We got our room 
number and keys, but when approaching the given room, noticed it had a do 
not disturb sign on the door. We listened and heard someone in there, so my 
partner returned to reception, and they apologised and said they written 
the wrong number on our card. The room was comfortable and clean. We went 
to the bar and cafe. The pizzas and burgers are very nice, but most of the 
other food on offer is disappointing as is obviously a microwave meal. 
Drinks are expensive.Read moreReview collected in partnership with this 
hotelDate of stay: March 2019HelpfulShare</t>
  </si>
  <si>
    <t>Mary BC M wrote a review Mar 2019Worthing, United Kingdom17 contributions5 
helpful votes</t>
  </si>
  <si>
    <t>Four star service.****We had an early flight out of Gatwick so we decided to stay at Travelodge 
Central. What a lovely experience this was. We received a warn friendly 
welcome with all enquiresanswered immediately. The hotel room was spotless 
and warm.The bar staff treated us with the same high quality service we 
received at reception. We could have happily stayed longer if needs be.Read 
moreReview collected in partnership with TravelodgeDate of stay: March 
2019HelpfulShare</t>
  </si>
  <si>
    <t>https://www.tripadvisor.co.uk/Hotel_Review-g191265-d229508-Reviews-or995-Travelodge_Gatwick_Airport_Central-Horley_Surrey_England.html#REVIEWS</t>
  </si>
  <si>
    <t>pollw wrote a review Mar 2019Mysore District, India4 contributions1 helpful 
vote</t>
  </si>
  <si>
    <t>Ideal locationHave stayed here 3 times in the past few months for travel and a local 
convention.Each time great value for money,clean and comfortable. Ideal for 
airport and great bus transfer service.Food in restaurant has been 
excellent each time and very good value for money.Would stay here 
again.Read moreReview collected in partnership with TravelodgeDate of stay: 
March 2019HelpfulShare</t>
  </si>
  <si>
    <t>Lizzi71 wrote a review Mar 2019Waterlooville, United Kingdom106 
contributions21 helpful votes</t>
  </si>
  <si>
    <t>Fantastic place before/after a flightGreat place, close to the airport, cheap parking, good quality selection of 
food/drink. Rooms are spotless as is the rest of the hotel. Have stayed 
here quite a few times and will definitely book for my next flight.Read 
moreReview collected in partnership with TravelodgeDate of stay: March 
2019HelpfulShare</t>
  </si>
  <si>
    <t>Harvey W wrote a review Mar 2019Prague, Czech Republic13 contributions2 
helpful votes</t>
  </si>
  <si>
    <t>NoisyHave stayed a number of times at Travelodge but this was by far the 
noisiest. We had the misfortune to be in room 50, which is right next to 
the firedoor leading to the upstairs bedrooms. Given the nature of this 
hotel., the firedoor was banging all night long with people coming and 
going. The result was little sleep for us. Should you need to stay 
overnight find another place to stay or, at the ver least, make sure you 
get a room which is wee away fro the firedoorsRead moreReview collected in 
partnership with TravelodgeDate of stay: March 2019HelpfulShareResponse 
from TravelodgeUK, Ben from the Social Media Team at Travelodge Gatwick 
Airport CentralResponded 26 Mar 2019Your comments are greatly appreciated 
and thank you for taking the time for reviewing our Gatwick Airport Central 
hotel. We're sorry to hear that your experience with us was affected by 
noise of other guests and did not lead to a peaceful sleep. We strive to 
provide a comfortable night’s sleep for all of our customers, and we are 
sorry that on this occasion we did not meet our standard level of service. 
We would advise in the future a quiet room is requested with the reception 
team so they can resolve any issues you experience with noise. May we thank 
you for your feedback and we do hope you stay with us in the future.Read 
more</t>
  </si>
  <si>
    <t>Daydream49816782276 wrote a review Mar 2019Truro, United Kingdom1 
contribution</t>
  </si>
  <si>
    <t>Stay before flightWe have stayed in various Travelodge hotels and always find they are clean 
and very good value for money. The staff are always friendly and helpful. 
We had a really nice evening meal in the Gatwick restaurant. A really good 
start for a really good holiday. We also used the parking facilities and 
the shuttle bus service was very good to and from the airport.Read 
moreReview collected in partnership with this hotelDate of stay: March 
2019HelpfulShareResponse from TravelodgeUK, Shaf from the Social Media 
Team. at Travelodge Gatwick Airport CentralResponded 25 Mar 2019Thank you 
for reviewing our Gatwick Airport Central Travelodge. We are delighted to 
hear that the Team were able to make your stay more enjoyable. We hope to 
consistently demonstrate a high level of sincere customer care, and we are 
pleased to hear that this was achieved throughout your stay. We are also 
really pleased to hear you found the rooms to be clean and good value for 
money. We would like to thank you for taking the time to submit your honest 
review of your recent stay and rate your experience with five stars.Read 
more</t>
  </si>
  <si>
    <t>https://www.tripadvisor.co.uk/Hotel_Review-g191265-d229508-Reviews-or1000-Travelodge_Gatwick_Airport_Central-Horley_Surrey_England.html#REVIEWS</t>
  </si>
  <si>
    <t>Shelley wrote a review Mar 2019Plymouth, United Kingdom292 contributions84 
helpful votes</t>
  </si>
  <si>
    <t>Had a refurb since last visitHave stayed in this hotel a few times, prior to flying out the country or 
on return. This time the room we stayed in had been refurbished and was 
lovely. Was taken away from the typical travel lodge colours and the room 
we had was grey and pastels - lovely decor. Plenty of hot water and 
everything was clean. As with any airport hotel there are people walking 
about all times of the day and night but I feel people were considerate of 
early timings and were quiet. Well priced bus to the airport with regular 
shuttles.Read moreDate of stay: March 2019HelpfulShareResponse from 
TravelodgeUK, Shaf from the Social Media Team. at Travelodge Gatwick 
Airport CentralResponded 25 Mar 2019Thank you for reviewing our Gatwick 
Airport Central Travelodge. Travelodge are always reviewing our hotels for 
refurbishments and we are pleased to hear you liked the decor. We're really 
pleased to hear he cleanliness was also up to standards. We would like to 
thank you for taking the time to submit your honest review of your recent 
stay and rate your experience with five stars. Feedback is invaluable and 
our Hotel Managers regularly review their TripAdvisor reviews in order to 
fix any issues raised and pass on feedback to their team. Thank you once 
again and we do hope you will stay with us in the future.Read more</t>
  </si>
  <si>
    <t>Janebarnet wrote a review Mar 2019Torreilles Plage, France4 contributions</t>
  </si>
  <si>
    <t>Australian AdventurePolite friendly staff in both reception &amp; bar area bedroom was lovely clean 
&amp; tidy very spacious Plenty of clean towels &amp; comfy beds just what was 
needed before a 24hr flight to Australia definitely would re book on my 
next trip down underRead moreReview collected in partnership with this 
hotelDate of stay: March 2019HelpfulShareResponse from TravelodgeUK, Shaf 
from the Social Media Team. at Travelodge Gatwick Airport CentralResponded 
25 Mar 2019Thank you for reviewing our Gatwick Airport Central Travelodge. 
We're really pleased to hear you found our beds comfortable, room clean and 
hotel team were polite. Feedback is invaluable and our Hotel Managers 
regularly review their TripAdvisor reviews in order to fix any issues 
raised and pass on feedback to their team. Thank you once again and we do 
hope you will stay with us in the future.Read more</t>
  </si>
  <si>
    <t>Dianne T wrote a review Mar 2019Birmingham, United Kingdom19 
contributions17 helpful votes</t>
  </si>
  <si>
    <t>Holiday stay overVery good value.Disappointed with coffee served in bar.We booked the 
cheapest room which was huge and spotless and the only complaint no 
toiletries supplied which would hav e been the extra star.Ideal for our 
flight from GatwickRead moreReview collected in partnership with this 
hotelDate of stay: March 2019HelpfulShareResponse from TravelodgeUK, Shaf 
from the Social Media Team. at Travelodge Gatwick Airport CentralResponded 
25 Mar 2019Thank you for reviewing our Gatwick Airport Central Travelodge. 
We're pleased to hear the cleanliness was up to standards and you thought 
your stay was very good value.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</si>
  <si>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https://www.tripadvisor.co.uk/Hotel_Review-g191265-d229508-Reviews-or1005-Travelodge_Gatwick_Airport_Central-Horley_Surrey_England.html#REVIEWS</t>
  </si>
  <si>
    <t>https://www.tripadvisor.co.uk/Hotel_Review-g186338-d1812157-Reviews-or795</t>
  </si>
  <si>
    <t>Jennine S wrote a review Mar 2019Norwich, United Kingdom2 contributions</t>
  </si>
  <si>
    <t>Great location &amp; valueGreat location and value for money, good sized room for 3 adults would 
definitely stay again, breakfast looked good value for money, but we didn’t 
have it as we were already booked in to airport loungeRead moreReview 
collected in partnership with TravelodgeDate of stay: March 2019HelpfulShare</t>
  </si>
  <si>
    <t>TruthMonkey wrote a review Mar 2019London, United Kingdom114 
contributions44 helpful votes</t>
  </si>
  <si>
    <t>ConvenientLess than 10 minutes by frequent shuttle to the airport. £6 return. The 
location is convenient, the hotel will neither surprise nor delight. A long 
queue to checkin as the Self Service machines were all out of action. Staff 
not especially friendly but efficient. Room was standard Travelodge. Smelt 
a odd (mould? but no visible evidence). Wifi signal poor. Mattress 
excellent and overall a decent night's sleep.Read moreDate of stay: March 
2019HelpfulShareResponse from TravelodgeUK, Ben from the Social Media Team 
at Travelodge Gatwick Airport CentralResponded 25 Mar 2019Thank you for 
taking the time to write a review about your stay at our XXX hotel. We are 
pleased to learn that the hotels location suited your needs and you found 
the mattress to be comfortable however we are sorry to hear of your 
disappointment with the check in, WiFi and room smell. Feedback is 
invaluable and our Hotel Managers regularly review their TripAdvisor 
reviews in order to fix any issues raised and pass on feedback to their 
team. Thank you once again and we do hope you will stay with us in the 
future.Read more</t>
  </si>
  <si>
    <t>Zakzak123 wrote a review Mar 2019London, United Kingdom13 contributions3 
helpful votes</t>
  </si>
  <si>
    <t>Room Excellent. Food direGreat for stopping for a night before an early flight. Room is excellent. 
Staff are great. But food is appalling bad. Prompted waiter 3 times asking 
where the dessert was. Empty assurances because after an hour I gave up and 
finally walked out even though I had paid for it. It’s not busy.Read 
moreDate of stay: March 2019HelpfulShareResponse from TravelodgeUK, Ben 
from the Social Media Team at Travelodge Gatwick Airport CentralResponded 
25 Mar 2019Thank you for taking the time to write a review about our 
Gatwick Airport Central hotel. We are pleased to hear that you liked the 
room and team at the hotel however we are sorry to learn of your 
disappointment with the service in the bar cafe. It’s really important to 
us that our teams provide a fantastic service to our guests so we are sorry 
to learn that you feel this was not the case on this occasion.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</si>
  <si>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https://www.tripadvisor.co.uk/Hotel_Review-g191265-d229508-Reviews-or1010-Travelodge_Gatwick_Airport_Central-Horley_Surrey_England.html#REVIEWS</t>
  </si>
  <si>
    <t>Edward G wrote a review Mar 2019Portsmouth, United Kingdom2 contributions1 
helpful vote</t>
  </si>
  <si>
    <t>Reece the barmanAfter a very long walk from the airport a drink was much needed. Luckily we 
were greeted by Reece who was friendly, helpful and made us forget the 
stress of our long walk.The sign posting for directions to the hotel or non 
existent and we discovered once we arrived that a shuttle bus runs every 10 
mins.Read moreDate of stay: March 2019HelpfulShare</t>
  </si>
  <si>
    <t>Barney wrote a review Mar 2019Twickenham, United Kingdom14 contributions4 
helpful votes</t>
  </si>
  <si>
    <t>Not up to standardYes the location is superb, staff friendly but we fly really early and the 
room is very very noisy. The air conditioner was making a sound like 
running water which is very hard to shut out. When when the conditioner is 
off it still makes this sound. The windows also don’t block the sound out 
so a constant roar from outsize. If you need sleep I do not recommend 
staying here. The walls are very thin and you can hear every door on your 
floor bang and hear TVs and people talking in other rooms. So if you want a 
good nights sleep. Forget it. IRead moreDate of stay: March 20191 Helpful 
voteHelpfulShareResponse from TravelodgeUK, Tilly from The Social Media 
Team at Travelodge Gatwick Airport CentralResponded 22 Mar 2019Thank you 
for submitting your review of our Gatwick Airport Central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</si>
  <si>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https://www.tripadvisor.co.uk/Hotel_Review-g191265-d229508-Reviews-or1015-Travelodge_Gatwick_Airport_Central-Horley_Surrey_England.html#REVIEWS</t>
  </si>
  <si>
    <t>Paying Guest wrote a review Mar 201917 contributions</t>
  </si>
  <si>
    <t>Poor reception services duty manager ill equipped to manage customer serviceHave stayed at this hotel several times and received positive service. 
Today however on checking the receptionist was rude and unable to assist 
with basic information request. When asked for directions to our room she 
was totally non responsive. As we walked away she shouted we were rude in 
fact if she classes people who have English as a second language as rude 
it’s obvious the educational system let her down. when the duty manager was 
requested to take our feed back on customer service he became extremely 
defensive and treated we as paying guest with distaste. So disappointed 
that these two individuals are letting down what was and has been a well 
run low cost service provider. Please learn to listen to positive feedback 
especially from seasoned professionals who up until now…Read moreDate of 
stay: March 2019HelpfulShareResponse from TravelodgeUK, Shaf from the 
Social Media Team. at Travelodge Gatwick Airport CentralResponded 21 Mar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</si>
  <si>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https://www.tripadvisor.co.uk/Hotel_Review-g191265-d229508-Reviews-or1020-Travelodge_Gatwick_Airport_Central-Horley_Surrey_England.html#REVIEWS</t>
  </si>
  <si>
    <t>Mel wrote a review Mar 2019London, United Kingdom156 contributions49 
helpful votes</t>
  </si>
  <si>
    <t>Much better than my last vistReally good value for money, they have clearly made improvements since my 
last visit. I had to thinker with the Ariel slightly to get the TV to work 
but other than that a very good nights sleep was had and my connection via 
shuttle bus to the airport was easy and stress free.Read moreReview 
collected in partnership with this hotelDate of stay: March 2019HelpfulShare</t>
  </si>
  <si>
    <t>eileen h wrote a review Mar 2019Hartlepool, United Kingdom50 
contributions18 helpful votes</t>
  </si>
  <si>
    <t>Great valueUse travelodge regularly as we know that we will have a good clean room, 
bathroom, towels and bedding. The beds are always comfortable as are the 
pillows. TV reception is good and not a bad size tv. Room also had an iron 
and ironing board but no hair dryer. I didn't need one but I would think 
they would be available at the reception. The only disappointment was the 
breakfast. We were apologised that there were no eggs!! Found that very 
strange, but the hot buffet was just to say warm. We would still return to 
this travelodge as the proximity to the airport is brilliant, especially 
the price. Also a shuttle bus stops outside the hotel and only charges 
£3.00 per adult. I know it was less for children but do not know how 
muchRead moreReview collected in partnership with TravelodgeDate of stay: 
March 2019HelpfulShare</t>
  </si>
  <si>
    <t>Sandi B wrote a review Mar 2019Great Yarmouth, United Kingdom6 
contributions3 helpful votes</t>
  </si>
  <si>
    <t>as usual a great staystaff welcoming, helpful and polite TV remote missing from room but as i 
checked in late i didn't bother to let them know until i checked out. 
Always a pleasant experience staying at Gatwick central Travelodge.Read 
moreReview collected in partnership with this hotelDate of stay: March 
2019HelpfulShare</t>
  </si>
  <si>
    <t>malagamolly wrote a review Mar 2019Benalmadena, Spain1,085 contributions161 
helpful votes</t>
  </si>
  <si>
    <t>U get what u pay for...We booked a family room as somewhere to grab a few house sleep before 
flying back home to Spain early the following day. We’ve booked travel 
lodge before, they’re basic but clean. Internet should be provided a 
premier inn give free internet not just half an hour. No iron and ironing 
boards any more just a dirty room with the ironing board set up to be used 
by everyone. I much prefer premier inn for a budget hotel.Read moreDate of 
stay: March 2019HelpfulShare</t>
  </si>
  <si>
    <t>https://www.tripadvisor.co.uk/Hotel_Review-g191265-d229508-Reviews-or1025-Travelodge_Gatwick_Airport_Central-Horley_Surrey_England.html#REVIEWS</t>
  </si>
  <si>
    <t>JordanEmilyLaw wrote a review Mar 2019Corby, United Kingdom27 
contributions15 helpful votes</t>
  </si>
  <si>
    <t>Fantastic hotel9 of us have just returned from Orlando and we stayed at this hotel prior 
to flying out of Gatwick. The hotel is just off the airport site but is 
incredibly easy to get to. There is either a £3 bus or a taxi was £11 and 
we needed two. Bargain!! The hotel is large, spacious and the staff were 
very helpful. It has a bar and restaurant on site which is very nice. Lots 
of space, lots of seating, televisions and separate dining area. We are and 
drank here and the food and drink was very reasonably priced and came out 
quickly and was piping hot. We had a family room and had plenty of space. 
Rooms were decorated nicely, clean and tidy and had everything we need This 
is a great hotel and what’s more we got it at a very very good price. 
Couldn’t recommend more.Read moreDate of stay: March 2019HelpfulShare</t>
  </si>
  <si>
    <t>John D wrote a review Mar 20192 contributions</t>
  </si>
  <si>
    <t>Gatwick ConveniencePleasant hotel, nice room. Well set out and clean. Very happy with the 
experience. Fair price and convenient restaurant on site. Prompt, efficient 
and friendly service in teh Restaurant. Fairly large car park with the 
option to pay in advance. All in all a good experience and a decent way to 
start the holiday.Read moreReview collected in partnership with this 
hotelDate of stay: March 2019HelpfulShare</t>
  </si>
  <si>
    <t>Nik L wrote a review Mar 20195 contributions</t>
  </si>
  <si>
    <t>Lovely and cleanLovely clean, spacious, airy, nice ambient lounge and dining area. Nice 
spacious clean room with two chairs. BUT, the most unhelpful staff, who 
look bored and seem to really not care. And have no customer training. 
Information on how the WiFi works is like pulling teeth.Read moreDate of 
stay: March 2019HelpfulShareResponse from TravelodgeUK, Shaf from the 
Social Media Team. at Travelodge Gatwick Airport CentralResponded 20 Mar 
2019Thank you for reviewing our Gatwick Airport Central Travelodge. We're 
pleased to hear the cleanliness was up to standards and sorry to learn of 
your disappointment regarding the hotel team. We can assure you this is not 
the service we strive for and will have this looked in to. Feedback is 
invaluable and our Hotel Managers regularly review their TripAdvisor 
reviews in order to fix any issues raised and pass on feedback to their 
team. Thank you once again and we do hope you will stay with us in the 
future.Read more</t>
  </si>
  <si>
    <t>Mike E wrote a review Mar 2019Oxford, United Kingdom170 contributions65 
helpful votes</t>
  </si>
  <si>
    <t>Failure to get prepaid internet and poor heatingDespite prepaying for internet we failed to connect except for the free 30 
mins. The heating which is under some form of central control persistently 
turned itself off after a few minutes , it was cold. There is no heating in 
the bathroom. This was a super room!Read moreReview collected in 
partnership with TravelodgeDate of stay: March 20191 Helpful 
voteHelpfulShareResponse from TravelodgeUK, Shaf from the Social Media 
Team. at Travelodge Gatwick Airport CentralResponded 20 Mar 2019Thank you 
for reviewing our Gatwick Airport Central Travelodge. We're extremely sorry 
to learn of the issues you had with the WiFi and heating in our super room.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</si>
  <si>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https://www.tripadvisor.co.uk/Hotel_Review-g191265-d229508-Reviews-or1030-Travelodge_Gatwick_Airport_Central-Horley_Surrey_England.html#REVIEWS</t>
  </si>
  <si>
    <t>Carol G wrote a review Mar 2019Tamworth1 contribution</t>
  </si>
  <si>
    <t>PleasantArrived on a late flight and got shuttle to hotel. Automated booking 
machine meant we didn't have to queue for our room key or allocation. Bar 
was still serving drinks so had a nice relaxing drink, nice to be able to 
chill after our journey. Although we didn't want anything to eat there was 
also food available. The bar is a pleasant area, nicely decorated. The room 
was basic but clean and comfortable.Read moreReview collected in 
partnership with this hotelDate of stay: March 2019HelpfulShare</t>
  </si>
  <si>
    <t>Stupii wrote a review Mar 2019Bury, United Kingdom479 contributions59 
helpful votes</t>
  </si>
  <si>
    <t>Terrible!Just left here and thankfully only stayed one night. The location is ok - 
still a bus ride to the airport. Car park was busy and overflowing. Self 
check in machines were awkward to use but eventually managed to check in to 
our room on the 4th floor. The room is a good size and bed was comfy and 
clean. The bathroom was dirty - toothpastes and sticky residue on the sink 
and dirty floor. The worst thing is the air con/heater unit making noise 
even when turned off - the control panel said change filter which suggests 
there are maintenance issues. The noise was so annoying! The check in slip 
states that irons are available at reception but then you are directed to 
the ironing room - one grubby iron and wonky unstable ironing board to 
serve an airport hotel of this size - absolute…Read moreDate of stay: March 
20192 Helpful votesHelpfulShareResponse from TravelodgeUK, Molly from the 
Social Media Team at Travelodge Gatwick Airport CentralResponded 20 Mar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</si>
  <si>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Kyf18 wrote a review Mar 2019Bridgwater, United Kingdom33 contributions16 
helpful votes</t>
  </si>
  <si>
    <t>Excellent for priceFor the price i paid the room is nice and clean everything you need. Also 
had food downstairs two for £12 bargain. Food was very nice and decent 
sized portions very fast service staff were great definetly reccomend and 
will be back when flying from Gatwick again.Read moreDate of stay: March 
2019HelpfulShare</t>
  </si>
  <si>
    <t>Voyager50562107432 wrote a review Mar 20191 contribution</t>
  </si>
  <si>
    <t>return from holidayreally good value and handy shuttle bus from gatwick really quick check in 
after long haul flight clean room big bed and quiet room considering the 
closeness of airport lots of choice at breakfast continental or english 
clean bathroom and shower will use again.Read moreReview collected in 
partnership with TravelodgeDate of stay: March 2019HelpfulShare</t>
  </si>
  <si>
    <t>https://www.tripadvisor.co.uk/Hotel_Review-g191265-d229508-Reviews-or1035-Travelodge_Gatwick_Airport_Central-Horley_Surrey_England.html#REVIEWS</t>
  </si>
  <si>
    <t>gemstar_2012 wrote a review Mar 2019United Kingdom28 contributions50 
helpful votes</t>
  </si>
  <si>
    <t>Another great stay before holidayOn arrival there was still plenty of spaces to park in the car park, which 
was good as we arrived at about 8.30. Only down thing about car park is we 
were greeted by 2 rats. Ticket machine was not taking cash so we had to run 
all the way back to car to get a card as I had only took change to pay the 
£8 for 24 hours which I think is reasonable. Check in was very easy and we 
were informed times of restaurant. We head straight up to supreme room to 
leave our luggage so we could go and get some dinner before it closed. 
Restaurant/ bar was quite busy this night as queues to order food and 
drinks however the food came out very quick. Food was lovely and great 
value for money with their 2 course offer. Had to wait a while for desserts 
but this wasn’t to much problem but for some…Read moreReview collected in 
partnership with TravelodgeDate of stay: March 2019HelpfulShare</t>
  </si>
  <si>
    <t>Discover66960858380 wrote a review Mar 2019Cirencester, United Kingdom1 
contribution</t>
  </si>
  <si>
    <t>Gatwick overnight stayExcellent, well priced hotel accommodation with good shuttle bus links to 
the airport. The room was spacious and quiet, the beds comfortable, bedding 
good quality and the bathroom clean and modern. Tea making facilities weere 
a bonus too!Read moreReview collected in partnership with TravelodgeDate of 
stay: March 2019HelpfulShare</t>
  </si>
  <si>
    <t>patricia c wrote a review Mar 2019Playa Blanca, Spain4 contributions1 
helpful vote</t>
  </si>
  <si>
    <t>2 night stopoverOn arrival very quick check in, a good nights sleep went for breakfast good 
value although would like fried eggs on the menu, Evening meal very good 
value. Room was cold , Toilets by reception were dirty didnt make any 
difference at what time of day you used them, very dissapointing otherwise 
not a bad place to stayRead moreReview collected in partnership with 
TravelodgeDate of stay: March 2019HelpfulShare</t>
  </si>
  <si>
    <t>Travel501187 wrote a review Mar 20191 contribution</t>
  </si>
  <si>
    <t>Excellent value hotel near the airportI usually try and stay on airport when I have an early morning flight but 
since this wasn’t possible on this occasion I decided to try the 
Travelodge, especially as it offered excellent value for money. I was 
pleasantly surprised by the quality of the hotel. I don’t know if it has 
recently been refurbished but my room was very spacious and comfortable and 
I would definitely stay here again.Read moreReview collected in partnership 
with TravelodgeDate of stay: March 2019HelpfulShare</t>
  </si>
  <si>
    <t>https://www.tripadvisor.co.uk/Hotel_Review-g191265-d229508-Reviews-or1040-Travelodge_Gatwick_Airport_Central-Horley_Surrey_England.html#REVIEWS</t>
  </si>
  <si>
    <t>KatieSylv wrote a review Mar 2019Horsham, United Kingdom1 contribution</t>
  </si>
  <si>
    <t>Brilliant TravelodgeFrom the moment I walked up to the front desk, the staff were made me feel 
welcome. Kay and Cat were super friendly and provided us with all the 
information we needed for our stay. We asked for a room at the end of the 
hall, one to let the kids burn off some energy and 2 to because it’s 
quieter and 3 because the view is amazing! Our room was spacious, 
comfortable and clean. After putting all our bags into the room, we headed 
down to the Bar Café. Rachel &amp; Koye were lovely and served is swiftly at 
the bar and our meal was delicious! The following morning we returned for 
breakfast and the entire team were amazing and helpful despite it being 
busy. Out of all the Travelodge’s I’ve stayed in, this is my favourite.Read 
moreReview collected in partnership with TravelodgeDate of stay: March 
2019HelpfulShare</t>
  </si>
  <si>
    <t>Mark H wrote a review Mar 2019Milton Keynes, United Kingdom44 
contributions14 helpful votes</t>
  </si>
  <si>
    <t>DissapointingStayed over night before flying out the following morning. I have to say I 
am very dissapointed that probably this is one of Travelodges bussiest 
hotels but but is very much below the standard you would expect fron this 
budget hotel. To start the corridor and our room smelth very badly of damp, 
BO, old socks? Whatever it was it was very poor and off putting. The hotel 
is looking tied and unloved and although fairly cheap, you have to ask 
would it be better to pay a little extra for something which is a bit more 
up market. Come on Travelodge sort it out, being cheap doesnt make it 
acceptable for poor standards.Read moreDate of stay: March 
2019HelpfulShareResponse from TravelodgeUK, Shaf from the Social Media 
Team. at Travelodge Gatwick Airport CentralResponded 17 Mar 2019Thank you 
for reviewing our Gatwick Airport Central Travelodge. We're really sorry to 
learn of your disappointment during your recent stay with us and I do 
apologise for the smell in the corridor. Travelodge are always reviewing 
our hotels for refurbishments and we will ensure to pass your comments on 
to the relevant department. Feedback is invaluable and our Hotel Managers 
regularly review their TripAdvisor reviews in order to fix any issues 
raised and pass on feedback to their team. Thank you once again and we do 
hope you will stay with us in the future.Read more</t>
  </si>
  <si>
    <t>bodie49 wrote a review Mar 2019Poole78 contributions32 helpful votes</t>
  </si>
  <si>
    <t>IdealIdeal location,the room was clean, comfortable and great value for money. 
Although they could do with more parking spaces. Breakfast was very good 
with a wide variety of food and also very good value.Read moreReview 
collected in partnership with TravelodgeDate of stay: March 2019HelpfulShare</t>
  </si>
  <si>
    <t>EribaTriton wrote a review Mar 2019Eastleigh, United Kingdom1 contribution</t>
  </si>
  <si>
    <t>Good value, convenient.Cleans and comfortable. Bath plug didn’t drain so stood in previous shower 
water, not easy getting info out of station re bus to travelodge, no answer 
on phone number on booking doc. Not cramped, room to sort ourselves 
out.Read moreReview collected in partnership with TravelodgeDate of stay: 
March 2019HelpfulShare</t>
  </si>
  <si>
    <t>https://www.tripadvisor.co.uk/Hotel_Review-g186338-d1812157-Reviews-or800</t>
  </si>
  <si>
    <t>anhonestjoe wrote a review Mar 2019kent211 contributions118 helpful votes</t>
  </si>
  <si>
    <t>Back in the good booksStayed for 1 night (at a bargain early booking price), for a pre early 
morning flight. Excellent reception staff. Room was modern, spacious and 
very clean. Excellent. Took evening drinks in the bar. Decor not my cup of 
tea but that is personal taste. Bar staff polite and efficient. From a 
previous not so nice stay at a sister hotel, I have to say well done 
Gatwick Central, you have redeemed Travelodge in my eyes. Thank you.Read 
moreDate of stay: February 2019HelpfulShare</t>
  </si>
  <si>
    <t>https://www.tripadvisor.co.uk/Hotel_Review-g191265-d229508-Reviews-or1045-Travelodge_Gatwick_Airport_Central-Horley_Surrey_England.html#REVIEWS</t>
  </si>
  <si>
    <t>Ken C wrote a review Mar 20191 contribution</t>
  </si>
  <si>
    <t>Most excellent stay!This was a truly excellent stay. All the staff were fabulous, when they 
offered me my room they asked me if it was alright, giving me the option to 
change if I wasn't satisfied. But where the experience really shone was 
when I went to the bar. There was a talented musician who just happened to 
be there that night and Jamie, the bartender, turned down the music so hthe 
musician could entertain the troops. Jamie was very engaging, a great 
listener, and extremely attentive to everyone's needs. At reception, 
Salvatore was ready to drop what he was doing to assist me, as well. The 
Assistant Manager, Ben, was very helpful as well. Thanks to the whole team, 
while the room was great, it's the people who work here who really made my 
stay!Read moreDate of stay: March 2019HelpfulShare</t>
  </si>
  <si>
    <t>Adventure253352 wrote a review Mar 20191 contribution</t>
  </si>
  <si>
    <t>Excellent StayStayed for one night at this hotel, there were 8 of us in total &amp; all of us 
had a great room, lovely dinner &amp; a few drinks in the bar. Hotel arranged 
for taxis to pick us up early in the morning to take us to the terminal. 
Will definataly be staying here again.Read moreReview collected in 
partnership with this hotelDate of stay: March 2019HelpfulShare</t>
  </si>
  <si>
    <t>DayTrip56688787908 wrote a review Mar 2019Bridgend County, United Kingdom2 
contributions1 helpful vote</t>
  </si>
  <si>
    <t>overnight stopGreat hotel, with the airport bus to ferry you back and forth to the 
terminals for £3, perfect. The hotel was clean with good size rooms, tea 
and coffee and a good sized clean bathroom. breakfast was fine with plenty 
of choice in the morning. would recommend and would definitely use 
again.Read moreReview collected in partnership with this hotelDate of stay: 
January 2019HelpfulShare</t>
  </si>
  <si>
    <t>https://www.tripadvisor.co.uk/Hotel_Review-g191265-d229508-Reviews-or1050-Travelodge_Gatwick_Airport_Central-Horley_Surrey_England.html#REVIEWS</t>
  </si>
  <si>
    <t>M69C wrote a review Mar 2019Bath, United Kingdom22 contributions7 helpful 
votes</t>
  </si>
  <si>
    <t>Avoid - Go to Premier Inn or Bloc insteadThis hotel is noisy. The staff seem uninterested and the food is terrible. 
I could hear ever word from the next rooms (and the room after that). 
Whilst clean (very clean) they room has very few facilities and is nowhere 
near as good as either the Premier Inn or Bloc (Premier Inn also have way 
better beds). This hotel also has limited parking. It is pay and display 
(more work for you rather than just paying at reception).Read moreDate of 
stay: March 2019HelpfulShareResponse from TravelodgeUK, Shaf from the 
Social Media Team. at Travelodge Gatwick Airport CentralResponded 14 Mar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</si>
  <si>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steve W wrote a review Mar 20196 contributions10 helpful votes</t>
  </si>
  <si>
    <t>Great value.Its a great choice if you have an early flight. I will always be doing this 
in future. Took about 8 minutes to get to Gatwick North. Good price. Good 
coffee machine in your room . Comfortable bed as well.Read moreReview 
collected in partnership with this hotelDate of stay: February 
2019HelpfulShare</t>
  </si>
  <si>
    <t>Camper35570928045 wrote a review Mar 2019Stockport, United Kingdom1 
contribution</t>
  </si>
  <si>
    <t>A Good nights sleepWe arrived at Gatwick airport tired and weary after travelling from Cuba. 
The room at Travelodge was terrific. Good size, warm and very comfortable. 
After a really good nights sleep and a very satisfactory breakfast we were 
ready to start the last leg of our journey home to Cheshire.Read moreReview 
collected in partnership with this hotelDate of stay: March 2019HelpfulShare</t>
  </si>
  <si>
    <t>Navigate39452581824 wrote a review Mar 20191 contribution</t>
  </si>
  <si>
    <t>over night before flyingVery reasonable price for a one night stay before flying, shuttle bus to 
airport very easy. Basic room with very cofortable bed. Staff helpful and 
polite got us some more supplies of teas and coffees when asked. We stayed 
at the back of hotel in separate part and it was not noisy at all.Read 
moreReview collected in partnership with this hotelDate of stay: March 
2019HelpfulShare</t>
  </si>
  <si>
    <t>Shah wrote a review Mar 2019Cardiff, United Kingdom1 contribution</t>
  </si>
  <si>
    <t>Mr ShahOver all, a reasonable experience. WiFi is extremely poor. However, room 
and bathroom was good. Close to the Gatwick airport and purple parking. If 
you wish a reasonably priced hotel near Gatwick, consider this Travelodge 
but be aware that there is £8 parkingRead moreReview collected in 
partnership with TravelodgeDate of stay: March 2019HelpfulShareResponse 
from TravelodgeUK, Molly from the Social Media Team at Travelodge Gatwick 
Airport CentralResponded 14 Mar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</si>
  <si>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https://www.tripadvisor.co.uk/Hotel_Review-g191265-d229508-Reviews-or1055-Travelodge_Gatwick_Airport_Central-Horley_Surrey_England.html#REVIEWS</t>
  </si>
  <si>
    <t>Ian P wrote a review Mar 2019Cambridge, United Kingdom365 contributions68 
helpful votes</t>
  </si>
  <si>
    <t>Very GoodStayed here for the night prior to flying from Gatwick. It is ideally 
located for this, as it's a 10 minute bus journey away. As for the hotel 
the rooms are spacious. Mine smelt slightly fusty and was a bit on the 
chilly side. There was no heating, just an aircon unit which kept switching 
off after a while. The bed was nice and comfy. The shower nice and warm. I 
ate both breakfast and dinner at the hotel and found both of the meals to 
be excellent and very reasonable. All of the staff I encountered were very 
friendly and I would definitely recommend staying here.Read moreDate of 
stay: February 2019HelpfulShare</t>
  </si>
  <si>
    <t>LukeNuk3m wrote a review Mar 2019Newent, United Kingdom20 contributions2 
helpful votes</t>
  </si>
  <si>
    <t>Travelodge GatwickComfortable, recently refitted hotel. Decent enough breakfast but by no 
means great. Parking a grey area as apcoa controlled - still not sure if 
residents have to pay for parking as unable to get hold of the hotel - so I 
paid £12.00 anyway to avoid any come back.Read moreReview collected in 
partnership with TravelodgeDate of stay: March 2019HelpfulShare</t>
  </si>
  <si>
    <t>Sweetem wrote a review Mar 2019Southampton, United Kingdom8 contributions</t>
  </si>
  <si>
    <t>Ideal for a night before an early flightStayed here before an early flight and we chose it because it is only a few 
minutes drive from the airport. Room was large, basic but clean. It serves 
the purpose of somewhere to sleep for a few hours. I found the resteraunt 
quite depressing as it was dark with no natural light, it was also very 
busy and understaffed so the service was slow. You have to pay for the car 
park.Read moreDate of stay: August 2018HelpfulShare</t>
  </si>
  <si>
    <t>Thebirdflys wrote a review Mar 2019Norwich, United Kingdom11 contributions8 
helpful votes</t>
  </si>
  <si>
    <t>Perfect Gatwick airport hotelI had an early morning departure from Gatwick so decided to travel down the 
night before and stay over which was a good decision. This Travelodge is in 
a perfect location on a very regular airport bus route which is £3 per 
journey to either terminal. The check in was very easy and the room and 
comfort of the room was immaculate, totally spotless. I would definitely 
stay here again.Read moreReview collected in partnership with 
TravelodgeDate of stay: March 2019HelpfulShare</t>
  </si>
  <si>
    <t>smeeinnit wrote a review Mar 2019Southampton, United Kingdom38 
contributions28 helpful votes</t>
  </si>
  <si>
    <t>If you like a warm quiet room, look elsewhere!We recently stayed here before and after a trip to Prague. I've used this 
hotel in the past without issues. However on these two occasions I was less 
than impressed with the service provided. 1. The 1st night requested a 
double room, get up to 6th floor and find we'd been given a twin - not 
really a difficult request. (Super Room) was cold, after realising you 
couldn't control the heating from the room I went to reception to request 
some warmth. The receptionist said she'd over ride the system. This worked 
for 30 mins approx, then back to cold. Heating system was noisy all night, 
bathroom flooded when showering, water took in excess of 20 minutes after 
showering to drain away. 2. Second nights stay, after queuing forever as 
the airport bus turned up to check in (one…Read moreDate of stay: March 
2019HelpfulShare</t>
  </si>
  <si>
    <t>https://www.tripadvisor.co.uk/Hotel_Review-g191265-d229508-Reviews-or1060-Travelodge_Gatwick_Airport_Central-Horley_Surrey_England.html#REVIEWS</t>
  </si>
  <si>
    <t>Happytigress wrote a review Mar 2019Slough, United Kingdom74 
contributions32 helpful votes</t>
  </si>
  <si>
    <t>Such a useful hotel.I stay here every time I have to fly from Gatwick in a morning and it`s 
everything a traveller needs! The beds are so comfy it`s a wonder I haven't 
missed my flights!! There`s a shuttle bus between the hotel and both 
terminals of the airport which is very cheap to use. Just cant fault this 
place and the Reception staff have always been a pleasure to deal with. It 
saves being sat on the motorway on the same day of a flight and stressing 
whether you`re going to make it when you get stuck in accident or roadworks 
traffic!Read moreDate of stay: October 2018HelpfulShare</t>
  </si>
  <si>
    <t>Mearcats wrote a review Mar 2019Letchworth, United Kingdom203 
contributions85 helpful votes</t>
  </si>
  <si>
    <t>Fantastic Travelodge and such value for money!Stayed overnight before an early morning flight. Had booked at least 6 
months in advance and got a really good deal. Car parking is extra but only 
£8 per day which is competative for airport parking. The Trvaleodge has 
been refurbished and it was very clean and we enjoyed a peaceful nights 
sleep. We had a family room which was warm, light and spacious. A useful 
tip is that t a taxi is the same price as 4 using the shuttle bus so that 
was great to pre book via the reception and jump the queue the night 
morning and travel direct to the South terminal. We didnt use the 
restaurant or the bar but the menus were well priced.Would use recommend 
and use again.Read moreDate of stay: February 2019HelpfulShare</t>
  </si>
  <si>
    <t>Chelsie R wrote a review Mar 20194 contributions</t>
  </si>
  <si>
    <t>A great stayReally impressed with this travelodge, I have stayed in quite a few so can 
compare! I wouldn’t normally stay over at an airport hotel but had a very 
early flight. Very modern and the restaurant had clearly been recently 
renovated - lots of tables and food went down well with the family. Room 
was clean. Perfect location for Gatwick and managed to get it for a great 
price through a travelodge promotion. Would definitely return if flying 
from Gatwick.Read moreDate of stay: March 2019HelpfulShare</t>
  </si>
  <si>
    <t>lovethemed1 wrote a review Mar 2019england15 contributions16 helpful votes</t>
  </si>
  <si>
    <t>very close to south terminalstayed 1 night before flight to Florida, modern rooms clean and 
comfortable. stay was marred by rude, unpleasant blond girl serving behind 
bar, (eastern European?) pre booked and payed for dinner, restaurant staff 
seemed unorganisedRead moreDate of stay: February 2019HelpfulShareResponse 
from TravelodgeUK, Tilly from The Social Media Team at Travelodge Gatwick 
Airport CentralResponded 19 Mar 2019Thank you for submitting your review of 
our Gatwick Airport Central. We're so sorry to hear of your experience with 
the reception team and we would like to reassure you that your comments 
have been passed to the hotel manager to ensure all team members are 
retrained in Customer Care. Please accept our sincerest apologies for the 
service you received. We are pleased to hear that you were happy with your 
room and it was comfortable We would like to thank you for taking the time 
to inform us of your experience as this will aid us making the necessary 
improvements.Read more</t>
  </si>
  <si>
    <t>https://www.tripadvisor.co.uk/Hotel_Review-g191265-d229508-Reviews-or1065-Travelodge_Gatwick_Airport_Central-Horley_Surrey_England.html#REVIEWS</t>
  </si>
  <si>
    <t>Neil N wrote a review Mar 2019Doncaster, United Kingdom61 contributions77 
helpful votes</t>
  </si>
  <si>
    <t>Overnight stay prior to flightLiterally a five minute drive from Gatwick airport so ideally located for 
overnight stay before flying out on holiday. Be prepared to have change in 
pound coins for the parking machine outside – the one inside was broken – 
and it’s difficult to do in the dark with no lighting. We opted to pay 
online, there are instructions on the reception desk but don’t expect much 
help or assistance from the staff manning the desk, you have to sort it on 
your own. Usual Travelodge room, it does exactly what is required – we paid 
a great price, less than £30 – the bed was really comfortable and the 
shower was really good. The continental breakfast was excellent, the food 
was hot and was replenished by the staff when it got low, a great meal 
before setting off to Gatwick. We will definitely…Read moreDate of stay: 
December 2018HelpfulShare</t>
  </si>
  <si>
    <t>theresa c wrote a review Mar 2019Exmouth, United Kingdom21 contributions20 
helpful votes</t>
  </si>
  <si>
    <t>damp cold room, with dirty beddingstayed in room 18 a disabled room, it has a damp carpet under foot, 
heating, what there is, noisy, so could not have it on during night, but it 
came on anyway, I thought an alarm was going off until I realized it was 
the heating system. no heating in bathroom, cold time of year so no shower, 
and check the date on the milk.Read moreReview collected in partnership 
with TravelodgeDate of stay: March 2019HelpfulShareResponse from 
TravelodgeUK, Shaf from the Social Media Team. at Travelodge Gatwick 
Airport CentralResponded 8 Mar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</si>
  <si>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Wendy K wrote a review Mar 20196 contributions5 helpful votes</t>
  </si>
  <si>
    <t>Excellent Airport StayOne off the best Travel Lodges. It has had a complete refurbishment, to an 
exceptionally high standard. I think attention has been paid to sound 
insulation as it is one of the quietest airport hotels I have stayed in, 
yet it was busy. Well done Travel LodgeRead moreReview collected in 
partnership with TravelodgeDate of stay: March 2019HelpfulShare</t>
  </si>
  <si>
    <t>BarkingBob63 wrote a review Mar 2019Brunflo, Sweden15 contributions8 
helpful votes</t>
  </si>
  <si>
    <t>Value for moneyGreat value for money, me and my 2 sons had a familyroom. Spacey and clean, 
nice beds. Shuttlebus just outside the entrance of the hotel. Costs 
£3/person to and from the terminals. Perfect for a late arrival or early 
take off.Read moreReview collected in partnership with this hotelDate of 
stay: February 2019HelpfulShare</t>
  </si>
  <si>
    <t>https://www.tripadvisor.co.uk/Hotel_Review-g191265-d229508-Reviews-or1070-Travelodge_Gatwick_Airport_Central-Horley_Surrey_England.html#REVIEWS</t>
  </si>
  <si>
    <t>Emily wrote a review Mar 2019London, United Kingdom23 contributions</t>
  </si>
  <si>
    <t>Great stay before our holidayWe stayed the night before we went away on holiday. Having got the train to 
Gatwick we found it extremely easy to get on the shuttle bus to the hotel &amp; 
in the morning again it was so easy. The hotel was lovely,clean &amp; very 
fresh looking. We booked a super room &amp; it is worth it. Had s really nice 
room &amp; comfortable stay. Thank youRead moreReview collected in partnership 
with this hotelDate of stay: February 2019HelpfulShare</t>
  </si>
  <si>
    <t>Barber J wrote a review Mar 2019London, United Kingdom49 contributions8 
helpful votes</t>
  </si>
  <si>
    <t>Rude service and theftWe stayed at this hotel and all seemed fine until we checked our bank 
account and found that we were charged twice for one night here at the 
hotel. When we showed the manager and staff there, they suggested we should 
tell our bank and there's nothing they want to do about it and was very 
rude in the way they said it. We was also told in a sarcastic way they 
won't do anything and that if we have a problem with that then call the 
police and then was given the emergency service number. We will obviously 
go to the bank and file fraud charges but I strongly suggest avoiding this 
place if you don't want to be scammed or spoken down by several of the 
staff.Read moreDate of stay: March 2019HelpfulShareResponse from 
TravelodgeUK, Shaf from the Social Media Team. at Travelodge Gatwick 
Airport CentralResponded 7 Mar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</si>
  <si>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https://www.tripadvisor.co.uk/Hotel_Review-g191265-d229508-Reviews-or1075-Travelodge_Gatwick_Airport_Central-Horley_Surrey_England.html#REVIEWS</t>
  </si>
  <si>
    <t>Tombull10 wrote a review Mar 2019Manchester, United Kingdom14 
contributions11 helpful votes</t>
  </si>
  <si>
    <t>Hot &amp; MouldyRoom was 26/27 degrees for the entire stay. Hotel staff dismissed this 
saying it was impossible as entire hotel was set to 22. Thermostat in room 
showed otherwise and both myself and my partner were unable to sleep 
properly for 3 nights. I was told to prop the door open to get some air 
from corridor which struck me as both a security and privacy concern! Mould 
in the shower. I stay here regularly and this was my first bad experiemce 
so it’s disappointing that both the hotel staff and customer services have 
completely dismissed my complaint.Read moreReview collected in partnership 
with TravelodgeDate of stay: February 20191 Helpful 
voteHelpfulShareResponse from TravelodgeUK, Molly from the Social Media 
Team at Travelodge Gatwick Airport CentralResponded 6 Mar 2019Thank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</si>
  <si>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Tour25963599853 wrote a review Mar 20191 contribution</t>
  </si>
  <si>
    <t>Hotel near the Gatwick airportLike in the title, hotel is near the Gatwick airport and was the reason why 
we stayed there. Hotel was clean and our room was bigger than we expected. 
Bathroom was also clean and there was a bathtub. We stayed only one night 
but base on that this was a good experience and I believe that if we need a 
hotel near the airport in the future, we will choose this hotel again. Bus 
goes from the hotel to the airport but we used taxi and it wasn't even 
expencive so if there are more than one traveller, taxi is a good option 
(pay cash). We didn't use free wifi (first 30 mins, after that it costed 
something, I don't remember how much) so I don't know how it worked. If I 
have to say something negative then it would be about the staff. I don't 
know if the reseptionist was tired but she…Read moreReview collected in 
partnership with TravelodgeDate of stay: March 2019HelpfulShare</t>
  </si>
  <si>
    <t>Lynne S wrote a review Mar 2019Bangkok78 contributions10 helpful votes</t>
  </si>
  <si>
    <t>Convenient simplicityA well located place to stay before an early flight from Gatwick. Regular 
shuttle buses - about every 30 mins. £4.50 shuttle ticket. Rooms perfectly 
adequate. Worth asking for one away from the parking lot to avoid 
disturbances. Bar and restaurant on site fine if a little overpriced, but 
certainly saves going out for one night. Very reasonable price for hotel 
room.Read moreDate of stay: February 2019HelpfulShare</t>
  </si>
  <si>
    <t>Martin R wrote a review Mar 2019Newcastle upon Tyne, United Kingdom17 
contributions5 helpful votes</t>
  </si>
  <si>
    <t>Visit good but the building was coldWe recently spent a night at this Travelodge as we found it very convenient 
for Gatwick airport. Generally all was good but I felt the room and the 
public areas along with restaurants was cold. I don’t normally feel cold at 
such places but this one certainly was not good.Read moreDate of stay: 
February 2019HelpfulShareResponse from TravelodgeUK, Shaf from the Social 
Media Team. at Travelodge Gatwick Airport CentralResponded 4 Mar 2019Thank 
you for reviewing our Gatwick Airport Central Travelodge. We're pleased to 
hear you liked the location of the hotel and ao apologise the bar/cafe area 
was cold. Feedback is invaluable and our Hotel Managers regularly review 
their TripAdvisor reviews in order to fix any issues raised and pass on 
feedback to their team. Thank you once again and we do hope you will stay 
with us in the future.Read more</t>
  </si>
  <si>
    <t>Debra C wrote a review Mar 2019Nottingham, United Kingdom116 
contributions32 helpful votes</t>
  </si>
  <si>
    <t>Clean, Comfortable and Value for MoneyHotel looked almost new, great value for what I paid and included 
breakfast. Bed very comfortable, nice pressure in the shower, quite, nice 
towels. Very happy with my stay. Great for closeness to Gatwick South 
Airport.Read moreReview collected in partnership with TravelodgeDate of 
stay: March 2019HelpfulShare</t>
  </si>
  <si>
    <t>https://www.tripadvisor.co.uk/Hotel_Review-g191265-d229508-Reviews-or1080-Travelodge_Gatwick_Airport_Central-Horley_Surrey_England.html#REVIEWS</t>
  </si>
  <si>
    <t>Terry G wrote a review Mar 20197 contributions</t>
  </si>
  <si>
    <t>Over night stayWe stayed over night to travel to Austria on a skiing holiday, it did the 
job as we had to get up at 03:00 we only stayed for 6 hrs , and was well 
worth it fo £28 for the four of us. Thank you travel lodge.Read moreReview 
collected in partnership with TravelodgeDate of stay: February 
2019HelpfulShare</t>
  </si>
  <si>
    <t>https://www.tripadvisor.co.uk/Hotel_Review-g191265-d229508-Reviews-or1085-Travelodge_Gatwick_Airport_Central-Horley_Surrey_England.html#REVIEWS</t>
  </si>
  <si>
    <t>csdonaldson wrote a review Mar 201946 contributions24 helpful votes</t>
  </si>
  <si>
    <t>Brilliant value for moneyThis is the second time I have stayed overnight before an early morning 
flight. It is excellent value for money. I have stayed at many Travelodge 
hotels over the UK so know the hotels are basic but clean, this one is the 
same. There is a 24 hour bus service to and from the terminals for only £3 
each way so again, good price compared to a taxi. Highly recommended.Read 
moreDate of stay: February 2019HelpfulShare</t>
  </si>
  <si>
    <t>Camper54372740148 wrote a review Mar 2019Nottinghamshire, United Kingdom1 
contribution</t>
  </si>
  <si>
    <t>https://www.tripadvisor.co.uk/Hotel_Review-g186338-d1812157-Reviews-or805</t>
  </si>
  <si>
    <t>amaze balls for an overnight stayroom was spot on very clean just what i expected, comfy bed and pillows, 
hot choc mood lights and tv, nice clean shower, reception sorted out my 
parking permit hassle free, i havd the super room view was ok to 
thanks.Read moreReview collected in partnership with this hotelDate of 
stay: October 2018HelpfulShare</t>
  </si>
  <si>
    <t>sirtravellot wrote a review Mar 2019UK102 contributions41 helpful votes</t>
  </si>
  <si>
    <t>Good valueFor a preflight one night only, this hotel is good value. I have given 4 
ratings because of the price we paid.. It’s basic, very close to the 
airport and does the job! We didn’t eat there and probably wouldn’t. The 
bar prices are massively overpriced for a budget hotel.Read moreReview 
collected in partnership with TravelodgeDate of stay: February 
2019HelpfulShare</t>
  </si>
  <si>
    <t>abovetheclouds69 wrote a review Feb 2019Leeds, United Kingdom6 
contributions2 helpful votes</t>
  </si>
  <si>
    <t>Great staffLike usual, great staff, always willing to help, food was good as well, a 
lot better than the Heathrow Travelodge on the Bath Road. Pizza this time 
which was very nice. No breakfast this time as I was leaving too early so 
can't comment on thisRead moreReview collected in partnership with this 
hotelDate of stay: February 2019HelpfulShare</t>
  </si>
  <si>
    <t>https://www.tripadvisor.co.uk/Hotel_Review-g191265-d229508-Reviews-or1090-Travelodge_Gatwick_Airport_Central-Horley_Surrey_England.html#REVIEWS</t>
  </si>
  <si>
    <t>Bob C wrote a review Feb 2019Faversham, United Kingdom218 contributions88 
helpful votes</t>
  </si>
  <si>
    <t>Overnight before flightThe room was very clean and well maintained. The girl on reception was very 
polite and professional, the staff in the bar ensured we were served 
promptly. We ordered some snacks (cooked) these were brought to our table 
very quickly and by pleasant staff. I’m unable to comment on breakfast as 
we left very early.Read moreDate of stay: February 2019HelpfulShare</t>
  </si>
  <si>
    <t>Philip W wrote a review Feb 2019Rhyl, United Kingdom62 contributions16 
helpful votes</t>
  </si>
  <si>
    <t>Gatwick around the CornerYou would never believe you were next to a major airport. Good value 
parking and just £3 each on the shuttle bus. A cracker of a hotel newly 
refurbished and updated Good value for money Good food at £12 a head for 
two decent sized potions . Didn’t noticed any beers other than lager . But 
that’s being very very picky indeed . Would we stay again too trueRead 
moreReview collected in partnership with TravelodgeDate of stay: February 
2019HelpfulShare</t>
  </si>
  <si>
    <t>Jordan W wrote a review Feb 20192 contributions</t>
  </si>
  <si>
    <t>Fantastic bar staffJamie is the best barmaid I've ever had the pleasure of meeting. Best start 
to a holoday I've ever had and to be honest she's made sure this holoday 
gets off to an amazing start! Couldn't recommend this hotel enough!Read 
moreDate of stay: February 2019HelpfulShare</t>
  </si>
  <si>
    <t>https://www.tripadvisor.co.uk/Hotel_Review-g191265-d229508-Reviews-or1095-Travelodge_Gatwick_Airport_Central-Horley_Surrey_England.html#REVIEWS</t>
  </si>
  <si>
    <t>Daniel C wrote a review Feb 2019Nottingham, England, United Kingdom10 
contributions5 helpful votes</t>
  </si>
  <si>
    <t>Hotel room ok, but stay away from the bar.Now for the price, the hotel itself is actually very good. The room wasn't 
the cleanest but was certainly not dirty. For the money you can't really go 
wrong. I would give a 4 star review for the room. However, never have I 
ever experienced such poor customer service from the staff on the reception 
and the staff in the bar/resturant. It has ruined the start of our holiday, 
we arrived about 5pm and naturally wanted to go for food and drink to 
kickstart the holiday. I spent about £100 at the bar including food and 
drink and our inlaws the same. I asked for a double whisky no ice. This was 
served in a large soft drink glass which was very hot having come out of 
the washer. Now no big deal I thought, but fellow whisky drinkers will know 
how annoying this is. I didn't feel I could…Read moreDate of stay: February 
2019HelpfulShareResponse from TravelodgeUK, Shaf from the Social Media 
Team. at Travelodge Gatwick Airport CentralResponded 28 Feb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</si>
  <si>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secretgoldfish wrote a review Feb 2019England, United Kingdom8 
contributions6 helpful votes</t>
  </si>
  <si>
    <t>Very impressedThis was the nicest Travelodge I’ve been to and the room was very spacious 
and comfortable for a very reasonable price. We had dinner in the 
restaurant there which was also good. There are shuttles 24/7 every half 
hour right outside to both terminals. Will definitely stay again for next 
Gatwick trip.Read moreDate of stay: February 2019HelpfulShare</t>
  </si>
  <si>
    <t>Rosemary S wrote a review Feb 2019Taunton, United Kingdom9 contributions</t>
  </si>
  <si>
    <t>pros and consNice and clean room. Water with lemon available at reception. Everything 
worked in the room. Was much cheaper than premier inn. I had very basic 
package - 30 mins free internet and breakfast not included (helpful as no 
time for all you can eat breakfast). Helpful staff. Card entry to stairs to 
bed rooms Despite being close to north terminal no good path to walk there 
with cases. No safe in room but there is a luggage room available. Rubbish 
dumped in car park. Automatic check in wasn't working so there was a bit of 
a queueRead moreReview collected in partnership with TravelodgeDate of 
stay: February 2019HelpfulShareResponse from TravelodgeUK, Tilly from The 
Social Media Team at Travelodge Gatwick Airport CentralResponded 13 Mar 
2019Thank you for your review of our Gatwick Airport Central hotel. We are 
pleased that the majority of your stay was good, your room was clean, good 
value and our hotel team were helpful. We will pass your feedback to the 
hotel team and we hope to welcome you back soonRead more</t>
  </si>
  <si>
    <t>https://www.tripadvisor.co.uk/Hotel_Review-g191265-d229508-Reviews-or1100-Travelodge_Gatwick_Airport_Central-Horley_Surrey_England.html#REVIEWS</t>
  </si>
  <si>
    <t>Aliena57 wrote a review Feb 2019Warwick, United Kingdom102 contributions39 
helpful votes</t>
  </si>
  <si>
    <t>Great place to stayLovely comfortable bed and a really nice place to stay for a quiet night 
before taking an early flight from Gatwick. The staff were good although it 
did take some time to get our faulty kettle replaced.Read moreReview 
collected in partnership with this hotelDate of stay: February 
2019HelpfulShare</t>
  </si>
  <si>
    <t>Roger H wrote a review Feb 201912 contributions6 helpful votes</t>
  </si>
  <si>
    <t>Overnight stopUse this hotel when we stay overnight for the gatwick airport. Rooms are 
comfortable and adequate for our needs. Bar area is large impersonable and 
pricey. So we tend to use the foresters arms instead. You have to pay for 
the parking despite using the hotel this wrangled with my group on 
principle.Read moreDate of stay: January 2019HelpfulShare</t>
  </si>
  <si>
    <t>Acejase8 wrote a review Feb 2019London, United Kingdom2 contributions</t>
  </si>
  <si>
    <t>Another excellent stay after a flightlovely to come to after a long flight, beds always comfy, room is just what 
you need but the beds are really super nice, i would prefer a king size 
when i am with my partner though, on this trip i was on my own so it was 
lovely, shower is excellent and the breakfast was totally spot on!!Read 
moreReview collected in partnership with TravelodgeDate of stay: February 
2019HelpfulShare</t>
  </si>
  <si>
    <t>lzqy6z wrote a review Feb 2019Liverpool, United Kingdom10 contributions1 
helpful vote</t>
  </si>
  <si>
    <t>Overnight stayGood facilities, only complaint was the room was rather noisy from people 
in the corridors. Food and Bar are was spacious and clean, staff were 
helpful and made the visit a pleasant experience. Not keen on the parking 
arrangements.Read moreReview collected in partnership with this hotelDate 
of stay: February 2019HelpfulShare</t>
  </si>
  <si>
    <t>https://www.tripadvisor.co.uk/Hotel_Review-g191265-d229508-Reviews-or1105-Travelodge_Gatwick_Airport_Central-Horley_Surrey_England.html#REVIEWS</t>
  </si>
  <si>
    <t>aliceNYC2018 wrote a review Feb 20199 contributions</t>
  </si>
  <si>
    <t>Good value for moneyWe stayed here before our flight the next morning Sunday to Monday. The 
hotel room was nice and clean with kitkats and galaxy hot chocolate. 
Generally quiet overnight and easy to check in and out. We also ate at the 
restaurant. The food was fine but not spectacular and ordering at the bar 
was quite slow. However, there was a young waiter who was working so hard - 
he was amazing and had a smile on his face! The shuttle bus was easy to 
use. It ran about every 15 minutes and cost £3 pp each way.Read moreDate of 
stay: February 2019HelpfulShare</t>
  </si>
  <si>
    <t>J W wrote a review Feb 2019Sheffield, United Kingdom4 contributions4 
helpful votes</t>
  </si>
  <si>
    <t>Great location for Gatwick AirportThis hotel is a great place to stay for easy access to Gatwick Airport. 
Shuttle bus runs approximately every 15 minutes from the door. Parking your 
car here is great too! Rooms are spacious, need a little attention in 
places but most hotels do. The food is good and not too pricey. Overall 
value for money.Read moreReview collected in partnership with 
TravelodgeDate of stay: February 2019HelpfulShare</t>
  </si>
  <si>
    <t>Susan G wrote a review Feb 20191 contribution</t>
  </si>
  <si>
    <t>Fine but no cot and parking a messThis Travel lodge was comfortable and convenient. We pre-booked parking but 
found it very difficult to find a space to park. We had a 1 year old with 
us and were told all cots were gone, as we could not pre-book this it was a 
problem. Perhaps Travel Lodges need to sort these 2 things out?Read 
moreReview collected in partnership with TravelodgeDate of stay: February 
2019HelpfulShare</t>
  </si>
  <si>
    <t>Fiona C wrote a review Feb 2019London, United Kingdom13 contributions3 
helpful votes</t>
  </si>
  <si>
    <t>Request ignored. No cot. No sleep.We rang a few days in advance to request a cot for our 5 month old baby and 
were told it was no problem. When we arrived there was no cot, so we asked 
at reception. The staff member said that it was in our notes, and she would 
try and locate one. We never heard from her. After waiting a couple of 
hours we made our little one as comfortable as possible in her buggy and 
tried our best to sleep. I didn't.Read moreReview collected in partnership 
with TravelodgeDate of stay: February 2019HelpfulShareResponse from 
TravelodgeUK, James from the Social Media Team at Travelodge Gatwick 
Airport CentralResponded 26 Feb 2019Thanks for reviewing our Gatwick 
Airport Central Travelodge Hotel. We are very sorry to hear that the hotel 
were unable to assist with a cot during this stay with us and we'd like to 
look into this further for you. Therefore, may we kindly request that you 
contact our Customer Services Team so that we can investigate this more 
thoroughly with the Hotel. Please rest assured the hotel managers check 
Tripadvisor reviews of their hotels so your comments will be reviewed by 
the hotel's team. Thank you again for your comments, and we hope to hear 
from you soon.Read more</t>
  </si>
  <si>
    <t>https://www.tripadvisor.co.uk/Hotel_Review-g191265-d229508-Reviews-or1110-Travelodge_Gatwick_Airport_Central-Horley_Surrey_England.html#REVIEWS</t>
  </si>
  <si>
    <t>Inspiration583272 wrote a review Feb 20191 contribution</t>
  </si>
  <si>
    <t>Parking awfulHotel itself is great and clean.... big issues with the parking and even if 
you pre-pay don't expect a space, cars going round and round trying to find 
a space. Ended up parking on a grass verge and we still had to pay £8 
!!Read moreReview collected in partnership with TravelodgeDate of stay: 
February 2019HelpfulShareResponse from TravelodgeUK, James from the Social 
Media Team at Travelodge Gatwick Airport CentralResponded 26 Feb 2019Thank 
you for reviewing our Gatwick Airport Central Travelodge Hotel. We're happy 
to hear that you were pleased with the cleanliness of the hotel during your 
stay with us but we do apologise you had this poor experience regarding the 
car park. Please be aware there is information on the website during the 
booking process regarding every hotels car park where prices and policies 
are advised. Please rest assured the hotel managers check Tripadvisor 
reviews of their hotels so your comments will be reviewed by the hotel's 
team. Thank you again for leaving this review and we do hope that you 
choose to stay with us again in the future.Read more</t>
  </si>
  <si>
    <t>sabrina C wrote a review Feb 20193 contributions3 helpful votes</t>
  </si>
  <si>
    <t>Worst hotel everThere’s shoes print on the bed and the bathroom smell! There’s no hair 
dryer in the room and when I go reception to borrow one, all are borrowed. 
The first hotel I stayed don’t even have a hair dryer.Read moreDate of 
stay: February 2019HelpfulShareResponse from TravelodgeUK, Tilly from The 
Social Media Team at Travelodge Gatwick Airport CentralResponded 11 Mar 
2019Thank you for submitting your review of our Gatwick Airport Central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</si>
  <si>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https://www.tripadvisor.co.uk/Hotel_Review-g186338-d1812157-Reviews-or810</t>
  </si>
  <si>
    <t>upupandaway120036 wrote a review Feb 2019London, United Kingdom21 
contributions41 helpful votes</t>
  </si>
  <si>
    <t>Overall GoodRooms were good no complaints as we were only there overnight, but queuing 
for drinks and food in long 8-10 people ques, after a long drive you need 
to be served in a reasonable time with both and a comfortable seat which 
there wasn't. Parking space was the worst thing, had to park on grass and 
trust the receptionist that we wouldn't get a ticket or blocked in REALLY 
!!!!!!Read moreReview collected in partnership with TravelodgeDate of stay: 
February 2019HelpfulShare</t>
  </si>
  <si>
    <t>https://www.tripadvisor.co.uk/Hotel_Review-g191265-d229508-Reviews-or1115-Travelodge_Gatwick_Airport_Central-Horley_Surrey_England.html#REVIEWS</t>
  </si>
  <si>
    <t>Chris wrote a review Feb 20191 contribution</t>
  </si>
  <si>
    <t>Great service from Jess and team at ReceptionMy family and I had just flown in from South Africa, it's a long 22 hour 
flight with two very tired young children. Jess Pombo and her colleagues at 
reception quickly checked us in so our kids could go straight for their 
nap, and helped us lug 8 very heavy bags into storage. What a relief to 
arrive at such a friendly, helpful and welcoming hotel.Read moreDate of 
stay: February 2019HelpfulShare</t>
  </si>
  <si>
    <t>JFPalma wrote a review Feb 2019Olhos de Agua, Portugal95 contributions27 
helpful votes</t>
  </si>
  <si>
    <t>Quiet and comfortable but room not quite cleanI stayed only a few hours between flights at this hotel which suited me 
fine just for a few hours rest and a shower but the room although quiet and 
bed comfortable was untidy namely the carpet with lady's hair and the 
toilet. Also the toilet lid was not properly clean with some yellow spots 
like something was sprayed on it but not totally clean.Read moreReview 
collected in partnership with TravelodgeDate of stay: February 
2019HelpfulShareResponse from TravelodgeUK, James from the Social Media 
Team at Travelodge Gatwick Airport CentralResponded 24 Feb 2019Thank you 
for reviewing our Gatwick Airport Central Hotel. We are happy that you had 
a good stay with us and the facilities and comfort was of a good standard. 
In regards to the cleanliness of the hotel, we do apologise for this, 
please be aware the hotel managers check Tripadvisor reviews of their 
hotels so rest assured your comments have been passed on. Thank you again 
for this review and we do hope you choose to stay with us in the 
future.Read more</t>
  </si>
  <si>
    <t>https://www.tripadvisor.co.uk/Hotel_Review-g191265-d229508-Reviews-or1120-Travelodge_Gatwick_Airport_Central-Horley_Surrey_England.html#REVIEWS</t>
  </si>
  <si>
    <t>charlesfwills wrote a review Feb 2019Norwich, United Kingdom2 contributions</t>
  </si>
  <si>
    <t>Dirty hotelThe hotel is a taxi ride away from the airport with others being in walking 
distance. The room was very cold when I went in. Brown stains all over the 
floor, disgusting. Cobwebs in the windows. Poor water pressure in the 
shower. Awful soap in the dispensers and wifi didn’t work.Read moreReview 
collected in partnership with TravelodgeDate of stay: February 
2019HelpfulShareResponse from TravelodgeUK, James from the Social Media 
Team at Travelodge Gatwick Airport CentralResponded 24 Feb 2019Thank you 
for reviewing our Gatwick Airport Central Travelodge Hotel. We're so sorry 
to hear your room was not up to the usual high standard of cleanliness we 
would have wished for you. We are also sorry to hear of the issues with the 
shower water pressure and the dispensers in the bathroom. We would like to 
hear more about your stay with us and would kindly invite you to contact us 
via our website as we have noticed further to your room experience, the bar 
cafe staff did not give you the customer care you deserve. Many thanks once 
again and we look forward to hearing from you shortly.Read more</t>
  </si>
  <si>
    <t>SallyR984 wrote a review Feb 2019Manchester3 contributions1 helpful vote</t>
  </si>
  <si>
    <t>General managerHad a bit of a bad start as we were given a room we weren’t happy with. The 
hotel was fully booked however the manager Francesco was very helpful and 
understanding and managed to find us a room to suit. Francesco deserves a 
shout out!Read moreDate of stay: February 2019HelpfulShare</t>
  </si>
  <si>
    <t>lonewayfarer wrote a review Feb 2019Coventry, United Kingdom400 
contributions132 helpful votes</t>
  </si>
  <si>
    <t>Just OKThe check-in was straightforward. The staff were helpful but didn't show 
very much enthusiasm. The updated SuperRoom is a refresh on the old look. I 
thought the rooms here were quite spacious, nice to have power/USB sockets 
by the head board, pastel colours with a vintage look and feel. Iron/board, 
hairdryer. There was coffee machine with Lavazzo pods, Samsung TV with 
Freeview. A decent chair to relax in. Clean white bathroom. I thought the 
hotel was very cold in temperature. The room was cold and it turns out 
there is no way to control the room temperature. There is a heat pump but 
it is centrally controlled. I reported it to reception and they provided a 
portable heater. The cafe bar was also cold, many people dining in their 
coats and jackets. Does this hotel keep it cold…Read moreDate of stay: 
February 2019HelpfulShareResponse from TravelodgeUK, Ben from the Social 
Media Team at Travelodge Gatwick Airport CentralResponded 17 Mar 2019Thank 
you for taking the time to share your experience with us. We are happy to 
hear that you were pleased with the facilities in the Super room at our 
Gatwick Airport Central hotel and that you found the hotel team to be 
helpful. We sorry to learn that you found the room and rest of the hotel to 
be too cold. Feedback is invaluable and our Hotel Managers regularly review 
their TripAdvisor reviews in order to fix any issues raised and pass on 
feedback to their team. Thank you once again and we do hope you will stay 
with us in the future.Read more</t>
  </si>
  <si>
    <t>danielgraham1989 wrote a review Feb 2019Chandler’s Ford, United Kingdom165 
contributions52 helpful votes</t>
  </si>
  <si>
    <t>Standard Travelodge standardStayed overnight before an early flight from Gatwick. Plenty of parking, 
check in smooth and room clean and tidy to usual Travelodge standard. 
Nothing spectacular but for the cheap rate a comfortable place to spend 
overnight. Food wasn't great in the restaurant and quite expensive, but 
didn't expect much. Would stay again if flying from Gatwick.Read moreDate 
of stay: February 2019HelpfulShare</t>
  </si>
  <si>
    <t>aruboo wrote a review Feb 2019Isle of Wight, United Kingdom1 contribution</t>
  </si>
  <si>
    <t>Disappointing!Disappointing! No hand soap or shower gel, dirty towel and bathroom. noisy 
cistern at night and lovely breakfast!!...Diarrhoea straight after 
breakfast! Other than that it was perfectly adequate for the price.Read 
moreReview collected in partnership with TravelodgeDate of stay: February 
2019HelpfulShareResponse from TravelodgeUK, Ben from the Social Media Team 
at Travelodge Gatwick Airport CentralResponded 11 Mar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t>
  </si>
  <si>
    <t>https://www.tripadvisor.co.uk/Hotel_Review-g191265-d229508-Reviews-or1125-Travelodge_Gatwick_Airport_Central-Horley_Surrey_England.html#REVIEWS</t>
  </si>
  <si>
    <t>Excursion496495 wrote a review Feb 20192 contributions</t>
  </si>
  <si>
    <t>Travelodge GatwickVery clean, tidy and comfortable room with adequate amenities. Convenient 
location for Gatwick Airport with very frequent bus shuttle service to all 
terminals for those early morning flights or late arrivals. Excellent value 
for moneyRead moreReview collected in partnership with TravelodgeDate of 
stay: February 2019HelpfulShare</t>
  </si>
  <si>
    <t>ANA wrote a review Feb 20191 contribution</t>
  </si>
  <si>
    <t>TERRIBLE! Do not waste your money.Upon arrival at 2:45, we weren’t even greeted properly by the two women at 
the front reception. Instead, we were told to “wait” to check-in at exactly 
3:00pm. Then time passes and it’s 3:15pm, finally checked-in and went to 
the room. They didn’t give any direction to elevators or help us get there. 
Honestly this was the worst service I have actually had from hotel staff. 
Rude, snobby and downright disrespectful. This goes for the young black 
woman at the reception the following day, who literally said “I am too busy 
to pay attention to the bus schedule. I don’t have time for that”... so 
what is your job then?? 3rd floor was disgusting. Smelly, noisy and ugly. 
The pictures are clearly deceiving. I don’t normally write reviews because 
most people don’t bother me, but this was…Read moreDate of stay: February 
2019HelpfulShareResponse from TravelodgeUK, Shaf from the Social Media 
Team. at Travelodge Gatwick Airport CentralResponded 21 Feb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</si>
  <si>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Travelot68 wrote a review Feb 2019Greater London, United Kingdom7 
contributions2 helpful votes</t>
  </si>
  <si>
    <t>Big double room newly refurbishedOnly needed a room for the night before getting a morning flight the next 
day. Car parking was a challenge to find a space and cost £8 for 24 hours. 
The first bedroom was not made up by housekeeping. We returned to reception 
desk and was given a new clean room. All very satisfactory and a spacious 
double on 5th floor (quiet floor) facing car park. Other family guests who 
stayed too said the food in restaurant was mediocre and there was few staff 
serving in bar (doubled up as servers in restaurant we identified), which 
was frequently left unstaffed. Overall hotel clean and, friendly staff. 
Very close to south terminal where we parked our car in long stay.Read 
moreReview collected in partnership with TravelodgeDate of stay: February 
20191 Helpful voteHelpfulShare</t>
  </si>
  <si>
    <t>Passport52182057120 wrote a review Feb 20191 contribution1 helpful vote</t>
  </si>
  <si>
    <t>Excellent stayReally pleasantly surprised by how great the hotel was. We went for the 
upgraded room which was at the top of the building. Couldn't fault it. Only 
issue was a inconsiderate family next door who thought it was acceptable to 
let their small kids scream down the corridor and be noisy in the room next 
to us. When you have to get up at 4.45am for a flight this is not ideal and 
woke all of us up. I think as people are sleeping and waking up at slightly 
different times to a normal hotel it might be helpful to remind people of 
this! Check in was really quick with a machine that does it all for you and 
gives your 'key'. There is also a receptionist too, but loved the idea of 
the 4 machines for speed. The shuttle to Gatwick was excellent and stopped 
right outside reception. Its £3 for…Read moreReview collected in 
partnership with TravelodgeDate of stay: February 20191 Helpful 
voteHelpfulShare</t>
  </si>
  <si>
    <t>https://www.tripadvisor.co.uk/Hotel_Review-g191265-d229508-Reviews-or1130-Travelodge_Gatwick_Airport_Central-Horley_Surrey_England.html#REVIEWS</t>
  </si>
  <si>
    <t>gatesy150 wrote a review Feb 2019Isle of Wight, United Kingdom4,536 
contributions177 helpful votes</t>
  </si>
  <si>
    <t>A good &amp; cheap 1 night stay before early morning flightStayed here a couple of weeks ago before our early morning flight from LGW 
to Las Vegas. Only paid like £30 for a twin room and it done the just the 
job. Clean, comfy enough beds and quiet , all before a long flight to USA, 
for what you pay its fine. Got a bar and restaurant downstairs or some 
decent pubs nearby (i recommend Foresters pub, only a very short cab ride 
away, top food). For the price, you can't really go wrong.Read moreDate of 
stay: February 20191 Helpful voteHelpfulShare</t>
  </si>
  <si>
    <t>nathanrT6016CK wrote a review Feb 2019Salisbury, United Kingdom95 
contributions13 helpful votes</t>
  </si>
  <si>
    <t>Watch out.Ok. Room is clean, well equipped and cheap. But our stay here was very 
difficult- the rooms are noisy and the whole place smelt of aircraft fuel. 
It was very hard to park, so had to leave car on edge of parking spaces- 
some people left cars on the grass. I learned a lesson here, we had an 
early flight, so with no sleep it ruined the first day of our break. I 
don’t think I will stay so close to Gatwick again- not unless I could get 
some sleep anyway, park the car and not sick from the smell of fumes!Read 
moreDate of stay: February 2019HelpfulShareResponse from TravelodgeUK, 
Tilly from The Social Media Team at Travelodge Gatwick Airport 
CentralResponded 10 Mar 2019Thank you for your comments about our Gatwick 
Airport Central hotel. We're sorry to hear that your stay was disturbed by 
noise and you had issues with parking. We are pleased that your room was 
clean and good value. We will be sure to pass this on to our hotel team and 
hope to welcome you back soonRead more</t>
  </si>
  <si>
    <t>https://www.tripadvisor.co.uk/Hotel_Review-g191265-d229508-Reviews-or1135-Travelodge_Gatwick_Airport_Central-Horley_Surrey_England.html#REVIEWS</t>
  </si>
  <si>
    <t>phabphil1946 wrote a review Feb 2019Peterborough, United Kingdom24 
contributions5 helpful votes</t>
  </si>
  <si>
    <t>The room smelled damp and there was mould in the showerThe room was freezing cold, and smelled strongly of damp. The shower 
smelled so bad and was so cold we did not shower before leaving. There was 
condensation inside the windows. However the cafe staff were lovely, 
bringing us fresh croissants for breakfast and being generally friendly and 
helpful. The reception staff were helpful and pleasant on our arrival, but 
the morning staff were miserable.Read moreReview collected in partnership 
with TravelodgeDate of stay: February 2019HelpfulShareResponse from 
TravelodgeUK, Shaf from the Social Media Team. at Travelodge Gatwick 
Airport CentralResponded 17 Feb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</si>
  <si>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Andy8412 wrote a review Feb 2019Warrington, United Kingdom13 
contributions28 helpful votes</t>
  </si>
  <si>
    <t>Hygiene issues and don’t bother booking cotsWe stayed as a family of four, 2 adults and 2 young children. Booked a cot 
for our 18 month old (as travelodge stipulates) 2 days before but upon 
arrival, surprise surprise no sign and reception said they had been too 
busy and none now available. They said some guests may have checked out now 
but seemingly couldn’t be bothered checking the rooms or log to find out 
which! First impressions look ok for the price you pay but we noticed hair 
in the bath and by the time our daughter eventually went to sleep and I 
climbed into bed...I felt a sharp point in my back, which turns out was an 
old toe or finger nail! Not even sure they change sheets after previous 
guests! Avoid with or without families!Read moreDate of stay: February 
2019HelpfulShareResponse from TravelodgeUK, Molly from the Social Media 
Team at Travelodge Gatwick Airport CentralResponded 17 Feb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</si>
  <si>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b6ent wrote a review Feb 2019Driffield, United Kingdom170 contributions74 
helpful votes</t>
  </si>
  <si>
    <t>Superb room, high level of cleanlinessStayed overnight prior to flying the following morning. Room on top floor 
with amazing views across the airfield and into the Surrey Hills. The room 
was spotless, bedding superbly comfortable, all facilities one would expect 
from Travelodge. Would highly recommend this venue. Shuttlebus to both 
terminals every few minutes at a very reasonable price. Dined in the 
restaurant, the staff were charming and attentive. Drinks selection was 
very good with a bottle of wine reasonably priced and very good. The Beef 
Bourguignon was brilliant, the crumble with proper custard really hit the 
spot. Our first taste of the new SuperRooms, but won't be our last! Thank 
youRead moreDate of stay: January 2019HelpfulShare</t>
  </si>
  <si>
    <t>https://www.tripadvisor.co.uk/Hotel_Review-g191265-d229508-Reviews-or1140-Travelodge_Gatwick_Airport_Central-Horley_Surrey_England.html#REVIEWS</t>
  </si>
  <si>
    <t>Global37596623938 wrote a review Feb 20191 contribution</t>
  </si>
  <si>
    <t>Travel Lodge GatwickThe online booking process was really cumbersome with some of the 
compulsory address fields on the web page not working well for foreigners 
with accepting postal codes from outside the UK. Also, not being able to 
book additional nights at the check-in counter is really weird as you are 
forced to book online only!Read moreReview collected in partnership with 
TravelodgeDate of stay: February 2019HelpfulShare</t>
  </si>
  <si>
    <t>Twixxy wrote a review Feb 20191 contribution</t>
  </si>
  <si>
    <t>Worst hotel I have stayedThis hotel was the worst. We wanted somewhere to stay before we flew out 
from gatwick. We booked in advance for a double room and when we got there 
they gave us the disabled room. Room was awful they had two single beds 
together they kept on sliding apart when we were asleep. The room was 
absolutely freezing. We tried to change the temperature on the thermostat 
but it kept on saying error. We told reception and they reset it but still 
it was only a little improvement. Also because we got the disabled room the 
shower was a floor shower so the water got everywhere in the bathroom. 
Worst experience ever do not go here. Even if it is cheap. Don’t be 
fooledRead moreDate of stay: February 2019HelpfulShareResponse from 
TravelodgeUK, Molly from the Social Media Team at Travelodge Gatwick 
Airport CentralResponded 14 Feb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</si>
  <si>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Travel38220476793 wrote a review Feb 2019Paris, France1 contribution</t>
  </si>
  <si>
    <t>Great quality / price ratioI stayed for 2 nights, nice experience, helpful staff, clean, room clean 
and comfy well heated with what needed to make a hot cup of coffer or tea 
even in the reception. Room for ironing and good wifi. I proudly recommend 
it.Read moreReview collected in partnership with TravelodgeDate of stay: 
February 2019HelpfulShare</t>
  </si>
  <si>
    <t>https://www.tripadvisor.co.uk/Hotel_Review-g191265-d229508-Reviews-or1145-Travelodge_Gatwick_Airport_Central-Horley_Surrey_England.html#REVIEWS</t>
  </si>
  <si>
    <t>ALAN2672013 wrote a review Feb 2019Villajoyosa, Spain12 contributions1 
helpful vote</t>
  </si>
  <si>
    <t>GOOD SHORT STAYWe were only there a few hours as we landed in the afternoon and had to 
leave at 4.30a.m. the following morning, but room was very clean, warm and 
with tea/coffee. Nice evening meal at hotel and used the shuttle service to 
the airport 3.00 pounds.Read moreReview collected in partnership with this 
hotelDate of stay: February 2019HelpfulShare</t>
  </si>
  <si>
    <t>Mike B wrote a review Feb 2019Skegness, United Kingdom9 contributions7 
helpful votes</t>
  </si>
  <si>
    <t>Great hotelMy wife and daughter had to stay here for over two weeks while I was in 
hospital nearby and they said it was fantastic for any money, but 
especially so as it is a budget chain. The staff were wonderful and really 
looked after them at a very stressful time as I was quite seriously ill for 
a while. Would recommend this to anyone. It is a little away from the 
airport but there are regular buses to both terminals and the rooms are at 
least half the price of any other airport hotel.Read moreDate of stay: 
January 20191 Helpful voteHelpfulShare</t>
  </si>
  <si>
    <t>Prolog wrote a review Feb 2019London10 contributions4 helpful votes</t>
  </si>
  <si>
    <t>Travel Lodge GathwickA rent a room at this Travel Lodge Hotel for the night between 3rd and 4th 
February 2019. When I reached the Gathwick Airport, I asked how to reach 
this Hotele need to take the bus to reach it. The cost of the bus is around 
GBP 3. - each way. When reaching the Hotel, I found a hotel within small 
rooms. If we wish to use the Internet, we need to pay an extra. Considering 
all the costs, is better to book at Premier With hotel which will finally 
the same cost or a little more expansive.Read moreReview collected in 
partnership with TravelodgeDate of stay: February 2019HelpfulShare</t>
  </si>
  <si>
    <t>Sonia L wrote a review Feb 20197 contributions4 helpful votes</t>
  </si>
  <si>
    <t>My holiday starts at TravelodgeI always book a night at Travelodge before I fly. The convenient location 
and freindly staff means I reach the airport relaxed and in plenty of time 
to check in. Even though close to the airport, the rooms are surprisingly 
quiet and the blackout blinds and doubleglazing ensure a good night 
sleep.Read moreReview collected in partnership with this hotelDate of stay: 
January 2019HelpfulShare</t>
  </si>
  <si>
    <t>peteacko wrote a review Feb 2019kent england34 contributions20 helpful votes</t>
  </si>
  <si>
    <t>ExcellentStayed on our way and back from a cruise around the canairies Always clean 
and a pleasure to stay Staff polite and friendly food superb Bath lovely 
plenty of hot water Tea and Coffee nice Real value for moneyRead moreReview 
collected in partnership with this hotelDate of stay: February 
2019HelpfulShare</t>
  </si>
  <si>
    <t>https://www.tripadvisor.co.uk/Hotel_Review-g191265-d229508-Reviews-or1150-Travelodge_Gatwick_Airport_Central-Horley_Surrey_England.html#REVIEWS</t>
  </si>
  <si>
    <t>Asher95 wrote a review Feb 2019Brading, United Kingdom8 contributions4 
helpful votes</t>
  </si>
  <si>
    <t>HolidayWe stayed here after our flight back from Holiday, it’s great value for 
money with Gatwick being minutes away on the shuttle bus ! We arrived late 
evening &amp; went straight for food as it was about 11pm, my only Cristitism 
is the bar/restaurant was quite busy with only 1 staff member servingRead 
moreReview collected in partnership with TravelodgeDate of stay: February 
2019HelpfulShare</t>
  </si>
  <si>
    <t>Kat O wrote a review Feb 2019Swindon, United Kingdom4 contributions2 
helpful votes</t>
  </si>
  <si>
    <t>The noisiest hotel I have ever stayed in!Myself and a friend stayed here with our 2 toddlers the night before 
flying. The hotel itself was clean and tidy but considering we were staying 
with two young children we were put in a family room next door to a group 
of loud/drunken men. When said men went to sleep at around 11pm we thought 
we would finally be able to sleep. The children managed to sleep however my 
friend and I didn’t sleep at all. The hotel itself creaks and taps 
constantly plus there was a constant humming noise even though we turned 
our air conditioning/heating off. The room was cheap and is close to the 
airport but I can honestly say I would prefer to pay more and stay elswhere 
in future. The whole point of us staying the night before was to enable us 
to sleep prior to our early flight, we were not lucky…Read moreDate of 
stay: February 2019HelpfulShareResponse from TravelodgeUK, Ben from the 
Social Media Team at Travelodge Gatwick Airport CentralResponded 13 Feb 
2019Thank you for taking the time to write a review about our Gatwick 
Airport Central hotel. We are pleased to hear that you liked the hotels 
location and found it to be clean and a good price however we are sorry to 
learn that you were disturbed by noise from other guests. If customers are 
causing noise that may disrupt other guests we do ensure that we politely 
ask them to lower the noise levels. Feedback is invaluable and our Hotel 
Managers regularly review their TripAdvisor reviews in order to fix any 
issues raised and pass on feedback to their team. Thank you once again and 
we do hope you will stay with us in the future.Read more</t>
  </si>
  <si>
    <t>Hotelchoicehelp wrote a review Feb 2019Kent, England12 contributions10 
helpful votes</t>
  </si>
  <si>
    <t>Great value airport hotelA comfortable, quiet well maintained and friendly hotel, about one mile 
from Gatwick airport. The room was adequately spacious and comfortable, 
with no external or internal noise- we were on a Quiet floor. Food in the 
restaurant was delicious- a real surprise and good enough that we'd make a 
point of eating there again. Service in th restaurant was helpful and 
friendly and all the staff were professsional and well- informed.Read 
moreReview collected in partnership with TravelodgeDate of stay: February 
2019HelpfulShare</t>
  </si>
  <si>
    <t>Lynn T wrote a review Feb 2019Dunoon, United Kingdom9 contributions3 
helpful votes</t>
  </si>
  <si>
    <t>Great ValueGreat value for money, comfy, clean and quiet. Friendly and efficient 
staff. Lights stopped working in our room, and the nightshift staff quickly 
offered us a different room. Im a regular visitor to this Travelodge and I 
highly recommend it for travel out of Gatwick Airport.Read moreReview 
collected in partnership with this hotelDate of stay: January 20191 Helpful 
voteHelpfulShare</t>
  </si>
  <si>
    <t>https://www.tripadvisor.co.uk/Hotel_Review-g191265-d229508-Reviews-or1155-Travelodge_Gatwick_Airport_Central-Horley_Surrey_England.html#REVIEWS</t>
  </si>
  <si>
    <t>Kerri S wrote a review Feb 2019London, United Kingdom4 contributions4 
helpful votes</t>
  </si>
  <si>
    <t>UnhelpfulIf this is the travel lodge that is next to Morrison's in Crawley town 
centre, just hope you never need help! I stayed here with a friend at the 
weekend. Room is clean and tidy but in the early hours of Saturday morning 
(about 8ish) I slipped into a diabetic coma. My friend called an ambulance 
and was asked what the address was. She didn't know so poked her head out 
the door to ask the cleaner in the corridor what's the address. Cleaner 
replied "No English, no understand" the 999 operator told her to go to 
reception and pass the phone over so they could ask the receptionist what 
the address was and surprise surprise the receptionist refused the phone 
and said "I don't understand english" my friend started to shout for first 
aid and the guy behind the desk shrugged his shoulders…Read moreDate of 
stay: February 2019HelpfulShare</t>
  </si>
  <si>
    <t>cookington wrote a review Feb 2019Plymouth, United Kingdom185 
contributions85 helpful votes</t>
  </si>
  <si>
    <t>Horrendous experienceWe'd booked into the hotel for a Thursday night and a Sunday night along 
with car parking, as we were flying to Portugal for the weekend. We 
travelled up on a Thursday evening after work and got caught up about 
halfway in the heavy traffic and road closures as a result of the heavy 
snow. What should have been a 3 1/2 hour journey took more than 8 hours, so 
we arrived at around 3 in the morning to be told the hotel was overbooked 
as we couldn't stay. We were initially told we needed to drive to the other 
hotel we'd been moved to, but given the horrendous journey we'd just 
experienced my husband explained he wasn't happy getting back in the car 
(the roads were treacherous). The reception team offered to book us a taxi 
there instead (which we were grateful for) but couldn't advise…Read 
moreDate of stay: January 2019HelpfulShareResponse from TravelodgeUK, Shaf 
from the Social Media Team. at Travelodge Gatwick Airport CentralResponded 
12 Feb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</si>
  <si>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Maps17769644272 wrote a review Feb 2019London, United Kingdom1 
contribution1 helpful vote</t>
  </si>
  <si>
    <t>https://www.tripadvisor.co.uk/Hotel_Review-g186338-d1812157-Reviews-or815</t>
  </si>
  <si>
    <t>Cheap for a reasonCheap but room smelled awful. It looked clean enough but smelled 
overpoweringly of not just mildew but body odour. I was too tired to 
complain. Plus a loud fan was running in the hall all night - could have 
been a white noise but had a grating sound in it that made it hard to sleep 
through.Read moreReview collected in partnership with TravelodgeDate of 
stay: February 20191 Helpful voteHelpfulShareResponse from TravelodgeUK, 
Ben from the Social Media Team at Travelodge Gatwick Airport 
CentralResponded 11 Feb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</si>
  <si>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Andymiff wrote a review Feb 2019Belper, United Kingdom4 contributions5 
helpful votes</t>
  </si>
  <si>
    <t>Don’t call them !At 30p per minute you will soon rack up a phone bill ! Very basic but 
cheap. Breakfast is passable but better to eat in the terminal. Dinner is 
slightly better if you like microwave food. But cheap and cheerfulRead 
moreDate of stay: February 20191 Helpful voteHelpfulShareResponse from 
TravelodgeUK, Ben from the Social Media Team at Travelodge Gatwick Airport 
CentralResponded 11 Feb 2019Thank you for taking the time to write a review 
about our Gatwick Airport Central hotel. We are pleased to hear that you 
were happy with the room price however are sorry to learn of your 
disappointment with the phone costs and food at the hotel. Our 08 numbers 
are charged at 13 pence per minute however guests are provided with a 
standard rate 03 for the hotel and our reservations team on their 
confirmation emails.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</si>
  <si>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https://www.tripadvisor.co.uk/Hotel_Review-g191265-d229508-Reviews-or1160-Travelodge_Gatwick_Airport_Central-Horley_Surrey_England.html#REVIEWS</t>
  </si>
  <si>
    <t>Peeps wrote a review Feb 2019Bristol, United Kingdom338 contributions14 
helpful votes</t>
  </si>
  <si>
    <t>Great Overnight Stay before Leaving for FlightI travelled from Bristol, South West to get to this hotel for an overnight 
stay before heading out for an adventure to Jordan. I was amazed by the 
shear size of this hotel. Not surprisingly on arrival there was a queue to 
book in. I was pleased that i reserved a room for the night before 
travelling because otherwise that would have been 4 hours on coach and then 
5 hours on a plane, non-stop. This is a really nice hotel with a welcoming 
reception and certainly lots of space to chill/ relax. Good size bathroom/ 
en-suite. I had a pizza for my evening meal which was made in-house - 
wasn't brilliant but it was ok considering I was just staying for the 
night. Got a good nights rest in before travelling. This is the place to 
rest your head before any travel from Gatwick North…Read moreDate of stay: 
January 2019HelpfulShare</t>
  </si>
  <si>
    <t>Debs wrote a review Feb 20193 contributions1 helpful vote</t>
  </si>
  <si>
    <t>Would not recommendUnhelpful reception staff. Booked a double room - none available so offered 
a family room with 3 beds for 1 person? Long que at reception - careless 
attitude by reception staff Would not recommend - sadlyRead moreReview 
collected in partnership with TravelodgeDate of stay: February 20191 
Helpful voteHelpfulShareResponse from TravelodgeUK, Molly from the Social 
Media Team at Travelodge Gatwick Airport CentralResponded 10 Feb 2019Thank 
you for your review We hope to demonstrate a high standard of genuine 
customer care to all of our guests upon their arrival at the Hotel and 
throughout their stay, and we apologise if you felt the Reception Team were 
uninterested. We are also sorry to hear that you were allocated a family 
room despite booking a double, and for any disappointment caused. Thank you 
again for your review.Read more</t>
  </si>
  <si>
    <t>Relax12423219500 wrote a review Feb 2019Leeds, United Kingdom1 
contribution2 helpful votes</t>
  </si>
  <si>
    <t>400 rooms so READ!!!Breakfast was ok. Dinner is good. No proper heating in the room. No water 
pressure in shower. Receptionists are not bothered even if you complain. 
Plates, trays and spoons not clean. Pay and park. Have stayed in other 
travelodge hotels across country but this was the worst stay. Even though 
it’s near the airport and has competitive prices with other hotels - it is 
not maintained.Read moreReview collected in partnership with TravelodgeDate 
of stay: February 20192 Helpful votesHelpfulShareResponse from 
TravelodgeUK, Molly from the Social Media Team at Travelodge Gatwick 
Airport CentralResponded 10 Feb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</si>
  <si>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caromun wrote a review Feb 2019Banbury, United Kingdom3 contributions1 
helpful vote</t>
  </si>
  <si>
    <t>Stay before flightGreat customer service comfortable room Just what was needed before an 
early flight Good that shuttle to airport stops right outside the main 
doors £3 e@ch person for trip to airport good value Nice seating area for 
breakfast Bre@kfast exactRead moreReview collected in partnership with 
TravelodgeDate of stay: February 2019HelpfulShare</t>
  </si>
  <si>
    <t>https://www.tripadvisor.co.uk/Hotel_Review-g191265-d229508-Reviews-or1165-Travelodge_Gatwick_Airport_Central-Horley_Surrey_England.html#REVIEWS</t>
  </si>
  <si>
    <t>Trail28213227940 wrote a review Feb 20191 contribution</t>
  </si>
  <si>
    <t>Great serviceVery friendly staff, very comfortable bed, love the refreshments available 
in the room. Added bonus. Family friendly. Tv worked, WiFi great. Staff 
members really helped us out, only criticism would be to improve food 
choices for dinner.Read moreReview collected in partnership with 
TravelodgeDate of stay: January 2019HelpfulShare</t>
  </si>
  <si>
    <t>markeZ513HM wrote a review Feb 2019Merida, Spain2 contributions</t>
  </si>
  <si>
    <t>Travelodge gatwickGreat value for money. Close to the airport. New hotel well maintained 
friendly staff . The room was large comfortable and clean. Parking in front 
of the hotel was not expensive for the airport. All in all a pleasant 
experience .Read moreReview collected in partnership with TravelodgeDate of 
stay: February 2019HelpfulShare</t>
  </si>
  <si>
    <t>Michael W wrote a review Feb 2019Southampton, United Kingdom38 
contributions9 helpful votes</t>
  </si>
  <si>
    <t>Good budget hotel v close to airportSatnav address wasn't very accurate but we were able to find hotel due to 
large sign on side of hotel roof. Parking immediate outside (£8/on). Room 
was a bargain on late rooms. No frills but clean and comfortable. Meal in 
restaurant was convenient and reasonable price/quality. Would definitely 
stay again. V close to airport. We dropped car off at meet and greet which 
was also very closeRead moreDate of stay: February 2019HelpfulShare</t>
  </si>
  <si>
    <t>https://www.tripadvisor.co.uk/Hotel_Review-g191265-d229508-Reviews-or1170-Travelodge_Gatwick_Airport_Central-Horley_Surrey_England.html#REVIEWS</t>
  </si>
  <si>
    <t>Trail10576080900 wrote a review Feb 2019Hannover, Germany2 contributions</t>
  </si>
  <si>
    <t>Great hotel for the price except cleanlinessThe super room is great for the price, I’ve stayed in more expensive less 
exciting hotels. You can reach the hotel easily with shuttle service from 
Gatwick airport (both terminals) for £3 cash per ride. The room was quiet. 
Bed is comfortable and clean. If you’re traveling internationally they 
offer 4 USB slots to charge your devices. The heating is controlled so 
it’ll automatically set itself back to 15-20 degrees which was too chilly 
for me. I had to readjust hearing every 30 minutes. Other thing I’ve 
noticed is after I’ve returned from a business trip and hung the room 
service sign at the door, the room was cleaned returning 5 hours later but 
I received dirty towels (from someone else) I don’t know if they didn’t 
wash them correctly or if they just assumed someone’s towels…Read 
moreReview collected in partnership with TravelodgeDate of stay: February 
2019HelpfulShare</t>
  </si>
  <si>
    <t>David M wrote a review Feb 2019Dumbarton, United Kingdom39 contributions17 
helpful votes</t>
  </si>
  <si>
    <t>First ClassStayed 1 night and found this hotel very good and clean and beds where 
great also food was very good and not bad prices 2 course for £12 and 
breakfast was also very good. If you need a bus it is every 15 min to 
airport and not bad prices too and car parking is £8 for 24hrsRead moreDate 
of stay: February 2019HelpfulShare</t>
  </si>
  <si>
    <t>Sam_boogie wrote a review Feb 2019Province of Alicante, Spain184 
contributions17 helpful votes</t>
  </si>
  <si>
    <t>Excellent serviceAs the title says 5 stars all round.. even the problem with booking. Agoda 
had booked 5th of march instead of feb (or was it me lol) so big shout out 
to salvatore on receprion.. within 3 mins i was in my room.. excellent 
bar/reception/cleaning staff etc fantastic stay see you again soonRead 
moreDate of stay: February 2019HelpfulShare</t>
  </si>
  <si>
    <t>Sam B wrote a review Feb 2019Hayle, United Kingdom20 contributions3 helpful 
votes</t>
  </si>
  <si>
    <t>Best service everSo my friend and I went to the bar super amped as we were going to vegas. 
We stayed in the hotel. It was good for the price we paid. Everything was 
accessible easily and the room was great. We had a barmaid called Rachel 
who was really attentive and welcoming. If I stay here here again I'll 
definite visiting.Read moreDate of stay: February 20191 Helpful 
voteHelpfulShare</t>
  </si>
  <si>
    <t>Claire wrote a review Feb 20192 contributions2 helpful votes</t>
  </si>
  <si>
    <t>Great for a quick getaway when flying into or out of GatwickThis hotel is a short distance from Gatwick, accessible by coach transfer 
(£3 per person) or taxi (£6 for 2 people going from the hotel to the North 
Terminal. It’s basic but clean with comfortable beds. Cafe on site appears 
reasonable value for pub style food or slip to the neighbouring hotel which 
has a more extensive, but reasonably priced menu.Read moreReview collected 
in partnership with TravelodgeDate of stay: February 2019HelpfulShare</t>
  </si>
  <si>
    <t>https://www.tripadvisor.co.uk/Hotel_Review-g191265-d229508-Reviews-or1175-Travelodge_Gatwick_Airport_Central-Horley_Surrey_England.html#REVIEWS</t>
  </si>
  <si>
    <t>dboi84 wrote a review Feb 2019Cornwall, United Kingdom37 contributions15 
helpful votes</t>
  </si>
  <si>
    <t>AmazingUsually not a massive fan of Travelodge. However this is a Travelodge plus, 
major differences air conditioning/heating, king-size bed which was sooo 
comfy. Bar and restaurant was great not to expensive but good food which 
you can takeaway to your room, staff very friendly and self check in. It's 
not as close as premier inn, but 10 mins or less and your in the terminal. 
Quiet and peaceful. Well worth the money. The new plus brand is brilliant, 
way better than my premier Inn stay in Gatwick.Read moreDate of stay: 
January 2019HelpfulShare</t>
  </si>
  <si>
    <t>Robert M wrote a review Feb 201918 contributions1 helpful vote</t>
  </si>
  <si>
    <t>Bad nightStayed here 25th jan for one night and had a very bad night.Check in fine 
,room clean,bar and food good.BUT the nights sleep didnt happen due to 
noise from road works across the road,car alarms from the compound in front 
of hotel going off and ignorant guest shouting as they left the lodge.These 
things are probably not the lodges fault but the worst noise was from the 
air conditioning unit which sounded like someone was either having a 
constant shower or pee all night.This is the companys fault and needs 
sorting.Read moreDate of stay: January 2019HelpfulShareResponse from 
TravelodgeUK, Ben from the Social Media Team at Travelodge Gatwick Airport 
CentralResponded 5 Feb 2019Thank you for taking the time to write a review 
about our Gatwick Airport Central hotel. We are pleased to hear that your 
room was clean and you were happy with the food however we are sorry to 
learn that you were disturbed by noise from outside the hotel as well as 
from the facilities inside. Feedback is invaluable and our Hotel Managers 
regularly review their TripAdvisor reviews in order to fix any issues 
raised and pass on feedback to their team. Thank you once again and we do 
hope you will stay with us in the future.Read more</t>
  </si>
  <si>
    <t>Sightseer523480 wrote a review Feb 20191 contribution</t>
  </si>
  <si>
    <t>Excellent valueClean, comfortable, good salads. Good value bar friendly staff. Tea and 
coffee in the room. Clean sheets and towels. Great breakfast healthy 
options and variety of foods. Communal areas were inviting and clean.Read 
moreReview collected in partnership with TravelodgeDate of stay: February 
2019HelpfulShare</t>
  </si>
  <si>
    <t>Traveler65770289330 wrote a review Feb 2019Ceredigion, United Kingdom1 
contribution</t>
  </si>
  <si>
    <t>Good stay. Shuttle bus confusing.I really enjoyed staying at this travelodge as it was very professional and 
clean and what is expected. However, I was disappointed in the lack of 
instructions about where to catch a shuttle bus for the hotels so spent 
extra money where it was not needed. Great value for money but ask about 
the hotel shuttle bus before you get there as the phones at the bus stops 
outside the airport do not work.Read moreReview collected in partnership 
with TravelodgeDate of stay: February 2019HelpfulShare</t>
  </si>
  <si>
    <t>https://www.tripadvisor.co.uk/Hotel_Review-g191265-d229508-Reviews-or1180-Travelodge_Gatwick_Airport_Central-Horley_Surrey_England.html#REVIEWS</t>
  </si>
  <si>
    <t>LouieM81 wrote a review Feb 2019Hythe, United Kingdom73 contributions9 
helpful votes</t>
  </si>
  <si>
    <t>Value for moneyWe stayed here the night before we flew. It’s good for that reason. You 
don’t stay here for things in the hotel so it’s a no thrills affordable 
hotel. We got a king size bed and the room had lost of space. Room was 
clean and so was the bathroom. The only negative was that the air 
conditioning unit kept us awake for the majority of the night. It would go 
off at random times even though it was off. Had to mark it down for this 
reason.Read moreDate of stay: February 2019HelpfulShare</t>
  </si>
  <si>
    <t>Cruiser28538747647 wrote a review Feb 2019New York City, New York2 
contributions</t>
  </si>
  <si>
    <t>Stop over before flightExcellent hotel and rooms very spacious and clean, Bar meal very good and 
all staff very helpful and informative staff. Excellently positioned hotel 
for ease of access to airport with shuttle bus running from hotel every 15 
minutesRead moreReview collected in partnership with TravelodgeDate of 
stay: January 2019HelpfulShare</t>
  </si>
  <si>
    <t>https://www.tripadvisor.co.uk/Hotel_Review-g191265-d229508-Reviews-or1185-Travelodge_Gatwick_Airport_Central-Horley_Surrey_England.html#REVIEWS</t>
  </si>
  <si>
    <t>mwbrown28 wrote a review Jan 20195 contributions</t>
  </si>
  <si>
    <t>Mark BrownAfter getting a reasonable price to stay night before early flight, as soon 
as you entered the guests area it was freezing, my room thermostat saiyit 
was 14° And I think that was generous. Put the air conditioning to max heat 
and went for a coffee, which was also colder than the service by girls 
chatting instead of serving. Return to room to find it had got to 18° and 
that was its lot. The duvet was paper thin and not suitable for the 
external minus temperature outside. I could of complained but too tired and 
fed up. A dreadful night sleep as the walls are also made of cardboard and 
you can hear everything.Read moreDate of stay: January 
2019HelpfulShareResponse from TravelodgeUK, Charley from the Social Media 
Team at Travelodge Gatwick Airport CentralResponded 31 Jan 2019Thank you 
for submitting your review of our Gatwick Airport Central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</si>
  <si>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nicola R wrote a review Jan 2019Devon, United Kingdom163 contributions67 
helpful votes</t>
  </si>
  <si>
    <t>DampArrived for a preflight stay. On arriving we went to our room to find the 
floor damp and the room smelling musty. The shower was very small but 
useable. The bed had little hairs in it and blood stain on the sheets. We 
went down to reception and into the bar to get a drink but there was no one 
there to serve us so we retired to our room. We went to get some food early 
as we wanted a early night and we were the first ones to the restaurant. It 
got busy very quick and was noticeable by the limited number of staff 
running around like headless chickens. We ordered our food only to be told 
fifteen minutes later they didn’t have what we’d ordered. So after a quick 
change of menu our food arrived cold and the burgers were stodgy and so 
full of fat it was dripping out the bottom. We sat…Read moreDate of stay: 
January 2019HelpfulShareResponse from TravelodgeUK, Charley from the Social 
Media Team at Travelodge Gatwick Airport CentralResponded 31 Jan 2019Thank 
you for submitting your review of our Gatwick Airport Central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</si>
  <si>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Steven B wrote a review Jan 2019London, England, United Kingdom14 
contributions19 helpful votes</t>
  </si>
  <si>
    <t>FautlessVery clean, and friendly atmosphere. Excellent food and drink. Easy access 
to the airport. Simple but a fantastic start to our holiday. Being in 
January, fantastic value for money. And car parking available at a 
reasonable cost.Read moreReview collected in partnership with this 
hotelDate of stay: January 2019HelpfulShare</t>
  </si>
  <si>
    <t>Traveler56011318683 wrote a review Jan 20191 contribution</t>
  </si>
  <si>
    <t>My reviewExcellent room, and brilliant breakfast. Could use some help in being able 
to watch the TV. Bathroom incredibly wet because of failure to capture 
surplus water. Some confusion in how to use key cards, not at all 
obvious.Read moreReview collected in partnership with this hotelDate of 
stay: January 2019HelpfulShare</t>
  </si>
  <si>
    <t>https://www.tripadvisor.co.uk/Hotel_Review-g191265-d229508-Reviews-or1190-Travelodge_Gatwick_Airport_Central-Horley_Surrey_England.html#REVIEWS</t>
  </si>
  <si>
    <t>Rob C wrote a review Jan 201916 contributions7 helpful votes</t>
  </si>
  <si>
    <t>Welcome stay overComfort and convenience for a reasonable price. Large rooms, some with a 
bath/ shower combination. In room tea and coffee with top up supplies at 
reception. Restaurant with reasonably priced huge meals. Cheap shuttle bus 
to airport.Read moreReview collected in partnership with this hotelDate of 
stay: January 2019HelpfulShare</t>
  </si>
  <si>
    <t>B B wrote a review Jan 2019Beverley4 contributions5 helpful votes</t>
  </si>
  <si>
    <t>Clean and tidy accommodation close to airportThe travel lodge was close to Gatwick airport. A shuttle bus for £3 each 
way took you too and from the airport approx 15 minute drive. The travel 
lodge was clean and tidy. Comfortable beds. Good to have an area to eat and 
drink in the evening and we had a breakfast which there was lots of 
choice.Read moreReview collected in partnership with this hotelDate of 
stay: January 2019HelpfulShare</t>
  </si>
  <si>
    <t>Dina D wrote a review Jan 20196 contributions3 helpful votes</t>
  </si>
  <si>
    <t>Comfortable Travel StopWe chose the upgraded room which was well worth the extra couple of £’S 
each. The facilities were exactly as described and in as new condition. 
Only one slight shortfall and that was at reception where the 2 staff 
seemed more interested in talking to each other rather than extending a 
warm welcome to customers? This said our stay was lovely and we’ll 
definitely stay again.Read moreReview collected in partnership with this 
hotelDate of stay: January 2019HelpfulShare</t>
  </si>
  <si>
    <t>Magena L wrote a review Jan 20191 contribution</t>
  </si>
  <si>
    <t>A night at Gatwicks TravelodgeA had a single night booked before having an early morning flight the 
following day. I had a good sized room, which was clean, as I entered the 
room I found it rather cold so I tried to turn the heating up, but it 
wouldn't go above the temperature already allocated, so I decided to turn 
it off all together as it was just making the room colder. I wanted an 
early night as I had a early flight but the guests above my room where very 
noise (but eventually quieter down), I also got woken up a few times in the 
night because the air-con kept making noises, even though it was turned 
off. All in all, the staff were lovely and the bus service to Gatwick was 
easy, this is a fine accommodation for a cheap night, but bring some ear 
plugsRead moreReview collected in partnership with TravelodgeDate of stay: 
January 2019HelpfulShare</t>
  </si>
  <si>
    <t>https://www.tripadvisor.co.uk/Hotel_Review-g191265-d229508-Reviews-or1195-Travelodge_Gatwick_Airport_Central-Horley_Surrey_England.html#REVIEWS</t>
  </si>
  <si>
    <t>Kate M wrote a review Jan 2019Bath, United Kingdom7 contributions3 helpful 
votes</t>
  </si>
  <si>
    <t>Very convenientThis Travelodge was ideal for us for a nights stay as we were leaving early 
the next day and wanted a hotel close to Gatwick. Transport to and from the 
hotel was an added bonus. Room was perfect if a little too big for our 
needs.Read moreReview collected in partnership with this hotelDate of stay: 
January 2019HelpfulShare</t>
  </si>
  <si>
    <t>https://www.tripadvisor.co.uk/Hotel_Review-g186338-d1812157-Reviews-or820</t>
  </si>
  <si>
    <t>deanhfd5 wrote a review Jan 2019Birmingham, United Kingdom3 contributions</t>
  </si>
  <si>
    <t>Fine hits,The hotel is situated in a great part of London. The parking is cheap, and 
there is plant of it. The room are clean and the staff are very friend,Y. 
And if you feel s Amish in th enlighten the vending machines are fokd, but 
expensiveRead moreReview collected in partnership with TravelodgeDate of 
stay: January 2019HelpfulShare</t>
  </si>
  <si>
    <t>Allan H wrote a review Jan 2019Tavira, Portugal37 contributions21 helpful 
votes</t>
  </si>
  <si>
    <t>Great location for travellersClose to Gatwick airport. Good sized, comfortable rooms with large 
beds.Reasonably priced bar and restaurant on site.Easy and quick check 
in/out. Helpful and friendly staff.A minimum 200 character review is a 
rediculous ask!Read moreReview collected in partnership with this hotelDate 
of stay: January 2019HelpfulShare</t>
  </si>
  <si>
    <t>Mike65 wrote a review Jan 2019Littlehampton, United Kingdom12 
contributions4 helpful votes</t>
  </si>
  <si>
    <t>Horrible whistling windowAwful one night stay.. The window whistled all night. When i rang through 
to reception via my mobile.. The young person seemed to respond but nothing 
happened.. In the morning it was again mentioned, but as we were leaving, 
he seemed more interested in the back room..Read moreReview collected in 
partnership with TravelodgeDate of stay: January 2019HelpfulShareResponse 
from TravelodgeUK, Molly from the Social Media Team at Travelodge Gatwick 
Airport CentralResponded 30 Jan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t>
  </si>
  <si>
    <t>Dream47030511778 wrote a review Jan 20191 contribution</t>
  </si>
  <si>
    <t>gatwick central stayClean hotel but clear issues with getting rooms ready for guests - checking 
in at 17.00 but room not ready ? Staff on the Saturday were brisk and 
unwelcoming - no real interest or help. Problems in the room - eventually 
sorted but made to feel we were a nuisance.Read moreReview collected in 
partnership with TravelodgeDate of stay: January 2019HelpfulShareResponse 
from TravelodgeUK, Charley from the Social Media Team at Travelodge Gatwick 
Airport CentralResponded 13 Feb 2019Thank you for taking the time to review 
our Gatwick Airport Central hotel. We are sorry to hear that your 
experience was spoiled in particular by the readiness of the rooms and the 
service received on the Saturday morning. On the other hand we're pleased 
to hear that issues were sorted, however we apologise that you were made to 
feel like a nuisance. We have passed on your comments and they will help us 
improve, in the meantime we would hope to welcome you again in the future 
and give us the opportunity to offer a fully enjoyable stay.Read more</t>
  </si>
  <si>
    <t>https://www.tripadvisor.co.uk/Hotel_Review-g191265-d229508-Reviews-or1200-Travelodge_Gatwick_Airport_Central-Horley_Surrey_England.html#REVIEWS</t>
  </si>
  <si>
    <t>Paul Legate wrote a review Jan 2019St Ives, United Kingdom14,074 
contributions16,910 helpful votes</t>
  </si>
  <si>
    <t>Impressive stay especially for the price paidThere were quite a lot of people waiting at the lobby when I arrived at the 
hotel late on a Friday evening. I used the self check-in kiosk but instead 
of getting a room key I was given a receipt and directed to a staff member 
at the front desk. It was quite a long winded and bizarre process, where 
about half a dozen receipts were collected and the staff member would 
disappear into the back office to cut the key cards. I was given a room on 
the third floor, it was a family room as that was the only room type 
available when I booked at short notice. The room was large with a double 
bed and two made up single fold-up beds. There were plenty of towels, a lot 
of storage space and tea/coffee facilities. The bathroom was good with a 
powerful shower and wall mounted soap dispensers…Read moreDate of stay: 
January 201956 Helpful votesHelpfulShare</t>
  </si>
  <si>
    <t>Sandra S wrote a review Jan 2019Norwich, United Kingdom71 contributions19 
helpful votes</t>
  </si>
  <si>
    <t>Overnight stay for the airportClean, comfortable bed and 5 minutes from the airport what’s not to like? I 
didn’t visit the restaurant or bar so can’t comment. The usual travelodge 
rooms. Good amount of parking which is chargeable unless you have disabled 
badge and then it’s free.Read moreDate of stay: January 20191 Helpful 
voteHelpfulShare</t>
  </si>
  <si>
    <t>Jill R wrote a review Jan 2019Colchester, United Kingdom5 contributions6 
helpful votes</t>
  </si>
  <si>
    <t>overnight stayvery clean and comfortable, and would recommend staying there to all my 
friends and family who would need an overnight stay before going to the 
airport it is certainly good value, also having the airport buses stop 
right outside is a bonusRead moreReview collected in partnership with 
TravelodgeDate of stay: January 20191 Helpful voteHelpfulShare</t>
  </si>
  <si>
    <t>Jim L wrote a review Jan 2019Bideford88 contributions37 helpful votes</t>
  </si>
  <si>
    <t>A brand you can TrustStayed at Travelodge Gatwick prior to a flight from the airport. The 
service and the room as always was first class. The great thing about 
travelodge hotels is you can trust what you are going to get. Also had an 
evening meal which was excellent and good value for money. A very good bus 
service is available on a regular basis to each terminal costing £3.00 per 
person.Read moreDate of stay: January 20191 Helpful voteHelpfulShare</t>
  </si>
  <si>
    <t>Tara L wrote a review Jan 20192 contributions1 helpful vote</t>
  </si>
  <si>
    <t>Room clean, modern and comfortableThe location was very near to the airport. The shuttle bus was regular. The 
staff were very helpful and provided us with local knowledge to help us 
with our continued travels. The room was comfortable, clean and modern.Read 
moreReview collected in partnership with TravelodgeDate of stay: January 
20191 Helpful voteHelpfulShare</t>
  </si>
  <si>
    <t>https://www.tripadvisor.co.uk/Hotel_Review-g191265-d229508-Reviews-or1205-Travelodge_Gatwick_Airport_Central-Horley_Surrey_England.html#REVIEWS</t>
  </si>
  <si>
    <t>Nick Stephen wrote a review Jan 2019Witham, United Kingdom184 
contributions71 helpful votes</t>
  </si>
  <si>
    <t>Perfect airport hotel. Extremely helpful staff. Clean and comfy rooms.I stayed here with friends the night before we flew out on holiday. My 
friend had mistakenly booked the wrong Travelodge and had booked the 
Redhill one which was a few miles down the road. Katie who worked behind 
reception couldn't have been more helpful and without issue, managed to 
swap our bookings around so we could stay in the Gatwick hotel. The rooms 
are spacious, clean and comfortable and completely done the job. The bar is 
24 hour which is always good and created a night vibrant atmosphere for a 
few drinks in the evening. I will almost definitely stay here again. 
Recommended.Read moreDate of stay: January 20191 Helpful voteHelpfulShare</t>
  </si>
  <si>
    <t>chrssalw wrote a review Jan 2019Isle of Wight, United Kingdom90 
contributions45 helpful votes</t>
  </si>
  <si>
    <t>Another comfortable stayThis is our go to hotel when flying out of Gatwick, its clean comfortable 
and always a good price. Getting to the airport is a breeze with the 
shuttle bus running 24/7, food in the restaurant is OK, but drinks 
expensive. Staff are friendly enough.Read moreDate of stay: January 20192 
Helpful votesHelpfulShare</t>
  </si>
  <si>
    <t>Samuel1804 wrote a review Jan 20194 contributions1 helpful vote</t>
  </si>
  <si>
    <t>Amazing!!!!!Great value for money, highly recommend. Hotel is clean and modern and the 
staff are amazing. Great locations and they run a FREE reqular shuttle bus 
to the airport. You hardly get anything for free now, great service.Read 
moreReview collected in partnership with TravelodgeDate of stay: January 
20191 Helpful voteHelpfulShare</t>
  </si>
  <si>
    <t>Departure26626250263 wrote a review Jan 2019Punta Cana, Dominican Republic1 
contribution</t>
  </si>
  <si>
    <t>Noisy hotelGround floor rooms Very loud external noise from shttle bus which runs 
through the night dont expect to get a good nights sleep this bus runs 
through the night.Taxis dropping off and picking up.Wedid n9t contact 
reception as thistook place through the night until we decided enough was 
enough and left for airport earlyRead moreReview collected in partnership 
with TravelodgeDate of stay: January 2019HelpfulShareResponse from 
TravelodgeUK, Tilly from The Social Media Team at Travelodge Gatwick 
Airport CentralResponded 27 Jan 2019Thank you for submitting your review of 
our Gatwick Airport Central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</si>
  <si>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https://www.tripadvisor.co.uk/Hotel_Review-g191265-d229508-Reviews-or1210-Travelodge_Gatwick_Airport_Central-Horley_Surrey_England.html#REVIEWS</t>
  </si>
  <si>
    <t>Ieva M wrote a review Jan 20192 contributions</t>
  </si>
  <si>
    <t>Loud and dirtyI stay at hotels in Crawley for business throughout the week and I have 
been to lots of hotels around the area. Whilst I appreciate ‘you get what 
you pay for’ malarkey, I am still disappointed by Travelodge standards. 
There are some good things about it: rooms are big, beds comfy and you 
can’t fault the staff as they are helpful and friendly. However, I’ve 
stayed here for two weeks in a row now due to the last minute booking 
changing and whilst I appreciate the low cost, my second week has not been 
super joyful. First of all, I check in to the room and after 4,5 hours 
journey and a full day of work I want to relax. I have a shower and 
immediately spot a whole corner of black hairs (looks like shaved pubes as 
they’re very short and there’s literally lots). I get grossed out…Read 
moreDate of stay: January 2019HelpfulShareResponse from TravelodgeUK, Tilly 
from The Social Media Team at Travelodge Gatwick Airport CentralResponded 
27 Jan 2019Thank you for your comments about our Gatwick Airport Central 
hotel. We're truly sorry to learn that your bathroom was not cleaned to our 
high standard. We are pleased to learn that you were happy with the size of 
your room, your bed was comfortable and our hotel team were helpful and 
friendly. We will be sure to pass this on to the hotel team to help improve 
the service that we offer and hope to be given the opportunity to welcome 
you back soonRead more</t>
  </si>
  <si>
    <t>Denise R wrote a review Jan 2019Cyprus37 contributions11 helpful votes</t>
  </si>
  <si>
    <t>Ideal overnight stayThe one night stay was as expected. Comfy bed clean room and good shower. 
Check in was easy. The breakfast was very good as was the dinner we had. 
Always good to have coffee and tea making facilities in the room and 
getting more was no problem. The staff were helpful. Very handy for the 
airport and the shuttle bus runs regularly.Read moreReview collected in 
partnership with TravelodgeDate of stay: January 2019HelpfulShare</t>
  </si>
  <si>
    <t>https://www.tripadvisor.co.uk/Hotel_Review-g191265-d229508-Reviews-or1215-Travelodge_Gatwick_Airport_Central-Horley_Surrey_England.html#REVIEWS</t>
  </si>
  <si>
    <t>terry g wrote a review Jan 2019Southend-on-Sea, United Kingdom2 
contributions</t>
  </si>
  <si>
    <t>Good valueFirst class service from front desk. Facilities excellent for overnight 
stay . Just minutes from terminals. Shuttle bus runs 24 hours. Room clean 
and fresh. 5th and sixth floors are asigned as quite areas.. useful if you 
have early flight.Read moreReview collected in partnership with this 
hotelDate of stay: January 2019HelpfulShare</t>
  </si>
  <si>
    <t>DrWatson6 wrote a review Jan 2019Milton Abbot, United Kingdom150 
contributions90 helpful votes</t>
  </si>
  <si>
    <t>Revamped and great for overnight‘Tis what it is’ an overnight pre flight stay. Restaurant is good, rooms 
are clean and air conditioned, so, if you need to stop offon budget, it’s a 
good option. Car park right outside, (extra cost) Quiet and easy access to 
flightsRead moreDate of stay: January 2019HelpfulShare</t>
  </si>
  <si>
    <t>Diana B wrote a review Jan 2019Lapta, Cyprus93 contributions57 helpful votes</t>
  </si>
  <si>
    <t>Outstanding ValueI was very pleasantly surprised at the quality of service, of the room and 
of the breakfast. It exceeded hotels I have stayed in where the cost was 
substantially higher. The reception was polite and friendly. The room was 
spacious, spotless and with all amenities except a hair dryer. The full 
English breakfast was excellent with vegetarian options. I would recommend 
this hotel and would definitely stay there again. If you are coming from 
Gatwick airport, take the bus from stop no. 8 or 9 - it takes about 5 
minutes and costs £3.Read moreReview collected in partnership with 
TravelodgeDate of stay: January 2019HelpfulShare</t>
  </si>
  <si>
    <t>Graham F wrote a review Jan 2019Aberdeen, United Kingdom4 contributions</t>
  </si>
  <si>
    <t>2 good nightsWe use this hotel a lot, as it is in a good location, though tthe £3 single 
fare on the bus from the North Terminal is steep and should maybe be about 
£2. Rooms are large and somethimes superficially clean, thee is often dist 
on edges and shelves, but generally bathroom is fine.Read moreReview 
collected in partnership with TravelodgeDate of stay: January 
2019HelpfulShare</t>
  </si>
  <si>
    <t>https://www.tripadvisor.co.uk/Hotel_Review-g191265-d229508-Reviews-or1220-Travelodge_Gatwick_Airport_Central-Horley_Surrey_England.html#REVIEWS</t>
  </si>
  <si>
    <t>BabyBisto wrote a review Jan 2019Truro, United Kingdom66 contributions48 
helpful votes</t>
  </si>
  <si>
    <t>Lovely warm welcomeJust checked in after a long day travelling. Lovely warm welcome from the 
Assistant Manager who checked us in, and a fantastic cheerful welcome from 
Tom who was working behind the bar. This is an excellent place to start or 
finish your holiday!! Definitely worth the money. Highly recommended!!Read 
moreDate of stay: January 2019HelpfulShare</t>
  </si>
  <si>
    <t>davideT1609ZY wrote a review Jan 2019Burton upon Trent, United Kingdom2 
contributions</t>
  </si>
  <si>
    <t>Very good and affordable value with professional caring staff! I would 
recommend this facility to anyoneA very pleasant stay and very convenient for anyone traveling from London 
Gatwick airport. The staff were very professional friendly and helpful! We 
would most definitely stay at this travel lodge againRead moreReview 
collected in partnership with TravelodgeDate of stay: January 
2019HelpfulShare</t>
  </si>
  <si>
    <t>Pinheadplanet wrote a review Jan 2019London, United Kingdom1,253 
contributions271 helpful votes</t>
  </si>
  <si>
    <t>Best value aroundBest value airport room by miles. Same price as all the B&amp;B around yet as 
it's just been renovated this outclasses them. There's an on-site 
restaurant if you can't be bothered to go out or order in and the 
vegeburger i had was ok. In the morning there's a £3 Shuttle bus to the 
airport or you can walk to the end of the road where there's a £1.60 
bus.Read moreDate of stay: January 20192 Helpful votesHelpfulShare</t>
  </si>
  <si>
    <t>flyingdoc1 wrote a review Jan 2019Emsworth, United Kingdom532 
contributions136 helpful votes</t>
  </si>
  <si>
    <t>Travelodge at Gatwick Airport.Rooms are adequate, beds comfortable, and good breakfast. Only marred by 
total lack of wi-fi facilities. The staff kept promising the problem was 
being worked on during the night, but apparently no work started until 9 am 
the next morning, which meant complete lack of internet connection despite 
being paid for separately. No apologies, no offer of refund!Read moreDate 
of stay: December 2018HelpfulShare</t>
  </si>
  <si>
    <t>https://www.tripadvisor.co.uk/Hotel_Review-g191265-d229508-Reviews-or1225-Travelodge_Gatwick_Airport_Central-Horley_Surrey_England.html#REVIEWS</t>
  </si>
  <si>
    <t>Voyager48239233494 wrote a review Jan 20191 contribution</t>
  </si>
  <si>
    <t>great valueThe travel lodge Gatwick was excellent - a budget hotel but very efficient 
and had everything one could need. The restaurant was basic but not 
expensive and just what you need on a one night stopover. I would happily 
stay here again.Read moreReview collected in partnership with this 
hotelDate of stay: December 2018HelpfulShare</t>
  </si>
  <si>
    <t>Catherine Murray wrote a review Jan 2019Inverness, United Kingdom5 
contributions</t>
  </si>
  <si>
    <t>All as is should beNo complaints about at all this hotel. Easy check-in with pleasant staff, 
room and bathroom spotless and bed comfortable. Convenient access to 
airport on the orbital bus service which runs frequently.Read moreReview 
collected in partnership with TravelodgeDate of stay: January 
2019HelpfulShare</t>
  </si>
  <si>
    <t>Nick P wrote a review Jan 2019Pontypool, United Kingdom1 contribution</t>
  </si>
  <si>
    <t>Great valueThis hotel is perfectly situated for early morning check ins and the 
quality of dinner and breakfast in the restaurant was a pleasant surprise. 
Prompt service at reception and at the bar. Highly recommended.Read 
moreReview collected in partnership with this hotelDate of stay: January 
2019HelpfulShare</t>
  </si>
  <si>
    <t>Laura F wrote a review Jan 2019Inverness, United Kingdom96 contributions31 
helpful votes</t>
  </si>
  <si>
    <t>https://www.tripadvisor.co.uk/Hotel_Review-g186338-d1812157-Reviews-or825</t>
  </si>
  <si>
    <t>Cheap and cheerfulAll we needed was a bed for the night between flights.Generally we know the 
quality we are getting at a Travelodge - not extravagant, but has 
everything we need. Price also reflects this.Walked to the hotel from a 
local bus stop and found that stretch in darkness. Dressed in black pulling 
a dark suitcase along the road (no footpath) I felt a bit vulnerable. Why 
no path or lights?Read moreReview collected in partnership with this 
hotelDate of stay: January 2019HelpfulShare</t>
  </si>
  <si>
    <t>https://www.tripadvisor.co.uk/Hotel_Review-g191265-d229508-Reviews-or1230-Travelodge_Gatwick_Airport_Central-Horley_Surrey_England.html#REVIEWS</t>
  </si>
  <si>
    <t>Laura K wrote a review Jan 2019Horsham, United Kingdom8 contributions</t>
  </si>
  <si>
    <t>Excellent value for moneyThe room is basic but great value for money. Everything was very clean and 
the bed comfortable, the staff professional and the hotel is not affected 
by any outside noise from the airport and roads. Nice touches were USB 
posts beside the bed, however bring your own toiletries as the body/hair 
wash isn’t suitable for washing your hair. Would stay againRead moreReview 
collected in partnership with TravelodgeDate of stay: January 
2019HelpfulShare</t>
  </si>
  <si>
    <t>Quest11645301511 wrote a review Jan 20191 contribution</t>
  </si>
  <si>
    <t>Very good value for moneyVery modern and new. Reception staff were not as attentive as I would have 
expected. Room was small but had everything needed. It had a great bar and 
seating area and also a happy hou,but not on all the wines, however ideal 
for an over night before my flight.Read moreReview collected in partnership 
with this hotelDate of stay: December 2018HelpfulShare</t>
  </si>
  <si>
    <t>Liz W wrote a review Jan 2019Taunton, United Kingdom4 contributions</t>
  </si>
  <si>
    <t>Overnight before flyingTop rate. Quick automatic check in. Clean tidy room and bathroom. 
Comfortable bed. Quiet. Good nights sleep. Pleasant efficient 
receptionists. Shuttle bus to airport. Very reasonable price. Would 
definitely return and recommendRead moreDate of stay: January 
2019HelpfulShare</t>
  </si>
  <si>
    <t>Michael S wrote a review Jan 2019Dunfermline, United Kingdom27 
contributions5 helpful votes</t>
  </si>
  <si>
    <t>Standard Travelodge room but with major flaws that prevented a good night's 
sleepBooked the room for a decent price in the days immediately before this was 
required.Arrived at the hotel at gone midnight due to a delayed flight. 
Check-in was smooth friendly and efficient. I couldn't fault the staff.Room 
was normal Travelodge standards which I also couldn't fault except - used 
the Lavazza coffee pod machine which flooded water all over the tray and 
base unit for the kettle, creating an electric utility risk. Cleaned this 
up also managing to throw the half cup of coffee it prepared, over myself, 
so gave it up as a bad job and went to bed. Couldn't sleep due to excessive 
noise from the air conditioner unit in spite of my not having this switched 
on, like a load of hamsters running in wheels.Tried again with the coffee 
machine in the morning in case I hadn't…Read moreReview collected in 
partnership with TravelodgeDate of stay: January 2019HelpfulShareResponse 
from TravelodgeUK, Shaf from the Social Media Team. at Travelodge Gatwick 
Airport CentralResponded 21 Jan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</si>
  <si>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Callam wrote a review Jan 20191 contribution</t>
  </si>
  <si>
    <t>Best travel lodgeWork all over the country, stayed at many travel lodges and this is 
deffinetly the best one I've stayed at. Lora and Ben the assistant manager 
made our stay and would happily stay here again in the future.Read moreDate 
of stay: January 2019HelpfulShare</t>
  </si>
  <si>
    <t>https://www.tripadvisor.co.uk/Hotel_Review-g191265-d229508-Reviews-or1235-Travelodge_Gatwick_Airport_Central-Horley_Surrey_England.html#REVIEWS</t>
  </si>
  <si>
    <t>Lewis T wrote a review Jan 20191 contribution</t>
  </si>
  <si>
    <t>Amazing experienceHad a absolutely amazing time with all the staff and hotel rooms amazing, 
food service very good and all waitresses and waiters amazing had a good 
laught, and would definitely recommend it. Lora and Ben made my time here 
fell very welcomed.Read moreDate of stay: January 2019HelpfulShare</t>
  </si>
  <si>
    <t>Sylvia R wrote a review Jan 2019Algeciras, Spain12 contributions</t>
  </si>
  <si>
    <t>Overnight stay between flightsGood, cheap bus service from airport. Efficient check-in. Large, immaculate 
room and bathroom with good quality towels. 5am taxi service is excellent 
and reasonably priced.Early booking made this very good value.Read 
moreReview collected in partnership with TravelodgeDate of stay: January 
2019HelpfulShare</t>
  </si>
  <si>
    <t>tkent wrote a review Jan 2019Rainham, United Kingdom170 contributions40 
helpful votes</t>
  </si>
  <si>
    <t>Start of holidayNice clean hotel. Staff friendly. Bar and restaurant of a good standard. 
Decided to stay here as fairly close to Gatwick. Had an early Monday 
morning flight and didn’t want get caught in traffic. Would use again. Only 
complaint was soap dispenser in both shower and washbasin did not work told 
reception and they left a cup of liquid soap for us so was able to use 
thatRead moreReview collected in partnership with this hotelDate of stay: 
January 2019HelpfulShare</t>
  </si>
  <si>
    <t>356christinal wrote a review Jan 2019Lübeck3 contributions</t>
  </si>
  <si>
    <t>very good and comfortable but cleanliness could be improvedAll was very good, great value for the money! Two details: there were white 
stains on the surface around the lavatory in the bathroom, and one of the 
spoons in an apparently clean cup was used, i.e., dirty, which I did not 
realise in the first instance, that was really disgusting. But things like 
that can happen, apart from that, the hotel room and surrounding was clean, 
and I would stay there again (for this money).Just note that to get there 
back and forth from the airport you have to take a shuttle (2x3 pounds), 
around 10-15 minutes wait and a 5 minute tour or so.Read moreReview 
collected in partnership with TravelodgeDate of stay: January 
2019HelpfulShare</t>
  </si>
  <si>
    <t>suetyler2005 wrote a review Jan 2019Devon, United Kingdom6 contributions1 
helpful vote</t>
  </si>
  <si>
    <t>Pre Flight stayLovely welcome at reception. Helpful, friendly young lady, stored my case 
as I arrived in the morning so rooms weren't ready. I returned later and 
check in was smooth and pleasant, I was taken to the luggage room to 
collect my case and given directions to find my room. The room was large, 
warm, very clean and welcoming. Following the refurbishment, the colours 
are relaxing and the bed was so comfortable and the bathroom had power 
shower and a bath, lovely fluffy white towels. Will definately stay again 
and highly recommend this hotel. There is a bar serving meals and breakfast 
for around £8. Book in advance for a real bargain.Read moreDate of stay: 
December 2018HelpfulShare</t>
  </si>
  <si>
    <t>https://www.tripadvisor.co.uk/Hotel_Review-g191265-d229508-Reviews-or1240-Travelodge_Gatwick_Airport_Central-Horley_Surrey_England.html#REVIEWS</t>
  </si>
  <si>
    <t>chandrikantha1 wrote a review Jan 2019Charlotte, North Carolina9 
contributions2 helpful votes</t>
  </si>
  <si>
    <t>Hotel just a 10-minute drive away from GatwickI checked in about 10:30pm but had made a reservation a few days before 
that. The check-in process was quite easy and efficient. I was so exhausted 
from a long day of traveling and really wanted to go get some sleep. The 
receptionist was friendly and professional. She gave me the key card in a 
matter of minutes and I was able to go to my room to sleep. The room and 
mattress were clean and comfortable. The bedsheets were clean and as well 
as the pillow. I was able to get ready for bed and go to sleep in less than 
a half an hour. The only issue was that the soap dispenser in the bathroom 
was broken, so it took a little effort to squeeze some soap out to wash my 
hands. However this is not a major issue as I always carry wipes with me 
when I travel. The towels were fresh, clean, and…Read moreReview collected 
in partnership with this hotelDate of stay: January 2019HelpfulShare</t>
  </si>
  <si>
    <t>Tee wrote a review Jan 2019Rochester, United Kingdom9 contributions6 
helpful votes</t>
  </si>
  <si>
    <t>Overnight stayWas a lovely clean modern place to stay! World definitely stay again if had 
early morning flights again. Room was a family one with plenty of room for 
4 if needed! Helpful friendly staff! Nice bar area and well presentedRead 
moreDate of stay: January 2019HelpfulShare</t>
  </si>
  <si>
    <t>458jellycat wrote a review Jan 2019Cardiff, United Kingdom511 
contributions99 helpful votes</t>
  </si>
  <si>
    <t>Average stayBooked family room Check in was quick and staff pleasant. Most importantly 
room clean. - slept ok - curtains could do with being touch bigger - let in 
some light Not travelodge’s fault - other guests have no respect - banging 
doors and talking loudly early hours passing room. Bathroom - powerful 
shower and plentiful hot water. £8 parking for 24 hours - find it bit 
cheeky when staying at hotels to have to pay for parking.Read moreDate of 
stay: December 2018HelpfulShareResponse from TravelodgeUK, Tilly from The 
Social Media Team at Travelodge Gatwick Airport CentralResponded 16 Jan 
2019Thank you for submitting your review of our Gatwick Airport Central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</si>
  <si>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paulpk2017 wrote a review Jan 2019Prague, Czech Republic10 contributions1 
helpful vote</t>
  </si>
  <si>
    <t>Ideal for overnight stayThis is the 2nd time I've stayed here and wouldn't hesitate to book again 
if travel plans dictated.There is a regular 24 hour shuttle bus, which 
makes getting to and from the airport easy.It was clean and tidy throughout 
with a relaxed atmosphere, checking in and out was quick and easy.The room 
was what you'd expect, clean bedding, towels and a comfortable bed and 
facilities to make a much needed cup of tea after a long journey.Read 
moreReview collected in partnership with this hotelDate of stay: January 
2019HelpfulShare</t>
  </si>
  <si>
    <t>https://www.tripadvisor.co.uk/Hotel_Review-g191265-d229508-Reviews-or1245-Travelodge_Gatwick_Airport_Central-Horley_Surrey_England.html#REVIEWS</t>
  </si>
  <si>
    <t>Maltacooks wrote a review Jan 2019Zabbar, Malta77 contributions23 helpful 
votes</t>
  </si>
  <si>
    <t>Great Value and very high standards£3 -15 minutes on the bus to the airport Great check in huge immaculate 
room. Restaurant was very good with brilliant staff. There are several 
deals on the food menu. Have stayed there many times and it never 
disappoints.Read moreDate of stay: January 2019HelpfulShare</t>
  </si>
  <si>
    <t>MelodieJoy17 wrote a review Jan 2019Brighton, United Kingdom206 
contributions60 helpful votes</t>
  </si>
  <si>
    <t>Keep doing a great job! Thank you!Really really impressed with the service and quality of my stay every 
single time at this hotel! As a crew member, I do stay here often and 
wouldn’t go anywhere else out of choice. The staff are always friendly and 
as accommodating as possible, both on reception and in the bar/restaurant. 
There is a great atmosphere in the 24hr bar, which makes it welcoming and 
easy even when travelling alone. The hotel location is incredibly close to 
the airport which is super convenient, parking is charged at £8 per 24hr 
period for guests or there is a shuttle bus with a small fee to get to the 
terminals. Beds are very comfortable with a choice of pillow softness. Good 
tea/coffee facilities. A range of lighting options to suit your preference. 
Bathrooms are compact but of good quality.…Read moreDate of stay: January 
2019HelpfulShare</t>
  </si>
  <si>
    <t>CommanderE31 wrote a review Jan 2019Ashford, United Kingdom436 
contributions89 helpful votes</t>
  </si>
  <si>
    <t>Good food poor parkingBooked into this Travel lodge after landing. Food was really good, had 
steak pudding. Good to eat English food after being abroad for a while, 
price good to. Only downside was no free parking for staying there, had to 
pay £8.Read moreDate of stay: January 2019HelpfulShare</t>
  </si>
  <si>
    <t>Darren R wrote a review Jan 20191 contribution6 helpful votes</t>
  </si>
  <si>
    <t>Poor relationsAs cabin crew I and many others use the Gatwick central travelodge almost 
as a second home. To crew not booked or visited yet this year, you will NOT 
be allow to check in before 1500 not even 1 minute before. Plus don’t be 
surprised if you are banished to floor 1 or the annex which seems to be the 
policy for 2019!! It seems gone are the days of us having the 5th floor 
where mostly we respected start and finished times, without the 
inconvenience of children running up and down the corridor, and excited 
holiday makers revalling until early dawn. I hope travelodge review there 
new year policy before cabin crew vote with their feet!Read moreDate of 
stay: January 20192 Helpful votesHelpfulShareResponse from TravelodgeUK, 
Shaf from the Social Media Team. at Travelodge Gatwick Airport 
CentralResponded 15 Jan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</si>
  <si>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Companion01893314406 wrote a review Jan 20191 contribution</t>
  </si>
  <si>
    <t>Great stay with my daughter and granchildrenI stayed with my daughter and 2 grandchildren, 8 and 12years. The hotel 
rooms and restaurant were great, Our flight was delated and we waited in 
comfort in the lounge before our trip to the nearby airport. A perfect way 
to start the journey, The car park litter was the only down fall.Read 
moreReview collected in partnership with TravelodgeDate of stay: January 
2019HelpfulShare</t>
  </si>
  <si>
    <t>https://www.tripadvisor.co.uk/Hotel_Review-g191265-d229508-Reviews-or1250-Travelodge_Gatwick_Airport_Central-Horley_Surrey_England.html#REVIEWS</t>
  </si>
  <si>
    <t>Tese Q wrote a review Jan 20192 contributions</t>
  </si>
  <si>
    <t>Comfortable stay close to Gatwick airportThis Travel Lodge was very convenient,as my flight was early in the 
morning. Breakfast was good, not big but just what I wanted. There was an 
option to get full English breakfast. The room was fine, nothing fancy, but 
then again I got there late and left early. Got a good night's sleep, 
quiet. THe only thing I found difficult was that the etrance to the hotel 
was hard to and I had to go back and forth on a dual carriage way a few 
times. I could see the hotel, but couldn't make out how to get there!Read 
moreReview collected in partnership with TravelodgeDate of stay: January 
2019HelpfulShare</t>
  </si>
  <si>
    <t>EdinburghBlair wrote a review Jan 2019Abingdon, United Kingdom48 
contributions31 helpful votes</t>
  </si>
  <si>
    <t>A comfortable efficient place to stay which gives excellent valueThis Travelodge is a brilliant place to stay if you have an early flight. 
Buses run to and from the airport every 15 mins. The rooms are comfortable 
and spotlessly clean. The staff are most helpful. There is a good bar and 
restaurant. And our room cost £30! What more could you want?Read moreDate 
of stay: January 2019HelpfulShare</t>
  </si>
  <si>
    <t>elaineT557 wrote a review Jan 2019Birmingham, United Kingdom124 
contributions52 helpful votes</t>
  </si>
  <si>
    <t>Weekend awayThis hotel is very good value if you need a hotel for the night before a 
flight. It is clean and comfortable with a restaurant and bar onsite, you 
can include breakfast but our flight was early so we did not. It would also 
be good if hotel needed after holiday I'm not sure if they do the car 
parking here as we got the train. I would certainly book this hotel again 
if flying from Gatwick.Read moreDate of stay: January 2019HelpfulShare</t>
  </si>
  <si>
    <t>Tourist47407537210 wrote a review Jan 2019Moetz, Austria1 contribution</t>
  </si>
  <si>
    <t>Entirely satisfied!Very helpful, friendly und qualified staff (especially the reception 
ladies) !Booking the room on the spot (instead of booking in advance) was 
the highlight (and important) for me!Really big room with the convenience 
for a pleasant stay!Delightful (low) room rates! Best value for 
money!Perfect location (frequent airport shuttle buses, walk to the 
airport: 15 minutes), very quiet)!Read moreReview collected in partnership 
with this hotelDate of stay: January 2019HelpfulShare</t>
  </si>
  <si>
    <t>Kimm F wrote a review Jan 2019Bournemouth, United Kingdom129 
contributions51 helpful votes</t>
  </si>
  <si>
    <t>Unexpectedly quiet and comfortableI had to stay close to the airport due to a delayed flight and ended up 
her. I was pleasantly surprised at the level of comfort and spacious room. 
There were little touches such as complementary chocolate in the room. The 
restaurant was ok but the menu and food uninspiring but it’s not a hotel 
one would go for anything other than business or enroutebto somewhere else. 
It’s close proximity to the airport is also useful as was the shuttle bus. 
I would stay again.Read moreDate of stay: December 2018HelpfulShare</t>
  </si>
  <si>
    <t>https://www.tripadvisor.co.uk/Hotel_Review-g191265-d229508-Reviews-or1255-Travelodge_Gatwick_Airport_Central-Horley_Surrey_England.html#REVIEWS</t>
  </si>
  <si>
    <t>Wanderer66313686844 wrote a review Jan 20191 contribution</t>
  </si>
  <si>
    <t>Great hotel for the priceThis is not a luxury hotel, but it is nice and clean. It is very convenient 
to the Airport. We stay there when we are visiting my husband's family who 
live in Horley. We have stayed there several times and are very pleased 
with our experiences there.Read moreReview collected in partnership with 
this hotelDate of stay: December 2018HelpfulShare</t>
  </si>
  <si>
    <t>Extraordinary573187 wrote a review Jan 20191 contribution1 helpful vote</t>
  </si>
  <si>
    <t>Quick overnight stayThe property was very clean and comfortable.Coffee and tea in the room 
which is always a good idea. Check in was quick and staff very helpful.We 
had a meal which was delicious too.I would recommend this hotel and the 
price was spot on.Read moreReview collected in partnership with this 
hotelDate of stay: December 20181 Helpful voteHelpfulShare</t>
  </si>
  <si>
    <t>cudhill wrote a review Jan 2019Torpoint, United Kingdom32 contributions29 
helpful votes</t>
  </si>
  <si>
    <t>Overnight stayAlways a good welcome from the reception staff &amp; the room allocated is 
always clean &amp; bright.So relaxing after a long journey.Restraunt has a fair 
menu to help revive a appetite that has been deprived of comfort food 
.Always try to stay here when flying from Gatwick.Read moreReview collected 
in partnership with this hotelDate of stay: January 20191 Helpful 
voteHelpfulShare</t>
  </si>
  <si>
    <t>mariavanaman wrote a review Jan 2019Derby, United Kingdom6 contributions3 
helpful votes</t>
  </si>
  <si>
    <t>Travelodge Gatwick Airport CentralAn excellent hotel in a really convenient place. I hadn't travelled from 
Gatwick for many years and my experience made me seriously consider 
choosing Gatwick Airport when I book a flight to New Zealand next year.Read 
moreReview collected in partnership with this hotelDate of stay: January 
20191 Helpful voteHelpfulShare</t>
  </si>
  <si>
    <t>https://www.tripadvisor.co.uk/Hotel_Review-g191265-d229508-Reviews-or1260-Travelodge_Gatwick_Airport_Central-Horley_Surrey_England.html#REVIEWS</t>
  </si>
  <si>
    <t>Ratman3000 wrote a review Jan 20199 contributions4 helpful votes</t>
  </si>
  <si>
    <t>ConvenientHotel was absolutely fine and conveniently located for Gatwick. I would 
recommend to anyone who needs a room prior to a flight. One thing worth 
noting, the shuttle bus timetable bares no resemblance with reality.Read 
moreReview collected in partnership with TravelodgeDate of stay: January 
2019HelpfulShareResponse from TravelodgeUK, Shaf from the Social Media 
Team. at Travelodge Gatwick Airport CentralResponded 10 Jan 2019Thank you 
for reviewing our Gatwick Airport Central Travelodge. We're pleased to hear 
you liked the location of the hotel and pleased you would recommend this 
hotel. Feedback is invaluable and our Hotel Managers regularly review their 
TripAdvisor reviews in order to fix any issues raised and pass on feedback 
to their team. Thank you once again and we do hope you will stay with us in 
the future.Read more</t>
  </si>
  <si>
    <t>Thomas B wrote a review Jan 2019Milton Keynes, United Kingdom59 
contributions25 helpful votes</t>
  </si>
  <si>
    <t>They are missing the markI don’t think I have ever stayed in a travel lodge this big. It has a 
spacious reception area where the staff are lovely but they did struggle a 
bit. The reception also has 4 self book in terminals but not sure how they 
worked. The food (dinner) is reasonably priced even if the selection is 
limited and it isn’t half bad. We had a super room. These are well worth 
the extra cost as they are large and well appointed! “Free” kitkat !! 
However I did have two gripes. The bathroom was freezing with no option to 
warm it up and the free Wi-fi was pathetic. Had to turn off the Wi-fi on my 
phone and use the 4g. Overall ? I would definitely return.Read moreDate of 
stay: January 2019HelpfulShare</t>
  </si>
  <si>
    <t>Becky S wrote a review Jan 20193 contributions2 helpful votes</t>
  </si>
  <si>
    <t>BrilliantWe stayed in early December for 1 night. The food was okay nothing amazing. 
The hotel itself is very clean and well kept. The best point for me was the 
staff. A month after our visit we realised we'd lost a very sentimental 
item and after speaking to the hotel receptionist I was made to feel 
supported and like my issue was of no trouble at all. Cannot thank them 
enough. 10/10 For staff, 7/10 For food, 9/10 For cleanliness. Over all I'd 
give this hotel 4 stars and I'd be more than happy to stay there again. 
Would definitely recommend!Read moreDate of stay: December 2018HelpfulShare</t>
  </si>
  <si>
    <t>https://www.tripadvisor.co.uk/Hotel_Review-g191265-d229508-Reviews-or1265-Travelodge_Gatwick_Airport_Central-Horley_Surrey_England.html#REVIEWS</t>
  </si>
  <si>
    <t>Courtney-Louise21 wrote a review Jan 20192 contributions</t>
  </si>
  <si>
    <t>DisappointmentWell we checked in because we are flying to Cuba tomorrow, we paid extra 
for a family room which we didn’t have, we asked for 4th floor and they put 
us on ground floor, as I asked to be moved because we paid for the room the 
staff said we have no rooms available as none of them has been cleaned! As 
we walked to our rooms I was absolutely disgusted to see the hallway filthy 
like it’s not been cleaned for about 2 weeks! We opened our door to enter 
our room and was even more disgusted to see the state of the room, cobwebs 
all over the walls and floor, smelt very odd. Terrible travelodge will 
never ever stay here again!!!Read moreDate of stay: January 
2019HelpfulShareResponse from TravelodgeUK, Shaf from the Social Media 
Team. at Travelodge Gatwick Airport CentralResponded 8 Jan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</si>
  <si>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perfick wrote a review Jan 2019essex132 contributions74 helpful votes</t>
  </si>
  <si>
    <t>It starts here.I had an early morning flight so booked this Travelodge for convenience but 
was blown away by the service of the staff. The check in was swift and the 
room extremely large and a very comfortable bed. We had a meal and was 
looked after by Ben who was very friendly. Food has to be ordered at the 
bar but is served to your table. We ordered 3 different mains and all were 
impressed with the quality. I had 1/2 chicken with chips and salad. The 
salad was more than just a few lettuce leaves. The meal for the 4 of us 
with 2 courses and a bottle of wine was about £60. I had booked a car 
parking space and a taxi to the airport was £6. We had a great stay wich 
was more of an extra day of our holiday than just a convenience. I will 
definitely stay here again. Thanks to all the staff.Read moreDate of stay: 
January 2019HelpfulShare</t>
  </si>
  <si>
    <t>Karen E wrote a review Jan 2019East Sandwich, Massachusetts152 
contributions97 helpful votes</t>
  </si>
  <si>
    <t>Close To Gatwick-Served us wellWhen we had to catch an early flight in late November back to Boston, we 
decided to stay close to Gatwick since travelling from Essex back to the 
airport can be a nightmare. I did a quick search and found this hotel-I 
have never stayed in a Travelodge before and was worried, so with a dab of 
hesitation, but buoyed by the good reviews, I hit reserve. The room was 
very clean-bathroom was spotless. I was pleasantly surprised as was the 
husband. The shuttle picked us up from the airport and dropped us off at 
the hotel and back again the next morning without a hitch. We did not eat 
at the hotel because of our early morning flight so can't comment on the 
nibbles. I'd definitely stay here again the next time we visit family in 
England-the price seals the deal.Read moreDate of stay: November 
2018HelpfulShare</t>
  </si>
  <si>
    <t>https://www.tripadvisor.co.uk/Hotel_Review-g191265-d229508-Reviews-or1270-Travelodge_Gatwick_Airport_Central-Horley_Surrey_England.html#REVIEWS</t>
  </si>
  <si>
    <t>Gresbory wrote a review Jan 2019Sandgate, United Kingdom18 contributions4 
helpful votes</t>
  </si>
  <si>
    <t>Uncomfortable bedHotel and bathroom ok, bed as uncomfortable as had a dip in it and constant 
clicking for 20 minutes once light turned out, this was due to light box in 
headboard cooling down, so bad design. Not a fan of restaurant design, more 
like a canteen and service poor as had to wait to long for foodRead 
moreReview collected in partnership with TravelodgeDate of stay: January 
2019HelpfulShareResponse from TravelodgeUK, Tilly from The Social Media 
Team at Travelodge Gatwick Airport CentralResponded 9 Jan 2019May we thank 
you for submitting your review of our Gatwick Airport Central hotel. We are 
so sorry to learn that you found our beds to be uncomfortable, please rest 
assured your comments have been noted and passed to the hotel team. We aim 
to provide a great stay for all of our guests and we would like to 
apologise that on this occasion you did not receive the best service 
possible. We're also sorry to learn that you had to wait a long time for 
your food. We do hope we are given the opportunity to welcome you back to 
one of our hotels in the futureRead more</t>
  </si>
  <si>
    <t>Freedom48714985724 wrote a review Jan 20191 contribution</t>
  </si>
  <si>
    <t>One night before flightGreat for a short stay before early flight. Good value for money but food a 
little disappointing but not so bad as to cause a fuss for the money. Fair 
prices for food, drink and parking.Breakfast starts 06:00 which is a shame 
if you have a very early flight.Read moreReview collected in partnership 
with TravelodgeDate of stay: January 2019HelpfulShare</t>
  </si>
  <si>
    <t>Janet R wrote a review Jan 2019St. John's, Antigua56 contributions45 
helpful votes</t>
  </si>
  <si>
    <t>Perfect for an overnight before you travelThe rooms are comfortable and warm in the winter and cool in the summer. 
There are tea and coffee making facilities in the rooms but there is a cafe 
where you can buy drinks and food should you wish too. It is an ideal 
stopover before you travel. I prefer to stay at Gatwick overnight so i am 
not anxious about flights not arriving on time before my long haul flight 
later. I usually stay at the Travelodge twice a year. It sits my needs and 
I usually enjoy a night in front of the TV with a glass of wine or a cup of 
tea!Read moreReview collected in partnership with TravelodgeDate of stay: 
January 2019HelpfulShare</t>
  </si>
  <si>
    <t>Simone D wrote a review Jan 20191 contribution</t>
  </si>
  <si>
    <t>Clean hotel but noisy bedroomThe hotel is well kept and the rooms are clean and today, however checkin 
can be difficult, the room is noisy especially if you are staying close to 
the lifts. Bring ear plugs if you want a good night sleep.Read moreReview 
collected in partnership with TravelodgeDate of stay: January 
2019HelpfulShareResponse from TravelodgeUK, Shaf from the Social Media 
Team. at Travelodge Gatwick Airport CentralResponded 6 Jan 2019Thank you 
for reviewing our Gatwick Airport Central Travelodge. We're pleased to hear 
the cleanliness was up to standards and do apologise if your stay was 
affected by the internal noise. Feedback is invaluable and our Hotel 
Managers regularly review their TripAdvisor reviews in order to fix any 
issues raised and pass on feedback to their team. Thank you once again and 
we do hope you will stay with us in the future.Read more</t>
  </si>
  <si>
    <t>Adrian B wrote a review Jan 20196 contributions1 helpful vote</t>
  </si>
  <si>
    <t>Convenient, well priced and very comfortableWe needed an overnight stop between flights and as a regular Travelodge 
customer, this was my 1st thought. I wasn't disappointed. It was my first 
stay here and I thought that it was even better than others I've used in 
the past.I would recommend and certainly will use this one again.Read 
moreReview collected in partnership with TravelodgeDate of stay: December 
2018HelpfulShare</t>
  </si>
  <si>
    <t>https://www.tripadvisor.co.uk/Hotel_Review-g191265-d229508-Reviews-or1275-Travelodge_Gatwick_Airport_Central-Horley_Surrey_England.html#REVIEWS</t>
  </si>
  <si>
    <t>tpugh12016 wrote a review Jan 2019London, United Kingdom69 contributions22 
helpful votes</t>
  </si>
  <si>
    <t>Excellent stay 1 night before early morning flight but be sure to have 
change available for shuttle busFriendly welcome by all staff. Cafe bar providing adequate menu the food 
was good value and tasty. The room was clean and comfortable perfect 
temperature. Very little noise except the odd occasion we could hear happy 
childrenRead moreDate of stay: January 2019HelpfulShare</t>
  </si>
  <si>
    <t>Cristina D wrote a review Jan 20193 contributions</t>
  </si>
  <si>
    <t>CleanlinessI've been there for 4 nights and nobody cleaned up my bedrooms include 
towels,coffees,teas,sugar,bed. And when I went to the recepcion nobody didn 
t tell me "apologies"or even an explaination for that.they just gave me 
some towels .On corridors was just full plastic bags because other people 
was putting them outside the bedrooms for shore Its unacceptable one 
travelodge next to the airport have those conditions. I was in other 
travelodges before and never had any problems like that Im very 
disappointedRead moreDate of stay: December 2018HelpfulShareResponse from 
TravelodgeUK, Tilly from The Social Media Team at Travelodge Gatwick 
Airport CentralResponded 8 Jan 2019Thank you for submitting your review of 
our Gatwick Airport Central hotel. Your feedback is greatly appreciated and 
we would like to apologise that your room was not cleaned to our usual high 
standard. We will be sure to pass your valuable comments to the hotel to 
ensure that the service we provide improves. May we thank you again for 
your feedback and hope you stay with us soon.Read more</t>
  </si>
  <si>
    <t>https://www.tripadvisor.co.uk/Hotel_Review-g186338-d1812157-Reviews-or830</t>
  </si>
  <si>
    <t>Sophie K wrote a review Jan 2019Philadelphia, Pennsylvania8 contributions12 
helpful votes</t>
  </si>
  <si>
    <t>Easy to walk from airport, 24 hour barI would say bring a flashlight if you are coming in after dark and would 
like to walk to the airport. It’s only about a 20 minute walk. The 
breakfast was nice. But I would say the highlight for me was the 24 hour 
bar that served pizzas. It had lots of great seating and really friendly 
staff. The Bed was very comfy, and everything seemed really new. Great 
value!Read moreReview collected in partnership with TravelodgeDate of stay: 
December 20181 Helpful voteHelpfulShare</t>
  </si>
  <si>
    <t>https://www.tripadvisor.co.uk/Hotel_Review-g191265-d229508-Reviews-or1280-Travelodge_Gatwick_Airport_Central-Horley_Surrey_England.html#REVIEWS</t>
  </si>
  <si>
    <t>martinmK2375YZ wrote a review Jan 2019Shefford, United Kingdom3 
contributions2 helpful votes</t>
  </si>
  <si>
    <t>basic and run downRoom was cold as heating not working. trays left in corridor outside all 
day made the place smell. paid for internet that did not work, staff said 
see virgin as not our fault. dining area was like a school canteen. Our 
room was very expensive as last one left so punished us on price.Read 
moreReview collected in partnership with TravelodgeDate of stay: December 
20181 Helpful voteHelpfulShareResponse from TravelodgeUK, Shaf from the 
Social Media Team. at Travelodge Gatwick Airport CentralResponded 3 Jan 
2019Thank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</si>
  <si>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Compass15670862263 wrote a review Jan 2019Auckland, New Zealand1 
contribution</t>
  </si>
  <si>
    <t>Happy customerGreat location for the airport, discounted guest parking I would say all in 
all very good value for money. Also with the restaurant offering basic pub 
meals and with the large bar it was a good relaxed feel to start the 
holiday.Read moreReview collected in partnership with TravelodgeDate of 
stay: December 2018HelpfulShare</t>
  </si>
  <si>
    <t>pmcm62 wrote a review Dec 2018London, United Kingdom18 contributions10 
helpful votes</t>
  </si>
  <si>
    <t>Value for moneyConvenient location, good size family rooms, nice restaurant, good choice 
for meals, shuttle buses to airport every 20 minutes at nominal cost, and 
very much affordable for families. Indeed very good value for moneyRead 
moreReview collected in partnership with TravelodgeDate of stay: December 
2018HelpfulShare</t>
  </si>
  <si>
    <t>GoPlaces38748783358 wrote a review Dec 2018Toronto, Canada1 contribution</t>
  </si>
  <si>
    <t>Travelodge GatwickGood place to stay and excellent value for money. Bus is from stop 9, not 8 
South or North Terminal and costs £3 single, cash only each way. They 
should mention that on their Web pages. If you don't fancy full English at 
£8.95 on line, you can get continental for £5.95 in the morning! Busses can 
be a bit slow if they are full... Multiple bag loading/ cash paying by 
foreigners can be both painful and yet entertaining... Unless of course you 
just got off a bad flight and just want your bed.Read moreReview collected 
in partnership with TravelodgeDate of stay: December 2018HelpfulShare</t>
  </si>
  <si>
    <t>Connector15124257197 wrote a review Dec 20181 contribution</t>
  </si>
  <si>
    <t>HolidayVery clean and comfortable place to stay, with friendly staff, good 
reasonable priced food available handy for Gatwick airport just a short bus 
trip away from the south terminal, buses run regular for just a small cost 
of £3Read moreReview collected in partnership with TravelodgeDate of stay: 
December 2018HelpfulShare</t>
  </si>
  <si>
    <t>https://www.tripadvisor.co.uk/Hotel_Review-g191265-d229508-Reviews-or1285-Travelodge_Gatwick_Airport_Central-Horley_Surrey_England.html#REVIEWS</t>
  </si>
  <si>
    <t>BusybeeScotland wrote a review Dec 2018Scotland, United Kingdom135 
contributions53 helpful votes</t>
  </si>
  <si>
    <t>Outstanding ValueThis overnight stop fitted the bill perfectly. Although I requested a high 
floor and was allocated a ground floor, the very efficient reception staff 
quickly corrected this and my request was met. We left too early for 
breakfast but next time definitely giving it a try. Very clean room with a 
super, comfy bed and lovely fluffy towels. Would definitely stay again. 
Also considering this is an airport hotel it was very quiet and dididn’t 
hear luggage being wheeled along the corridor.Read moreReview collected in 
partnership with this hotelDate of stay: December 2018HelpfulShare</t>
  </si>
  <si>
    <t>Topladon wrote a review Dec 20186 contributions</t>
  </si>
  <si>
    <t>Christmas stay at Gatwick Travelodge, visiting family nearbyThe hotel was nice and comfortable with a pleasant atmosphere. The staff 
were great. We could not fault the price. The breakfast was functional, not 
great but you knew what you were getting so no surprises. The communal 
areas are well spaced and lit so you felt safe there which is great when 
travelling with young ones.Read moreReview collected in partnership with 
TravelodgeDate of stay: December 2018HelpfulShare</t>
  </si>
  <si>
    <t>d5frenchy wrote a review Dec 2018Hertford, United Kingdom43 contributions20 
helpful votes</t>
  </si>
  <si>
    <t>Room Far to hotBed and other facilities very good, but the room was far to hot and not 
able to control the temperature from the room, and unable to open the 
window as on ground floor and cars outside so would have probably been 
noisy, however great location and priceRead moreReview collected in 
partnership with TravelodgeDate of stay: December 2018HelpfulShare</t>
  </si>
  <si>
    <t>https://www.tripadvisor.co.uk/Hotel_Review-g191265-d229508-Reviews-or1290-Travelodge_Gatwick_Airport_Central-Horley_Surrey_England.html#REVIEWS</t>
  </si>
  <si>
    <t>MIKKADOO wrote a review Dec 2018Tarporley, United Kingdom43 contributions13 
helpful votes</t>
  </si>
  <si>
    <t>Business stop overGood stop over, first impression trainee receptionist requires more 
training must have had a bad day. Things got better room clean and 
comfortable all that was required. Had pizza in bar and can recommend . 
Would stay again .Read moreDate of stay: December 2018HelpfulShare</t>
  </si>
  <si>
    <t>mini_me1987 wrote a review Dec 2018Cambridge, United Kingdom42 
contributions17 helpful votes</t>
  </si>
  <si>
    <t>Perfect place to stay before our flightWe stayed here before our flight to Bulgaria. It was a great place to stay 
before we went to the airport. We arrived at 5pm. I was surprised I had to 
pay to park, especially when I booked a room, but £8 for 24hrs isn't 
expensive. The room was very clean. It was set up perfectly for myself, 
hubby and 6yr old. It was quiet for our stay and we slept well. It is close 
to the airport and other amenities (we used purple parking and it was 10 
mins drive). Breakfast was with full cooked buffet £8 or continental £6 
kids eat free. Hubby had the full cooked and loved it. My continental was 
also very good quality. We will definitely return here!Read moreDate of 
stay: December 2018HelpfulShare</t>
  </si>
  <si>
    <t>Parminder V wrote a review Dec 2018Greater London, United Kingdom3 
contributions5 helpful votes</t>
  </si>
  <si>
    <t>Super room for sure!I have stayed in travelodges before but never in the Super room. It was a 
lovely experience. The staff made me feel important and asked if there was 
anything else they could do to help with my stay. I was thoroughly 
impressed with room size for us 2 staying there. The coffee machine was a 
wonderful touch as we prefer a coffee first thing. Certainly would 
recommend staying in the Super roomsRead moreReview collected in 
partnership with TravelodgeDate of stay: December 2018HelpfulShare</t>
  </si>
  <si>
    <t>miacat2016 wrote a review Dec 2018Kessingland, United Kingdom5 
contributions1 helpful vote</t>
  </si>
  <si>
    <t>Pre holiday stayGood shuttle bus service to and from hotel. Hotel was clean and 
comfortable. Only complaint was outward journey room was very cold. 
Homeward journey room was very spacious and warm. Would have been nice if 
there had been toothmugs in bathroom for rinsing after teeth brushing 
instead of putting your mouth under the tap (unhealthy)Read moreReview 
collected in partnership with TravelodgeDate of stay: December 
2018HelpfulShare</t>
  </si>
  <si>
    <t>https://www.tripadvisor.co.uk/Hotel_Review-g191265-d229508-Reviews-or1295-Travelodge_Gatwick_Airport_Central-Horley_Surrey_England.html#REVIEWS</t>
  </si>
  <si>
    <t>Wander18767162383 wrote a review Dec 20181 contribution1 helpful vote</t>
  </si>
  <si>
    <t>convenient and comfortablegreat hotel near Gatwick north airport, beautiful room like new and 
spacious too, allowed to check in after midnight, easy access with a 
shuttle bus or a short woodsy walk of 15 minutes, overall very comfortable 
and convenientRead moreReview collected in partnership with TravelodgeDate 
of stay: December 20181 Helpful voteHelpfulShare</t>
  </si>
  <si>
    <t>nimusmum wrote a review Dec 2018Cambridgeshire, United Kingdom29 
contributions8 helpful votes</t>
  </si>
  <si>
    <t>Overnight stayVery clean and comfortable. Shower hot. Convenient for airport, with 
shuttle bus stopping at reception. Expected double and single, but got 
double and 2 singles which was better for three single people.Read 
moreReview collected in partnership with TravelodgeDate of stay: December 
2018HelpfulShare</t>
  </si>
  <si>
    <t>Louise wrote a review Dec 2018Southampton, United Kingdom6 contributions1 
helpful vote</t>
  </si>
  <si>
    <t>Holiday stop overBooked this hotel as it was close to Gatwick airport. Was actually 
impressed by the size and how clean it was. The food was also a nice 
surprise. Would definitely stay here again if I fly from GatwickRead 
moreReview collected in partnership with TravelodgeDate of stay: December 
2018HelpfulShare</t>
  </si>
  <si>
    <t>happysmileyladyinred wrote a review Dec 2018Cheltenham, United Kingdom13 
contributions5 helpful votes</t>
  </si>
  <si>
    <t>2 stays - 1 week apartHi, I am a single, female traveler and have used Travelodge hotels for 
many, many years. A long time ago I was told their policy for single 
females was to not put them on the ground floor &amp; your key card was given 
to you without others seeing which was your room. I arrived at 01.30 from a 
flight, was put on the 6th floor (not what I had booked) the room was cold 
and would not heat up. Then for the rest of the night I was kept awake by 
an A.C. unit! On my return journey I was told my room was on the ground 
floor! Then I was given a room that did not exist, then a room that the key 
card did not open. I was exhausted from a 6 hr drive in rain on the 
motorway &amp; was fed up lugging 20kgs up &amp; down to reception, the room was 
cold &amp; would not warm up. Breakfast x 2 however was very…Read moreDate of 
stay: November 2018HelpfulShareResponse from TravelodgeUK, Tilly from The 
Social Media Team at Travelodge Gatwick Airport CentralResponded 23 Dec 
2018Thank you for submitting your review of our Gatwick Airport Central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t>
  </si>
  <si>
    <t>https://www.tripadvisor.co.uk/Hotel_Review-g191265-d229508-Reviews-or1300-Travelodge_Gatwick_Airport_Central-Horley_Surrey_England.html#REVIEWS</t>
  </si>
  <si>
    <t>BobGibbins wrote a review Dec 2018London, United Kingdom5 contributions1 
helpful vote</t>
  </si>
  <si>
    <t>GREAT OVERNIGHT SLEEPGood place to stay on the night before a flight A nice hotel with a good 
breakfast and nice bar for an evening meal. Good quality room for the 
price. Hotel bus route takes you from the hotel to the airport.Read 
moreDate of stay: May 2018HelpfulShare</t>
  </si>
  <si>
    <t>mina wrote a review Dec 20184 contributions1 helpful vote</t>
  </si>
  <si>
    <t>clean comfortable and quietThe hotel is very close to the airport .The room was clean and tidy. The 
bed was also clean and very comfortable. There was enough coffee and tea. 
The checking in and out went very smooth. There was enough parking.Read 
moreReview collected in partnership with TravelodgeDate of stay: December 
2018HelpfulShare</t>
  </si>
  <si>
    <t>Eddy S wrote a review Dec 2018Amsterdam, The Netherlands3 contributions2 
helpful votes</t>
  </si>
  <si>
    <t>Excellent place for short stayShort stay or transfer via London gatwick ? This hotel is a great place , 
friendly and professional staff , bar is open 24 hrs and just a ten minute 
busride from the terminal . I rated this 5star , because all in all very 
convenient , delicious breakfast by the way :)Read moreDate of stay: July 
2018HelpfulShare</t>
  </si>
  <si>
    <t>Dawid C wrote a review Dec 2018Krakow, Poland5 contributions1 helpful vote</t>
  </si>
  <si>
    <t>Review as usual=honestStandards are changing and changing, you never know what to expect.However 
good value for money.Good people work there in general.But I found my room 
like it was only hoovered, rest part I found one by one dirty. Shower bath, 
shower certain, 2 towels, pillow with ,,I am not going to say what,, 
teaspoon and cups with rest of the old yogurt, small hairs under the 
bed-sheet.Thinks was short out by very nice lady from management of 
housekeeping after 30 min ( and only because I ask her for it , she did not 
know how my room was looks like)Temperature of room was not able to put 
more, dropping down or switch off.hotel staff did not offer anything else 
as good will. eg. coffee while I was check out.These all things cause delay 
to go me sleep, wake up on night and some memories with…Read moreReview 
collected in partnership with TravelodgeDate of stay: December 
2018HelpfulShare</t>
  </si>
  <si>
    <t>simonagavrilova wrote a review Dec 2018London, United Kingdom10 
contributions1 helpful vote</t>
  </si>
  <si>
    <t>Did not deliver on the basics.The room was clean and had all the necessary furniture. However, I did not 
feel safe or comfortable in this hotel. Upon arrival the staff at reception 
did not ask me for my ID. The door leading to the lifts could not be closed 
and anyone was able to go through without a card. After I moved into the 
room, I noticed that I couldn't get any soap from the dispenser. I reported 
it at reception and it took nearly 1hr and a half for this to be addressed. 
It turned out the issue was with the soap dispenser (there was enough soap 
in there), but it couldn't be fixed that evening. I was asked if I wanted 
to be moved to another room, but by that time I had to go to bed, as I had 
to wake up really early for my flight. The room was freezing, the air-con 
didn't work properly. I had tried to…Read moreReview collected in 
partnership with TravelodgeDate of stay: December 2018HelpfulShareResponse 
from TravelodgeUK, Niki from The Social Media Team at Travelodge Gatwick 
Airport CentralResponded 22 Jan 2019Thank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</si>
  <si>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https://www.tripadvisor.co.uk/Hotel_Review-g191265-d229508-Reviews-or1305-Travelodge_Gatwick_Airport_Central-Horley_Surrey_England.html#REVIEWS</t>
  </si>
  <si>
    <t>kcah74 wrote a review Dec 2018Bargara, Australia237 contributions8 helpful 
votes</t>
  </si>
  <si>
    <t>Overnight stayWe were very disappointed with our stay. On entering the room there was a 
horrible smell. We were so jet lagged that after getting to the room with 
all of our luggage and our 5 year old fast asleep we decided not to go back 
down to reception and ask for another room. The carpet was dirty in our 
room and so was the shower curtain. We had a family room which had a double 
bed and two single beds. There was a table desk in the room with kettle and 
phone on but there was no other furniture in the room. We would not stay at 
the hotel again.Read moreDate of stay: December 2018HelpfulShareResponse 
from TravelodgeUK, Molly from the Social Media Team at Travelodge Gatwick 
Airport CentralResponded 17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t>
  </si>
  <si>
    <t>jasonek19 wrote a review Dec 2018Newmarket, United Kingdom7 contributions3 
helpful votes</t>
  </si>
  <si>
    <t>Good value and great locationHotel was good , clean and modern . Very good price for the night and good 
location to go to the airport. Only small thing I didn't like was having to 
pay £8.00 to park in the car park for one evening. Apart from that it was 
goodRead moreReview collected in partnership with TravelodgeDate of stay: 
December 2018HelpfulShare</t>
  </si>
  <si>
    <t>Lizzie0909 wrote a review Dec 2018Munlochy, United Kingdom2,702 
contributions323 helpful votes</t>
  </si>
  <si>
    <t>Excellent one night stayWe stayed here for one night at the end of our holiday and after a long 
flight. We booked on their own website for the best price. Our room was on 
the ground floor and was an accessible room. Very comfortable double bed, 
walk in large shower and very quiet. Good WiFi in our room. We had booked 
to have breakfast the next morning, went in at about 8.30am. Seated by a 
friendly waitress and she explained what was what. Good choice of hot food, 
replenished regularly. Tables cleared quickly. Buses from North Terminal 
are G1, G3 &amp; G7 runs about every 10 minutes for £3pp each way. Will 
definitely use this Travelodge again.Read moreDate of stay: November 
2018HelpfulShare</t>
  </si>
  <si>
    <t>https://www.tripadvisor.co.uk/Hotel_Review-g191265-d229508-Reviews-or1310-Travelodge_Gatwick_Airport_Central-Horley_Surrey_England.html#REVIEWS</t>
  </si>
  <si>
    <t>S5STW wrote a review Dec 2018London, United Kingdom39 contributions6 
helpful votes</t>
  </si>
  <si>
    <t>Travelodge GatwickGood value for the money which was paid, hotel still needs a bit of 
updating. Breakfast was good.Only negative thing for me was the bath, not 
very easy to get in and out. No extra blanket was provided in the 
room.Comfortable stay for 1 night before my flight.Read moreReview 
collected in partnership with TravelodgeDate of stay: December 
2018HelpfulShare</t>
  </si>
  <si>
    <t>Beth R wrote a review Dec 2018Lincoln, United Kingdom1 contribution1 
helpful vote</t>
  </si>
  <si>
    <t>Great for my assistance dog and me with my wheelchairFound it much easier to get around the hotel because the doors were lighter 
and easier to open and get through with my Canine Partners assistance dog. 
Had a wet room bathroom in my room with the door that also opened easier 
than some other places I have stayed. The staff were all very friendly too. 
Both my assistance dog and myself had a good time, there was plenty of 
grass outside in the car park surrounding the hotel.Read moreDate of stay: 
December 2018HelpfulShare</t>
  </si>
  <si>
    <t>Dream33014149326 wrote a review Dec 2018Haverhill, United Kingdom1 
contribution</t>
  </si>
  <si>
    <t>Travelodge Gatwick CentralThe hotel was fairly easy to find . A vast carpark made it difficult to 
locate a space . The parking is not included and the pay terminal is 
outside in the cold and dark . It is also unlit and without a very good 
torch difficult to use . Rooms are OK but I expected better for a well 
known brand.Read moreReview collected in partnership with TravelodgeDate of 
stay: November 2018HelpfulShareResponse from TravelodgeUK, Tilly from The 
Social Media Team at Travelodge Gatwick Airport CentralResponded 10 Jan 
2019Thank you for your review of our Gatwick Airport Central hotel. We're 
sorry to learn of your disappointment with the car parking, however we are 
pleased that you were happy with your room. We will pass your comments to 
the hotel team and we hope to welcome you back soonRead more</t>
  </si>
  <si>
    <t>Keith M wrote a review Dec 2018Salzburg, Austria1 contribution</t>
  </si>
  <si>
    <t>Excellent hotelThis hotel was a lovely surprise, as we only booked at the last minute. 
Food at dinner was very nice, bedroom was very comfortable. Sadly we had an 
early flight, so we couldn’t sample the breakfast. Highly recommended!! 
Will definitely stay here again!Read moreReview collected in partnership 
with this hotelDate of stay: December 2018HelpfulShare</t>
  </si>
  <si>
    <t>Sophie C wrote a review Dec 20186 contributions1 helpful vote</t>
  </si>
  <si>
    <t>Good valueClose to airport, cheap and cheerful hotel to stay in before an early 
morning flight. Transfer was fine, and frequent. Bar is 24h and the bar Man 
was very helpful and chatty, easily made our experience better and got 
outback holiday off to a good start (think his name wasn’t James? Not too 
sure but a young lad). Would use again if travelling from Gatwick. We had a 
pannini which was decent also and food is available 24hRead moreDate of 
stay: December 2018HelpfulShare</t>
  </si>
  <si>
    <t>https://www.tripadvisor.co.uk/Hotel_Review-g186338-d1812157-Reviews-or835</t>
  </si>
  <si>
    <t>https://www.tripadvisor.co.uk/Hotel_Review-g191265-d229508-Reviews-or1315-Travelodge_Gatwick_Airport_Central-Horley_Surrey_England.html#REVIEWS</t>
  </si>
  <si>
    <t>Doreen W wrote a review Dec 2018Chichester32 contributions30 helpful votes</t>
  </si>
  <si>
    <t>LOVELY STAYStayed here the night before an early flight. Newly refurbished this Lodge 
is excellent, rooms comfortable, lovely hot water for a shower, helpful 
staff and a shuttle bus running to the airport all day and night, what's 
not to like. Definitely be backRead moreReview collected in partnership 
with this hotelDate of stay: December 2018HelpfulShare</t>
  </si>
  <si>
    <t>Tariq127 wrote a review Dec 2018Staffordshire, United Kingdom199 
contributions35 helpful votes</t>
  </si>
  <si>
    <t>Pre flight stayExcellent hotel at a good price i paid £25.50 thats discounted and it was 
clean and comfortable. The bus comes right outside the hotel reception and 
is £3 or you can catch a taxi for £6. The room was clean comfortable and 
has everything you want for a pre flight stay or if your on business. You 
can also pay an extra £10 for early checkin or late check out which is a 
good bonus has even some of the bigger hotels dont offer early check in. I 
had lunch in the hotel in the afternoon and the food was nice and 
reasonably priced. For my dinner I ordered some food into the hotel. A good 
selection on just eat.Read moreDate of stay: December 2018HelpfulShare</t>
  </si>
  <si>
    <t>Steve-tog-51 wrote a review Dec 2018Preston, United Kingdom130 
contributions16 helpful votes</t>
  </si>
  <si>
    <t>Super room that wasn't superI have stayed here many times. Never had to complain before .... But, my 
latest stay i decided to book in to one of the upgraded rooms. What a let 
down, very sparse. only one chair in the space and one by the counter. No 
sofa .... why ? There is so much space for it ! Coffee machine was missing, 
though the coffee pods were there and the instructions for the machine 
..... again why .... if you offer a coffee machine then put one in there. 
Kettle was not working properly, had to hold the button down until it 
boiled. Told reception about this around 7pm. Thinking they might fix the 
issues during the evening while I was at dinner (elsewhere) No chance. 
There excuse was that they didn't have enough working coffee machines .... 
not what I expect. And still no working kettle !!…Read moreDate of stay: 
November 20181 Helpful voteHelpfulShare</t>
  </si>
  <si>
    <t>Alison D wrote a review Dec 2018Birkenhead, United Kingdom34 contributions9 
helpful votes</t>
  </si>
  <si>
    <t>Overnight pre flight stayHotel was so clean and the room was massive!! Tea and coffee in the room 
and all for £37 for the three of us !! Super bargain !! Plus shuttle bus 
runs frequently to terminal building every 10-15 mins.Read moreReview 
collected in partnership with TravelodgeDate of stay: November 
2018HelpfulShare</t>
  </si>
  <si>
    <t>https://www.tripadvisor.co.uk/Hotel_Review-g191265-d229508-Reviews-or1320-Travelodge_Gatwick_Airport_Central-Horley_Surrey_England.html#REVIEWS</t>
  </si>
  <si>
    <t>Road50790063715 wrote a review Dec 20181 contribution</t>
  </si>
  <si>
    <t>Very good valueNot luxurious, but excellent value for money, clean, and everything works. 
If you just want a bed for the night before an early flight, it ticks all 
the boxes. A local taxi firm can do the transfer to the airport (5 mins, 
£6) which is the same price as 2 people on the shuttle bus.Read moreReview 
collected in partnership with TravelodgeDate of stay: November 
2018HelpfulShare</t>
  </si>
  <si>
    <t>Leila B wrote a review Dec 2018Manchester, United Kingdom118 
contributions32 helpful votes</t>
  </si>
  <si>
    <t>Great hotel at excellent pricesThis hotel offers really competitive prices in a great location with easy 
access to Gatwick airport via a really frequent and easy to use shuttle 
bus. The rooms are spacious and nicely decorated. They are basic but still 
really cosy and it was a pleasure to stay there before our holiday. The bar 
and dining areas huge and the decor is lovely. I ate here for dinner and 
breakfast and we were really happy with everything. The staff are nice and 
kindly accommodated us by changing our rooms on arrival so we were all on 
the same floor. I have stayed here before and I will definitely stay again 
and recommend to family, friends and colleagues. The staff are friendly and 
helpful also which is a big bonus as you are made to feel very welcome. It 
is well worth paying for the unlimited…Read moreReview collected in 
partnership with TravelodgeDate of stay: November 2018HelpfulShare</t>
  </si>
  <si>
    <t>Saloosarah wrote a review Dec 2018Colchester, United Kingdom158 
contributions69 helpful votes</t>
  </si>
  <si>
    <t>Could do better!Have stayed here before - this weekend spent a stressful weekend house 
hunting in the area, so stayed 2 nights as a family, first room had a musty 
B.O smell to it, and the bath water was tepid... mentioned it in the 
morning on our way out and was told it would be looked at? Spent a day out 
- ensuring we left our little sign on the door stating we wanted our room 
made up - to arrive back to a room that wasn’t made up, no clean towels, no 
clean cups, no replenishment of drinks/coffee, and a cold bath - ended up 
being moved to a different room, just what we wanted after a long day, to 
another room with equally tepid bath water - I’m aware this isn’t a one off 
with regards to the water and the cleaning as my partner stays here often 
and has told me plenty of times he’s returned to…Read moreDate of stay: 
December 2018HelpfulShareResponse from TravelodgeUK, Shaf from the Social 
Media Team. at Travelodge Gatwick Airport CentralResponded 10 Dec 2018Thank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</si>
  <si>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sarahjhawes wrote a review Dec 2018Dartford, United Kingdom7 contributions3 
helpful votes</t>
  </si>
  <si>
    <t>5 mins from the airport, comfy and good valueThe hotel was great for a quick stop over. Comfortable, warm, clean and 
tidy with a good check in/check-out procedure.You do need to pay for 
parking here though - we paid £8 for a 24-hr ticket. I'd recommend it - 
especially for an early morning flight like we had because it's so close to 
the airport parking.Read moreReview collected in partnership with 
TravelodgeDate of stay: November 2018HelpfulShare</t>
  </si>
  <si>
    <t>seapath wrote a review Dec 2018San Luis de Sabinillas, Spain60 
contributions18 helpful votes</t>
  </si>
  <si>
    <t>Quick stay before flying off on holidayExcellent hotel, warm great staff, bar and food available.Had an excellent 
pizza in the afternoon.All the tea and coffee you wanted.Could not fault 
the place and the price £37 was brilliant.Bed comfy and roilet, shower 
sparkling cleanRead moreDate of stay: December 2018HelpfulShare</t>
  </si>
  <si>
    <t>https://www.tripadvisor.co.uk/Hotel_Review-g191265-d229508-Reviews-or1325-Travelodge_Gatwick_Airport_Central-Horley_Surrey_England.html#REVIEWS</t>
  </si>
  <si>
    <t>jayne1981 wrote a review Dec 2018Portchester, United Kingdom110 
contributions62 helpful votes</t>
  </si>
  <si>
    <t>Airport hotel 1 night stayStayed at this travelodge for 1 night before our flight to Orlando the next 
day. Family of 4, rooms a good size clean and tidy. Tea and coffee making 
facilities. Reasonable rates would definitely use again the only thing that 
was pleasant was the female bus driver who takes you to the airport. Very 
rude and unpleasantRead moreDate of stay: October 2018HelpfulShare</t>
  </si>
  <si>
    <t>flapjack2121 wrote a review Dec 2018London, United Kingdom2 contributions</t>
  </si>
  <si>
    <t>Cheap, very noisyIt's cheap and very close to the airport - so I guess many people like us 
stay for that reason. However it's not a nice building, and it's very noisy 
- there is no sound proofing whatsoever. As a result you hear all doors 
slamming, and traffic, wind and planes from outside. Also the air con unit 
was noisy even switched off. Next time I'd pay more to get some sleep 
elsewhere.Read moreReview collected in partnership with TravelodgeDate of 
stay: November 2018HelpfulShareResponse from TravelodgeUK, Charley from the 
Social Media Team at Travelodge Gatwick Airport CentralResponded 23 Dec 
2018Thank you taking the time to leave us feedback. We are truly sorry to 
learn that your stay was affected by external noise. Our more central 
locations may be noisier however to ensure our guests are comfortable we do 
provide double glazing and we try to work with the local areas and 
communities. It is regrettable to hear this was not enough to guarantee a 
good night stay for you. We hope you will chose to stay with us in the 
future, where we will endeavour to restore your faith in Travelodge.Read 
more</t>
  </si>
  <si>
    <t>https://www.tripadvisor.co.uk/Hotel_Review-g191265-d229508-Reviews-or1330-Travelodge_Gatwick_Airport_Central-Horley_Surrey_England.html#REVIEWS</t>
  </si>
  <si>
    <t>Climber38501792431 wrote a review Dec 20181 contribution</t>
  </si>
  <si>
    <t>Great New Room- Minus air conRoom excellent, comfortable, looked newly refurbishedAir con didn't get 
cold. so was quite hot when getting ready.Bar open 24 hours which is great 
for a late night drink.friendly staff, speedy check in / our processRead 
moreReview collected in partnership with TravelodgeDate of stay: December 
2018HelpfulShare</t>
  </si>
  <si>
    <t>Dan D wrote a review Dec 20185 contributions2 helpful votes</t>
  </si>
  <si>
    <t>Clean and quietRoom was clean and quiet, check in hassle free and quick. Knocked off a 
point because I felt the food in the restaurant was of poor quality, but 
other than that it had everything we needed. Would recommend the super 
roomsRead moreDate of stay: September 2018HelpfulShare</t>
  </si>
  <si>
    <t>Imran.5 wrote a review Dec 2018Walsall, United Kingdom2 contributions</t>
  </si>
  <si>
    <t>GreatSo I am here quite a lot and I am always pleased by the staff on reception. 
They are approachable and professional. The following staff , Kay , Olivia 
and Jessica always act with the utmost proffesinlism and courtesy always 
willing to help as well as having a good rapport with guests and make the 
stay here much more happier and fun and help with the overall experience 
with a number of hotels to stay in around the Gatwick airport areas there 
is always someplace to stay and the staff here makes the experience better 
for myself to want to come back. Keep up the good work!Read moreDate of 
stay: December 2018HelpfulShare</t>
  </si>
  <si>
    <t>https://www.tripadvisor.co.uk/Hotel_Review-g191265-d229508-Reviews-or1335-Travelodge_Gatwick_Airport_Central-Horley_Surrey_England.html#REVIEWS</t>
  </si>
  <si>
    <t>Oscar209 wrote a review Dec 2018Rochester, United Kingdom11 contributions1 
helpful vote</t>
  </si>
  <si>
    <t>Parking chargesJust booked into the Travelodge Gatwick, incest to find that we have to pay 
£8 for 24hrs parking, even though we won’t be here for 12! So an extra £16 
for two cars! Absolutely disgusting! When I complained to the 
‘housekeeping’ on reception, she just shrugged her shoulders and said 
‘that’s what the hotel do’. This is why I mainly use your competitor as 
never have to pay for extra parking like this! I’m a director for a radio 
station and trust me, I’m going to string this out in as many places as 
possible and certainly pass around the media that Travelodge Gatwick are 
robbing SODS! Haven’t even got to room yet, will rip it apart for 
issues!Read moreDate of stay: December 20181 Helpful 
voteHelpfulShareResponse from TravelodgeUK, Shaf from the Social Media 
Team. at Travelodge Gatwick Airport CentralResponded 3 Dec 2018Thank you 
for reviewing our Gatwick Airport Central Travelodge. Thank you for your 
review. We try to provide as much information as possible regarding the 
available parking facilities on the Hotel's booking page. Guests are also 
welcome to contact the Hotel directly prior to their arrival, and our 
Reception Teams will be more than happy to provide any further information 
or assistance regarding nearby car parks, number of spaces or whether it is 
possible to reserve spaces. We do not own all of our car parks and 
unfortunately are not responsible for them, however we do our best to 
maintain them for our guests. Thank you again for your feedback. Feedback 
is invaluable and our Hotel Managers regularly review their TripAdvisor 
reviews in order to fix any issues raised and pass on feedback to their 
team. Thank you once again and we do hope you will stay with us in the 
future.Read more</t>
  </si>
  <si>
    <t>Adam J wrote a review Dec 2018Llanrwst, United Kingdom61 contributions26 
helpful votes</t>
  </si>
  <si>
    <t>Excellent location for early flightsStayed here before an early morning flight from Gatwick, location was 
excellent and only £12 in a taxi to the airport. 24hr bar so we ended up 
staying up drinking until 2am, not recommended for an early flight.Read 
moreDate of stay: November 2018HelpfulShare</t>
  </si>
  <si>
    <t>Bluerose5678 wrote a review Nov 2018Swindon, United Kingdom24 
contributions8 helpful votes</t>
  </si>
  <si>
    <t>NEAR TO AIRPORTWe only stay one night so can't really give a full review, it was clean, 
tidy and comfortable, shame you had to pay for breakfast. Reception staff 
were very friendly. Restaurant expensive and not good, just pub grub really 
so we went to the 6 Bells where we had a lovely meal.Read moreReview 
collected in partnership with TravelodgeDate of stay: November 
2018HelpfulShare</t>
  </si>
  <si>
    <t>https://www.tripadvisor.co.uk/Hotel_Review-g191265-d229508-Reviews-or1340-Travelodge_Gatwick_Airport_Central-Horley_Surrey_England.html#REVIEWS</t>
  </si>
  <si>
    <t>Travel53173688997 wrote a review Nov 2018Bodmin, United Kingdom1 
contribution</t>
  </si>
  <si>
    <t>Great Value, Comfortable, Friendly and Very Modern HotelChecked in on Nov 28th. Surprised to see we were charged for car parking 
expected that to be inclusive like MANY other Travelodge Sites i have 
visited. Apart from that the interior of the hotel was outstanding. I was 
really impressed by their lounge/cafe/bar area. It had loads of seating and 
tables as well as magazines and a tv. Our room was nice and tidy and looked 
very professional and the bed was one of the most comfortable beds i have 
ever slept in. The only concern i had was their was no late night food 
options. Having come back from a trip from north london we arrived back 
late and hadnt had a chance to grap dinner. Hoping we could order something 
from the cafe there was nothing. So we had to go to the local Tesco Extra 
which was a 15 minute walk in the dark just to get…Read moreReview 
collected in partnership with TravelodgeDate of stay: November 
2018HelpfulShare</t>
  </si>
  <si>
    <t>happytravelodger wrote a review Nov 2018Norwich, United Kingdom2 
contributions</t>
  </si>
  <si>
    <t>Good for GatwickEasy to find. Rooms very large and clean. Bus to airport excellent. Door to 
door service for £6 per adult return. Checking in was very easy. 
Receptionist was quick and professional. Nice bar. Extra tea bags etc in 
lobby.Read moreReview collected in partnership with this hotelDate of stay: 
November 2018HelpfulShare</t>
  </si>
  <si>
    <t>Nomad739703 wrote a review Nov 20181 contribution</t>
  </si>
  <si>
    <t>Worth a visitTravelodge Gatwick was modern comfortable with easy access to airportFood 
was good, service at bar was mediocre The room was large bright and airy 
with coffee making facilities The room I had offered both bath and 
showerRead moreReview collected in partnership with TravelodgeDate of stay: 
November 2018HelpfulShare</t>
  </si>
  <si>
    <t>MMTMDavis wrote a review Nov 2018Rome, Italy206 contributions141 helpful 
votes</t>
  </si>
  <si>
    <t>Calm, convenient, economicalGood, clean, efficient hotel at a good price and close to Gatwick. Don't 
make the mistake of assuming it's walking distance from the Gatwick 
Terminals - it's a 15 minute bus ride away, and you need to pay for the bus 
- so be prepared. The room was comfortable, but I was a bit unhappy about 
being on the ground floor with a footpath and car park outside my window, 
meaning that the curtains had to be closed at all times for privacy. 
Breakfast was plentiful and good. The restaurant space is big and 
comfortable and there is also a big lounge space that can be used to wait, 
hang out and pass time. I don't understand why the hotel charges for wifi 
separately. Most places in the world include free wifi. If you need to 
charge for it, bury the price in the room fee.Read moreDate of stay: 
November 20181 Helpful voteHelpfulShare</t>
  </si>
  <si>
    <t>Companion24311448102 wrote a review Nov 2018Taunton, United Kingdom2 
contributions1 helpful vote</t>
  </si>
  <si>
    <t>My stayHad a super room. Fabulous. Great space and comfort. All you needed was 
supplied. Will definitely book one of these rooms again. The beds were very 
comfortable and you were able to have a good sleep. On entering the room 
first time it was warming and there was a lovely clean smell. Many 
thanks.Read moreReview collected in partnership with this hotelDate of 
stay: November 2018HelpfulShare</t>
  </si>
  <si>
    <t>https://www.tripadvisor.co.uk/Hotel_Review-g191265-d229508-Reviews-or1345-Travelodge_Gatwick_Airport_Central-Horley_Surrey_England.html#REVIEWS</t>
  </si>
  <si>
    <t>maggiemay38 wrote a review Nov 2018Kent2 contributions1 helpful vote</t>
  </si>
  <si>
    <t>Good value,Good place to stay overnight for an early flight, especially if arriving by 
train. Gatwick station connects directly with South terminlal. Hotel 
Transfer buses available ; South Terminal: Bus stop 9 on the Arrivals 
forecourt. or North Terminal: Bus stop 8 on the Arrivals forecourt. Took 
about 20 minutes from South terminal - 7.30pm on a Sunday. Other times 
could take longer depending on passenger numbers and local traffic. Taxis 
available if you prefer a quick transfer to or from hotel. Helpful/ &amp; 
friendly reception staff.Read moreReview collected in partnership with this 
hotelDate of stay: September 20181 Helpful voteHelpfulShare</t>
  </si>
  <si>
    <t>Sightseer18956493302 wrote a review Nov 2018Sandhurst, United Kingdom1 
contribution</t>
  </si>
  <si>
    <t>Overnight stayThis was a brilliant place to stay before any early flight from Gatwick 
airport.Easy transfer from reliable bus service to the airport every 15mins 
with a small cost of £3.00 per person , only criticism is that the bus is 
cash only no card payments taken but wasn’t a big deal.Read moreReview 
collected in partnership with TravelodgeDate of stay: November 
2018HelpfulShare</t>
  </si>
  <si>
    <t>malijuka wrote a review Nov 201867 contributions46 helpful votes</t>
  </si>
  <si>
    <t>holidayCan't rate this place enough So convienent for an early flight just 5 
minutes away from the terminal so took all the stress out of travelling up 
in the early hours , especially as most of our route had overnight 
roadworks. Hotel staff were so friendly &amp; nothing was too much trouble. 
Rooms really spacious &amp; clean. Newly refurbished I'd say. we requested 1st 
floor with all 4 rooms next to each other &amp; wernt disappointed. We travel 4 
times a year from Gatwick &amp; will most definately book here each time ��Read 
moreDate of stay: November 2018HelpfulShare</t>
  </si>
  <si>
    <t>Passenger57418510818 wrote a review Nov 20181 contribution1 helpful vote</t>
  </si>
  <si>
    <t>Noisy roomsProblems with very noisy heating systems and issues with room noise Wi Fi 
not working The heating/ ventilation had constant running water noises 
which was very disruptive to sleep The fixed bedhead cracked and creaked 
even when the mattress was removed onto the floor in an effort to gain some 
sleep The wi Fi did not work and we await a refund for the poor stay and in 
operative wifiRead moreReview collected in partnership with TravelodgeDate 
of stay: November 20181 Helpful voteHelpfulShareResponse from TravelodgeUK, 
Shaf from the Social Media Team. at Travelodge Gatwick Airport 
CentralResponded 27 Nov 2018Thank you for reviewing our Gatwick Airport 
Central Travelodge. We're extremely sorry to learn you had a number of 
issues with the internal noise and WiFi not working.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</si>
  <si>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https://www.tripadvisor.co.uk/Hotel_Review-g191265-d229508-Reviews-or1350-Travelodge_Gatwick_Airport_Central-Horley_Surrey_England.html#REVIEWS</t>
  </si>
  <si>
    <t>rcunningham299 wrote a review Nov 2018Inverness, United Kingdom61 
contributions13 helpful votes</t>
  </si>
  <si>
    <t>Quick trip to LondonDecided to use an airport hotel rather than in central London - because of 
price difference. I'll do it again. Hotel was spacious, clean and staff 
were lovely. I had a continental breakfast which was good and priced at 
£5.99 which was good value. I was given a tray so I could eat in my room 
while getting ready.Read moreReview collected in partnership with 
TravelodgeDate of stay: November 2018HelpfulShare</t>
  </si>
  <si>
    <t>Companion19829052075 wrote a review Nov 2018Boston, United Kingdom1 
contribution</t>
  </si>
  <si>
    <t>BEFORE AND AFTERStayed at the travel lodge before and after travelling, the location was 
perfect, the transfer easy, the staff were excellent the food was slightly 
above average, the bar and staff were friendly and happy hour was great. 
Breakfast there was lots of variety and most importantly the price was 
right, paid to park there for the week and parked right out side reception 
GREATRead moreReview collected in partnership with TravelodgeDate of stay: 
November 2018HelpfulShare</t>
  </si>
  <si>
    <t>skasd wrote a review Nov 2018Great Dunmow, United Kingdom46 contributions31 
helpful votes</t>
  </si>
  <si>
    <t>Nice clean inexpensive hotelHad booked 2 rooms for 4 people on the Travelodge website. The room types 
were not clear and it turned out to be 1 double bed and 2 singles which 
would have suited our needs. Fortunately the price was decent. Car Parking 
is pay and display directly in front of the hotel. We used this over night 
and then drove to the valet parking at north terminal although they do 
offer a parking facility the thought of having to wait for the shuttle bus 
on return from a long haul flight didn’t appeal. The room was clean, beds 
were very comfy, shower decent. Check in was quick. A bit noisy in the 
corridor late evening as a youth football team checked in then were 
shouting to each other along the corridor. Rooms were placed together. 
Check out speedy - drop key card in box and go. We did not take…Read 
moreDate of stay: October 2018HelpfulShare</t>
  </si>
  <si>
    <t>https://www.tripadvisor.co.uk/Hotel_Review-g191265-d229508-Reviews-or1355-Travelodge_Gatwick_Airport_Central-Horley_Surrey_England.html#REVIEWS</t>
  </si>
  <si>
    <t>Departure755093 wrote a review Nov 20181 contribution</t>
  </si>
  <si>
    <t>goodthe hotel was very convenient, we found that the team handling our arrival 
were very pleasant, the staff that served us for the evening and breakfast 
were very helpful, it was easy to book in, comfortable room, good night 
sleep, great breakfast.Read moreReview collected in partnership with this 
hotelDate of stay: October 2018HelpfulShare</t>
  </si>
  <si>
    <t>Susie B wrote a review Nov 2018Hampton, United Kingdom3 contributions10 
helpful votes</t>
  </si>
  <si>
    <t>Stayed Night Before FlightEarly flight from Gatwick so booked early for the Saver Rate. Trains from 
where I live do not run until after 5.30am. Regular shuttles to/from 
Airport. Great stress-free start to holiday. Will use again.Read moreReview 
collected in partnership with TravelodgeDate of stay: November 
2018HelpfulShare</t>
  </si>
  <si>
    <t>J1nty wrote a review Nov 201814 contributions17 helpful votes</t>
  </si>
  <si>
    <t>Excellent Value5 minutes from the airport. Clean, comfortable, well appointed room. All 
you need for a stop over before a flight. Nice bar and restaurant area. 
Staff were very friendly and helpful. Taxi ordering service available but 
receptionist kindly did this for us. Also, airport buses stop right at the 
door. All in all, great value for money.Read moreReview collected in 
partnership with this hotelDate of stay: October 2018HelpfulShare</t>
  </si>
  <si>
    <t>https://www.tripadvisor.co.uk/Hotel_Review-g191265-d229508-Reviews-or1360-Travelodge_Gatwick_Airport_Central-Horley_Surrey_England.html#REVIEWS</t>
  </si>
  <si>
    <t>Daniel C wrote a review Nov 2018Swindon, United Kingdom22 contributions9 
helpful votes</t>
  </si>
  <si>
    <t>Nice Hotel Good Self Check InHotel is nice and clean. Close location to the airport with shuttle bus 
link to both terminals. Food is also good in the restaurant. We really 
liked the self check in machines which saved a lot of queuing!Read 
moreReview collected in partnership with this hotelDate of stay: November 
2018HelpfulShare</t>
  </si>
  <si>
    <t>wendywY3459SG wrote a review Nov 2018England 5 contributions4 helpful votes</t>
  </si>
  <si>
    <t>Start of our holidayWe always stay in Travelodge all over the country and find them reasonably 
priced very clean and friendly staff, the Gatwick one was very 
disappointing our bathroom was dirty hair all over floor and sink , it 
rained all night and the gutters we’re not well maintained so it leaked 
dripping constantly, we had a few drinks in the bar which totally differd 
in price every time even though we ordered the same! It wasn’t the restful 
night I was expecting before my flight!!!Read moreReview collected in 
partnership with TravelodgeDate of stay: November 2018HelpfulShareResponse 
from TravelodgeUK, Charley from the Social Media Team at Travelodge Gatwick 
Airport CentralResponded 27 Nov 2018Thank you for taking the time to review 
our Gatwick Airport Central hotel. We are sorry to hear that your 
experience was spoiled in particular by the cleanliness of the room as well 
as the dripping that occurred. We are also sorry to hear of your 
disappointment regarding the drink rates. We have passed on your comments 
and they will help us improve, in the meantime we would hope to welcome you 
again in the future and give us the opportunity to offer a fully enjoyable 
stay.Read more</t>
  </si>
  <si>
    <t>ajb wrote a review Nov 2018Helston, Cornwall13 contributions5 helpful votes</t>
  </si>
  <si>
    <t>Affordable accommodation for an over night stayGood value for money with everything you need for a brief over night stay 
and easy access to the terminals with transport outside foyer. running 
regularly. Parking facility.Breakfast buffet adequate and staff 
pleasant.Read moreReview collected in partnership with TravelodgeDate of 
stay: November 2018HelpfulShare</t>
  </si>
  <si>
    <t>https://www.tripadvisor.co.uk/Hotel_Review-g186338-d1812157-Reviews-or840</t>
  </si>
  <si>
    <t>https://www.tripadvisor.co.uk/Hotel_Review-g191265-d229508-Reviews-or1365-Travelodge_Gatwick_Airport_Central-Horley_Surrey_England.html#REVIEWS</t>
  </si>
  <si>
    <t>betterbuy wrote a review Nov 2018Rotherham, United Kingdom27 
contributions25 helpful votes</t>
  </si>
  <si>
    <t>Great hotelArrived at hotel after 9 hours on a national express coach and it is 
fantastic.. Easy check in and immaculate rooms... Went to the bar and had a 
few beers and the staff were friendly and welcoming.... We ate in the 
restaurant and the food was lovely and great value especially the kids 
meals... My only suggestion for the food could be please put a steak or mix 
grill on the menu as I personally would always go for the grill... I had 
the chicken tikka and it was hot and filling with some chicken wings on the 
side... First time we have ever used a travelodge but we will definitely be 
using again.. This hotel is great in every department.. Thanks gRead 
moreDate of stay: November 2018HelpfulShare</t>
  </si>
  <si>
    <t>Maps17450108556 wrote a review Nov 20182 contributions</t>
  </si>
  <si>
    <t>ExcellentWarm and friendly greeting on arrival, the staff were more than helpful and 
informative.Room was comfortable, fresh and clean, the only problems we 
encountered being disabled, was the wet room floor was slippy when wet, no 
soap in the dispenser and nowhere to put extras like conditioner etc. The 
evening meal was really good and value for money, and the breakfast was 
fulfilling. There is a courtesy bus from Gatwick South to the hotel. 
Overall, very pleased with our experience.Read moreReview collected in 
partnership with TravelodgeDate of stay: November 2018HelpfulShare</t>
  </si>
  <si>
    <t>Thewanderer5 wrote a review Nov 2018London, United Kingdom152 
contributions98 helpful votes</t>
  </si>
  <si>
    <t>A comfortable night's sleep in a refurbished hotel.I arrived late at night after a flight home from my holiday. Checking in 
was straight forward and the staff were friendly. This hotel has been 
refurbished since my last visit and it smelled fresh throughout. My bed was 
comfortable and my room was clean apart from an unsightly brown stain on 
the carpet that greeted me on my arrival. on close inspection it looked 
like a burn mark but still needed removing. My room was 252. All features 
were in working order in the toilet and bathroom and I was provided with 
plenty of towels. However, it was disappointing that that the shower 
dispenser was empty, but I fortunately had my own gel. My room was quiet 
and I had a good night's sleep. There was no sleep timer on the large TV 
set. The bar is open until late and enjoyed a great hot and…Read moreDate 
of stay: November 2018HelpfulShare</t>
  </si>
  <si>
    <t>pauldean78 wrote a review Nov 2018Brighton, United Kingdom154 
contributions75 helpful votes</t>
  </si>
  <si>
    <t>Clear improvements since the refurb - great valueThe usual night's stay before an early morning flight. The shuttle bus from 
South terminal (and North) to the hotel was easy to find from the 
information on the website and buses certainly seemed frequent enough (at 
£6 return fare). I checked in electronically which was straightforward and 
reasonably speedy to zip through the various add-on options. The whole 
foyer area seems so much more spacious than pre-refurb. The room itself was 
large and airy (I booked a single room but it came with a large comfortable 
bed) and I slept really well. Bathroom fittings were all new so it was a 
most pleasant experience. I ate in the dining area and the curry I had was 
excellent and reasonably priced. The restaurant seemed so much better 
designed than pre the refurb and my only complaint was…Read moreDate of 
stay: November 2018HelpfulShare</t>
  </si>
  <si>
    <t>Genghissian wrote a review Nov 2018London, United Kingdom102 
contributions45 helpful votes</t>
  </si>
  <si>
    <t>Hotel room OK, but don't eat thereThe room was reasonable for the price - clean, functional etc -and we liked 
that the associated parking was in front of the main entrance which seemed 
preferable and probably more secure than most airport parking which is 
miles away. However, the food, which was not a reasonable price, was truly 
abysmal: the burger looked and tasted like it was made from pureed 
frankfurter, mashed potato appeared pre-digested, service appalling - had 
to ask for desserts 3 times before they came. Soulless, joyless room in 
which to eat. Take sandwiches or treat yourself to a taxi and eat somewhere 
else. Or don't eat at all. But don't eat here.Read moreDate of stay: 
November 20181 Helpful voteHelpfulShare</t>
  </si>
  <si>
    <t>https://www.tripadvisor.co.uk/Hotel_Review-g191265-d229508-Reviews-or1370-Travelodge_Gatwick_Airport_Central-Horley_Surrey_England.html#REVIEWS</t>
  </si>
  <si>
    <t>anjumtoyou wrote a review Nov 2018Nottingham, United Kingdom32 
contributions33 helpful votes</t>
  </si>
  <si>
    <t>This is excellent value for money. I made a correct choice.This is well located and excellent value for money for commuters to and 
from Gatwick airport. Staff are very welcoming bar and cafe area is good 
and have range of options. Very clean and tidy rooms and spacious too. 
Completely noise proof despite being located so much near the airport. 
Convenient parking although it comes at additional cost of 8 pounds for 24 
hours ( which is fine)Read moreReview collected in partnership with 
TravelodgeDate of stay: November 20181 Helpful voteHelpfulShare</t>
  </si>
  <si>
    <t>Helly68 wrote a review Nov 2018Cork, Ireland9 contributions1 helpful vote</t>
  </si>
  <si>
    <t>Surprisingly goodStaff were really good, had 2 minor issues but resolved quickly. Room big, 
bath which was great to have. The only downside was the quality of food for 
breakfast, disappointing. Overall the cleanliness, friendly staff and price 
i would stay there again. The shuttle to the airport is very handy too.Read 
moreReview collected in partnership with TravelodgeDate of stay: November 
2018HelpfulShare</t>
  </si>
  <si>
    <t>stuart1879 wrote a review Nov 2018Milton Keynes, United Kingdom8 
contributions8 helpful votes</t>
  </si>
  <si>
    <t>Overnight business stayHotel was great value and just over £75 including breakfast and wifi. There 
is a £8 parking charge so bear this in mind when costing. The wifi was 
charged at £3 when making booking but this did not work whilst I was there 
due to technical issues. There is a bar and cafe which provides evening 
meals and where breakfast is served. As my room was classed as a super room 
there was also a coffee machine desk and chair and a changeable shower 
settings.Read moreReview collected in partnership with TravelodgeDate of 
stay: November 2018HelpfulShare</t>
  </si>
  <si>
    <t>https://www.tripadvisor.co.uk/Hotel_Review-g191265-d229508-Reviews-or1375-Travelodge_Gatwick_Airport_Central-Horley_Surrey_England.html#REVIEWS</t>
  </si>
  <si>
    <t>Sarah S wrote a review Nov 20183 contributions1 helpful vote</t>
  </si>
  <si>
    <t>Great way to start a holidayBecause of its location we stayed there as it was closer to the airport. 
Which made travelling in the early hours for a flight more relaxed and 
enjoyable. Great value for money. Best way to start a holiday!Read 
moreReview collected in partnership with TravelodgeDate of stay: November 
2018HelpfulShare</t>
  </si>
  <si>
    <t>sarahjanehively wrote a review Nov 2018Northampton, United Kingdom10 
contributions3 helpful votes</t>
  </si>
  <si>
    <t>Good nights sleepGot a really good deal on a 1 night stay before an early flight, room was 
clean and comfy , good coffee free early am , plenty of parking , and next 
to gatwick.. perfect, slept really well in comfy beds , staff friendly , 
will use againRead moreDate of stay: November 2018HelpfulShare</t>
  </si>
  <si>
    <t>chip60 wrote a review Nov 2018Hereford, United Kingdom587 contributions167 
helpful votes</t>
  </si>
  <si>
    <t>Good ValueStayed for one night, before an early morning flight. Checkin was quick. 
The room clean, comfortable &amp; quiet. Had evening meal in restaurant, good 
value. Easy access to the airport using the shuttle bus.Read moreDate of 
stay: October 2018HelpfulShare</t>
  </si>
  <si>
    <t>sophie369 wrote a review Nov 2018Bournemouth, United Kingdom1 contribution</t>
  </si>
  <si>
    <t>Great location, easy to get to using £3 transit bus from airport, clean, 
modernAs title. Would have liked a bath as been looking forward to relaxing after 
a long trip but the shower worked well. Felt safe and everything was clean, 
modern. Good value for money as found discount voucher. Will break journey 
there again...for the right price.Read moreReview collected in partnership 
with TravelodgeDate of stay: November 2018HelpfulShare</t>
  </si>
  <si>
    <t>https://www.tripadvisor.co.uk/Hotel_Review-g191265-d229508-Reviews-or1380-Travelodge_Gatwick_Airport_Central-Horley_Surrey_England.html#REVIEWS</t>
  </si>
  <si>
    <t>tonyI1569GA wrote a review Nov 2018Winter Garden, Florida2 contributions</t>
  </si>
  <si>
    <t>Good value for moneyA comfortable place to stay for an overnight if catching a flight, wouldn't 
like to stay any longer as the hotel is very clinical and has no character. 
I would definitely stay again as it is great value for money.Read 
moreReview collected in partnership with TravelodgeDate of stay: November 
2018HelpfulShare</t>
  </si>
  <si>
    <t>Andree F wrote a review Nov 20181 contribution</t>
  </si>
  <si>
    <t>Filthy and smelly!Disgusted by smell in room. Excrement on shower tiles and WC. No opening 
windows. Only fixed head shower awful for females. Blocked whb, dirty 
carpet, kettle, worktop. Worn bed linen. Useless wifi paid for in 
advance!Read moreReview collected in partnership with TravelodgeDate of 
stay: November 2018HelpfulShareResponse from TravelodgeUK, Shaf from the 
Social Media Team. at Travelodge Gatwick Airport CentralResponded 14 Nov 
2018Thank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</si>
  <si>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chepasbar wrote a review Nov 2018Canutells82 contributions44 helpful votes</t>
  </si>
  <si>
    <t>Absolutely FantasticWe’ve stayed here for years, it’s now transformed into the hotel that it 
always should have been. It’s never been terrible but now it’s come of age. 
Great rooms, great staff especially in the bar area, Maja excels as bar 
manager, knows her job. Restaurant is roomy and welcoming. First class 
refit. We done Travelodge. See you again soon, as usualRead moreDate of 
stay: November 2018HelpfulShare</t>
  </si>
  <si>
    <t>MamaDools wrote a review Nov 2018Berwick-upon-Tweed, United Kingdom35 
contributions9 helpful votes</t>
  </si>
  <si>
    <t>Excellent choice!Excellent location. Good transport link to the airport, not free but very 
reasonable compared to taxi. Good bar and restaurant. Friendly staff. 
Comfortable, spacious rooms. Would stay here again if flying from 
Gatwick.Read moreReview collected in partnership with TravelodgeDate of 
stay: November 2018HelpfulShare</t>
  </si>
  <si>
    <t>https://www.tripadvisor.co.uk/Hotel_Review-g191265-d229508-Reviews-or1385-Travelodge_Gatwick_Airport_Central-Horley_Surrey_England.html#REVIEWS</t>
  </si>
  <si>
    <t>RobertWJM wrote a review Nov 2018Leeds, United Kingdom9 contributions1 
helpful vote</t>
  </si>
  <si>
    <t>Good value for moneyHotel was great, room was modern and bed/sheets were very clean. Loads of 
parking spaces. Only issue's was that there was a small patch of surface 
mould in the bathroom and there was no bath mat meaning the floor was very 
slippy when you were getting out of shower. Other than those issues the 
hotel was still very good value for money.Read moreDate of stay: November 
2018HelpfulShare</t>
  </si>
  <si>
    <t>Jr1 wrote a review Nov 2018London, United Kingdom127 contributions42 
helpful votes</t>
  </si>
  <si>
    <t>Good Value for moneyDoes what it says on the tin. It is useful if you have an early morning 
flight or arrive back late. Check in was easy, the rooms were clean and 
tidy and the cot bed was set up as requested. The bar area wasn't too busy, 
however it is not that cheap which is to be expected for an airport 
location and there isn't much else around so most people do use it. We got 
the bus to the airport for £3, G1 or G3 from memory both go to the 
hotel.Read moreDate of stay: November 2018HelpfulShare</t>
  </si>
  <si>
    <t>morlio78 wrote a review Nov 2018Penryn, United Kingdom86 contributions8 
helpful votes</t>
  </si>
  <si>
    <t>Overall goodVery welcoming staff, clean and tidy, bar area inviting with a large 
restraunt although we didn’t use the restraunt . Rooms clean up to date 
extremely comfy beds. Shower a huge let down doesn’t come out very fast 
needs updating.Read moreDate of stay: November 2018HelpfulShare</t>
  </si>
  <si>
    <t>Elaine B wrote a review Nov 2018Gosport, United Kingdom77 contributions22 
helpful votes</t>
  </si>
  <si>
    <t>Great valueStayed overnight before a morning flight, room, large, comfy and clean. 
Evening meal and breakfast ( pay as you ate) were very good value, and 
tasty. No noise from the airport, and easy transfers on the shuttle bus 
(£3.), approx 15 minutes travel time. Would recommend and use again.Read 
moreDate of stay: October 2018HelpfulShare</t>
  </si>
  <si>
    <t>https://www.tripadvisor.co.uk/Hotel_Review-g191265-d229508-Reviews-or1390-Travelodge_Gatwick_Airport_Central-Horley_Surrey_England.html#REVIEWS</t>
  </si>
  <si>
    <t>Explore42698816339 wrote a review Nov 20181 contribution</t>
  </si>
  <si>
    <t>Mixed experienceWe stayed twice in a week. The first stay was excellent. The second stay we 
had booked three rooms. The rooms given to us had been occupied and not 
cleaned and they found two alternatives. They had no more ordinary rooms 
and i was offered a disabled room with single beds which was the only 
vacant room. If this had not been vacant the receptionist would have had to 
prepare a room. There was no TV remote in the room.I have stayed here 
before and always had a good experience but this time at 4 am in the 
morning with children in the party it was not and we had to wait until 
rooms were found.Read moreReview collected in partnership with this 
hotelDate of stay: October 2018HelpfulShare</t>
  </si>
  <si>
    <t>Incy2571 wrote a review Nov 20181 contribution</t>
  </si>
  <si>
    <t>Clean. Easy check in.Room was clean and had the necessaries. Temperature good. Beds comfy. Very 
easy check in using machine in reception. Near to airport so good when 
travelling. Have used many times before and will continue.Read moreReview 
collected in partnership with this hotelDate of stay: October 
2018HelpfulShare</t>
  </si>
  <si>
    <t>Hywel B wrote a review Nov 2018Ammanford, United Kingdom1 contribution</t>
  </si>
  <si>
    <t>Overnight stayVery convenient for the North Terminal at Gatwick.Low cost,easy check 
in,friendly staff,comfortable rooms,no outside noise,long stay parking and 
a quick transfer to the airport in the morning.What more could you 
want?Read moreReview collected in partnership with this hotelDate of stay: 
October 2018HelpfulShare</t>
  </si>
  <si>
    <t>mraj2018 wrote a review Nov 2018Birmingham, United Kingdom19 contributions8 
helpful votes</t>
  </si>
  <si>
    <t>Vastly improved HotelHave stayed here before revamp - not so pleasant - but now faultless , 
spotless room and bathroom , helpful staff and a perfect position for early 
morning flight ,plus a sensible tariff - will stay here again no doubt 
about it!Read moreDate of stay: October 20181 Helpful voteHelpfulShare</t>
  </si>
  <si>
    <t>https://www.tripadvisor.co.uk/Hotel_Review-g191265-d229508-Reviews-or1395-Travelodge_Gatwick_Airport_Central-Horley_Surrey_England.html#REVIEWS</t>
  </si>
  <si>
    <t>GlobeTrotting592309 wrote a review Nov 20181 contribution</t>
  </si>
  <si>
    <t>Great short stay if flying from GatwickVery short travel from Gatwick airport. A little tricky to find entrance 
via satnav in the dark. Everything in room was clean, except the bathroom 
that must have had just a quick wipe over (dirty sink and dirt in the 
corners of floor). However, it was extremely good value and provided a 
comfy bed and good breakfast.Read moreReview collected in partnership with 
TravelodgeDate of stay: October 2018HelpfulShare</t>
  </si>
  <si>
    <t>993wendy wrote a review Nov 2018Derry, United Kingdom9 contributions4 
helpful votes</t>
  </si>
  <si>
    <t>stay in the Gatwick travelodgethe travelodge was great, the only thing was that when it says you can walk 
to it.( you can )BUT DONT it is not safe,you have to take a taxi or the 
shuttle bus, but the shuttle buses dont run late at night.Read moreReview 
collected in partnership with TravelodgeDate of stay: October 
2018HelpfulShare</t>
  </si>
  <si>
    <t>kristian s wrote a review Nov 20182 contributions1 helpful vote</t>
  </si>
  <si>
    <t>Very good but has problemsBooked a superior room in this refurbished hotel. Very nice hotel but let 
down by issuesThe superior room was advertised with a coffee pod machine. 
No machine in room and instead a heavily water marked kettle.The bar was 
nice but staff off duty were drunk sat at bar moaning about their hours and 
the staff on duty were more concerned about serving themThe room was very 
hot but unable to turn it down as the thermostat set by hotelRead 
moreReview collected in partnership with TravelodgeDate of stay: November 
2018HelpfulShare</t>
  </si>
  <si>
    <t>https://www.tripadvisor.co.uk/Hotel_Review-g191265-d229508-Reviews-or1400-Travelodge_Gatwick_Airport_Central-Horley_Surrey_England.html#REVIEWS</t>
  </si>
  <si>
    <t>dollar1278 wrote a review Nov 2018Birmingham, United Kingdom7 
contributions2 helpful votes</t>
  </si>
  <si>
    <t>Cold foodBooked breakfast as we had an early flight My family was some of the 1st 
people to enter the dining room in the morning, couldn’t get a drink 
because the key in the machine wasn’t activated When we went to get our 
breakfast it was all cold and I mean stone cold When asking a member of 
staff (Chef) he just threw up he’s hands and walked off We had to leave to 
get the flight , so no breakfast When checking out we found out from 
reception that he had forgot to put the heating lamps on So rude we won’t 
be stopping againRead moreDate of stay: October 2018HelpfulShareResponse 
from TravelodgeUK, Shaf from the Social Media Team. at Travelodge Gatwick 
Airport CentralResponded 8 Nov 2018Thank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</si>
  <si>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Coastal26731952038 wrote a review Nov 20181 contribution1 helpful vote</t>
  </si>
  <si>
    <t>Travelodge StayVery clean for a good price, only a few minutes from the airport, the pizza 
downstairs was very good and you could always ask for a water if you 
needed. The bed was so comfortable and reception was helpful without even 
having to ask for advice or extra help.Read moreReview collected in 
partnership with TravelodgeDate of stay: November 20181 Helpful 
voteHelpfulShare</t>
  </si>
  <si>
    <t>Sidina C wrote a review Nov 2018Ilkeston, United Kingdom52 contributions13 
helpful votes</t>
  </si>
  <si>
    <t>Great locality for the aiportMake sure you know exactly where the hotel is as the signage isn't very 
good. The room was clean and the bed was comfortable. The staff were 
friendly and informative. The bathroom was clean and the shower worked 
perfectly. The only problem was that the shower curtain hung outside the 
shower and made the floor very wet, there wasn't a bathmat to soak it up so 
the floor could be slippery. The breakfast was good plenty of choice.Read 
moreReview collected in partnership with TravelodgeDate of stay: November 
2018HelpfulShare</t>
  </si>
  <si>
    <t>Ruby T wrote a review Nov 2018London, United Kingdom6 contributions4 
helpful votes</t>
  </si>
  <si>
    <t>Basic good value, but cold and dampWe booked in for one night because of a very early flight the next morning 
and it was extremely reasonably priced. The self check-in worked easily and 
quickly and check-out was just as simple. The bed was clean and comfy, but 
the room was very cold and we couldn’t get the heater to work. The bathroom 
had a damp smell. I might stay again in the same situation, but I’d also 
look at other airport hotels first. Don’t forget the shuttle bus between 
the hotel and airport costs £3 each way, so for two people that added £12 
onto the stay.Read moreReview collected in partnership with TravelodgeDate 
of stay: November 2018HelpfulShare</t>
  </si>
  <si>
    <t>https://www.tripadvisor.co.uk/Hotel_Review-g191265-d229508-Reviews-or1405-Travelodge_Gatwick_Airport_Central-Horley_Surrey_England.html#REVIEWS</t>
  </si>
  <si>
    <t>https://www.tripadvisor.co.uk/Hotel_Review-g186338-d1812157-Reviews-or845</t>
  </si>
  <si>
    <t>Vacation34779087240 wrote a review Nov 20182 contributions1 helpful vote</t>
  </si>
  <si>
    <t>Rude and abnoxious receptionist.Fiona was completely rude and condescending to us but also the people 
before us and if it wasnt already late we would have booked a room else 
where... frosty reception excuse the pun but she needs some form of 
training..! Customer service to me is going above and beyond - that was too 
much to ask of her. It’s true what they say good staff is hard to find 
these days.Read moreDate of stay: November 20181 Helpful 
voteHelpfulShareResponse from TravelodgeUK, Charley from the Social Media 
Team at Travelodge Gatwick Airport CentralResponded 21 Nov 2018Thank you 
for submitting your review of our Gatwick Airport Central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t>
  </si>
  <si>
    <t>Jan M wrote a review Nov 2018Harrogate, United Kingdom86 contributions50 
helpful votes</t>
  </si>
  <si>
    <t>Extra charge for car parkPretty convenient for the airport. Standard Travelodge room and 
experience.Hot breakfast looked unappetising and continental was fairly 
limited.Car parking adds nearly 20% to your cost but is paid separately and 
there is a massive fine if you forget to pay &amp; displayRead moreReview 
collected in partnership with TravelodgeDate of stay: October 
2018HelpfulShare</t>
  </si>
  <si>
    <t>Venture38861674054 wrote a review Nov 2018Munich, Germany1 contribution1 
helpful vote</t>
  </si>
  <si>
    <t>I imagine this is what going to prison feels like.Uncomfortable stay. I imagine this is what going to prison feels like. 
Nickle &amp; dimed for shuttle and wifi. Expensive parking. Tiny room, long 
hallways with impractical fire doors while carrying luggage. There are 
better options nearby from other hotel brands.Read moreReview collected in 
partnership with TravelodgeDate of stay: November 20181 Helpful 
voteHelpfulShareResponse from TravelodgeUK, Ben from the Social Media Team 
at Travelodge Gatwick Airport CentralResponded 7 Nov 2018Thank you for 
taking the time to write a review about our Gatwick Airport Central hotel. 
We are sorry to learn of your disappointment with your stay. Feedback is 
invaluable and our Hotel Managers regularly review their TripAdvisor 
reviews in order to fix any issues raised and pass on feedback to their 
team. Thank you once again and we do hope you will stay with us in the 
future.Read more</t>
  </si>
  <si>
    <t>Sergi E wrote a review Nov 2018Barcelona, Spain7 contributions2 helpful 
votes</t>
  </si>
  <si>
    <t>Nice and cheap near Gatwick airportThe hotel is very good for its prize. Only that you have to take the bus to 
go from and to the airport which 3 more pounds for trip. Also, you have to 
pay for the wifi. You have restaurant inside the hotel, although the choice 
is limited: pizzas, burgers and some dishes.Read moreReview collected in 
partnership with TravelodgeDate of stay: November 2018HelpfulShare</t>
  </si>
  <si>
    <t>https://www.tripadvisor.co.uk/Hotel_Review-g191265-d229508-Reviews-or1410-Travelodge_Gatwick_Airport_Central-Horley_Surrey_England.html#REVIEWS</t>
  </si>
  <si>
    <t>jdawg86 wrote a review Nov 2018glasgow, Scotland8 contributions5 helpful 
votes</t>
  </si>
  <si>
    <t>Disgusting and traumatic stay - unwashed towels with excrement on them, 
dirty beds and unclean roomsI had a room booked on 3 November for one night and arrived, checked in and 
was given room 118. After noticing a lot of small flies in the room and 
killing at least six of them after being bitten on my hands, I asked for 
another room and was given 150. I had a shower and as I was drying off, I 
noticed excrement on the towel I had just used on my body. The other towel 
in the room also had poo on it as did the toilet roll. I pulled the bed 
back and saw not only hairs (which were also in the bathroom) but what I 
can only guess is ejaculation from a previous guest on the seats...I 
immediately went downstairs to show a member of staff the room and felt 
disgusting and filthy and just wanted another shower. The employee who 
helped me diffused the situation well and was also shocked…Read moreDate of 
stay: November 20182 Helpful votesHelpfulShareResponse from TravelodgeUK, 
Tilly from the Social Media Team at Travelodge Gatwick Airport 
CentralResponded 12 Nov 2018Thank you for taking the time to review our 
Gatwick Airport Central hotel. We are really sorry to hear that you had 
many issues during your stay with us. We strive to offer the best service 
possible for our guests so please accept our apologies that we did not 
succeed in doing so on this occasion. We have passed on your feedback to 
the hotel. As your experience was not up to our usual high standards, may 
we kindly ask you to contact one of our Customer Service team with your 
review via our website help form to look into this more thoroughly. Thank 
you again for reviewing our hotel.Read more</t>
  </si>
  <si>
    <t>sheri k wrote a review Nov 2018London, United Kingdom28 contributions5 
helpful votes</t>
  </si>
  <si>
    <t>Really nice stay pre flight.Stayed here with husband and 17yr old daughter to see hubby off early in 
the AM. Arrived about 9pm, parking lot almost full (paid £8 on the 
Travelodge website in advance to avoid hassle). Room nice and clean, and 
still managed to get pizzas and drinks to bring to the room. Lovely, 
helpful staff. Not noisy at all for such a large hotel. Minutes away from 
the passenger drop so early morning flight was easy peasy.Read moreDate of 
stay: October 2018HelpfulShare</t>
  </si>
  <si>
    <t>pawilby wrote a review Nov 2018Isle of Wight, United Kingdom30 
contributions23 helpful votes</t>
  </si>
  <si>
    <t>holiday returnhotel is well situated to terminals, well priced. Only some minor problems, 
bed side cabinet had old cup stain on it, at breakfast not enough cups or 
glasses and as for the coffee machine most guests struggled to get a cup 
out off it without a member of staff having to open it up and fiddle with 
it. The evening bar food was good as was the breakfastRead moreReview 
collected in partnership with TravelodgeDate of stay: November 
2018HelpfulShare</t>
  </si>
  <si>
    <t>https://www.tripadvisor.co.uk/Hotel_Review-g191265-d229508-Reviews-or1415-Travelodge_Gatwick_Airport_Central-Horley_Surrey_England.html#REVIEWS</t>
  </si>
  <si>
    <t>Tourist66748572611 wrote a review Nov 2018Glasgow, United Kingdom2 
contributions</t>
  </si>
  <si>
    <t>Excellent hotelWe stayed in London for the weekend after a holiday abroad. The staff were 
all friendly. The receptionists were very helpful, even printing our 2 for 
1 London attraction tickets for us and the whole hotel was spotless. The 
breakfast and dinner were good quality, value for money and tasted lovely. 
It catered for even the fussiest of eaters. Would def recommend. Even worth 
the extra travel time into London to stay here. A shuttle bus takes you 
from hotel door to train station at Gatwick Airport so straight into London 
or 5 mins to your flight.Read moreReview collected in partnership with 
TravelodgeDate of stay: October 2018HelpfulShare</t>
  </si>
  <si>
    <t>Nat-tash30 wrote a review Nov 20184 contributions2 helpful votes</t>
  </si>
  <si>
    <t>Health and safety breached, fire safety regulations breached, faulty 
dangerous equipment usedIesha in reception welcomed us but could not seem to understand the 
importance of equipment been safe &amp;comply with firesafety regulations b4 
giving it to customers for use, then blaming manager Francisco for her 
actions. Steph manager couldn't care less about customer service, was quick 
to jump to conclusions and think customers lie, then no apology from staff 
just fobbed off will take my complaint further as I have pictures and 
videos of customers health and safety been breached and equipment been used 
which does not comply with fire safety regulations.Read moreReview 
collected in partnership with TravelodgeDate of stay: November 
2018HelpfulShareResponse from TravelodgeUK, Shaf from the Social Media 
Team. at Travelodge Gatwick Airport CentralResponded 5 Nov 2018Thank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</si>
  <si>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jaysouthuk wrote a review Nov 2018Worthing, United Kingdom58 
contributions107 helpful votes</t>
  </si>
  <si>
    <t>Good Travelodge hotelWe often use this hotel as its very good value for money. This time we had 
a problem with the hot water in our room, however the problem was sorted 
out very quickly by Olivia on reception, who arranged another room for us 
not too far away. Make sure you have cash for the airport bus as the ATM in 
reception now charges.Read moreDate of stay: October 2018HelpfulShare</t>
  </si>
  <si>
    <t>79jaimie wrote a review Nov 2018Portsmouth, United Kingdom9 contributions12 
helpful votes</t>
  </si>
  <si>
    <t>Airport stay.Arrived late with my 5 year old in tow! Clean room and public areas. We 
used this as we arrived late at airport and needed to get a train in the 
morning. Room had appeared to have had a recent upgrade however the bath 
was not appealing!! Enough bedding to sleep 2 adults and 2 kids. We could 
see the planes landing but couldn’t hear them!!The breakfast was plentiful 
and lots of choices. Dining room was kept clean and staff removed used 
dishes etc from your table. There is a bus that connects to airport £3 
adult £1.50 child each way. On the hotel info, they recommend a taxi firm 
that charge £6 to airport each way, so if there is more than 2 adults this 
may be more economical!!Read moreDate of stay: October 2018HelpfulShare</t>
  </si>
  <si>
    <t>https://www.tripadvisor.co.uk/Hotel_Review-g191265-d229508-Reviews-or1420-Travelodge_Gatwick_Airport_Central-Horley_Surrey_England.html#REVIEWS</t>
  </si>
  <si>
    <t>Hollibobs45 wrote a review Nov 2018London, United Kingdom36 contributions8 
helpful votes</t>
  </si>
  <si>
    <t>BEWARE THE POORLY LIT ROADFirst things first: Travelodge room upgrades of late are good and welcome. 
My only quibble on the rooms are the very basic shower cubicle but then you 
are getting it cheap, so can make do. Windows do not open- this always 
bothers me. Restaurant downstairs is actually a pleasant environment for 
breakfast. Prebooked parking for one night also helpful (and turned out to 
be essential given 1x broken machine owned by Apcoa and 1x machine with 
instruction that are unclear how to pay and impossible to see in the dark.) 
The big problem is as follows, which caused me additional expense of over 
£200 and which Travelodge ‘take no responsibility for’. The hotel entrance 
road has a serious hazard of poor lighting leading to the hotel. Late entry 
in the dark needed full beam. On the way out…Read moreDate of stay: October 
2018HelpfulShareResponse from TravelodgeUK, Molly from the Social Media 
Team at Travelodge Gatwick Airport CentralResponded 4 Nov 2018Thank you for 
taking the time to review our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t>
  </si>
  <si>
    <t>John_Fox_Adventures wrote a review Nov 2018Gorey, United Kingdom19 
contributions4 helpful votes</t>
  </si>
  <si>
    <t>Overnight stayStayed here en route to our holiday destination. An ideal stop over hotel 
and good for all age groups, clean, tidy with friendly staff. The bedrooms 
provide what you need and has easy access to and from Gatwick Airport.Read 
moreDate of stay: October 2018HelpfulShare</t>
  </si>
  <si>
    <t>Billie996 wrote a review Nov 2018Liverpool, United Kingdom1 contribution</t>
  </si>
  <si>
    <t>Very good value for money.I was very happy with my stay at the travelodge. I have never stayed at the 
travelodge before but I am very impressed. My room was very clean and tidy 
and the staff were very kind and polite. My stay was very comfortable and I 
had no problems at all. I will be staying here again in future. Its also 
very good value for money.Read moreReview collected in partnership with 
TravelodgeDate of stay: October 2018HelpfulShare</t>
  </si>
  <si>
    <t>https://www.tripadvisor.co.uk/Hotel_Review-g191265-d229508-Reviews-or1425-Travelodge_Gatwick_Airport_Central-Horley_Surrey_England.html#REVIEWS</t>
  </si>
  <si>
    <t>SaraW350 wrote a review Nov 2018Cornwall, United Kingdom21 contributions20 
helpful votes</t>
  </si>
  <si>
    <t>Fire disruption ruined stayStayed here for one night on return from holiday. Fire alarm went off at 
0515, hotel evacuated, luckily everyone kept calm, but no sign of any 
staff, very poor organisation. Turned out there was a fire in a 2nd floor 
room. We were kept out in the car park, in the freezing cold, for over an 
hour, with no information or assistance; many people (including elderly &amp; 
disabled) only wearing nightwear/ thin summer clothes. Eventually, after 
around 45 minutes, a member of staff brought out some sheets for us to wrap 
around ourselves, not much use! On checking out at reception next morning, 
I was offered no explanation, apology or compensation for the disruption, 
just told I was "lucky" to get out in time! I also reported being nearly 
scalded in the shower in my room, as the…Read moreDate of stay: October 
20181 Helpful voteHelpfulShareResponse from TravelodgeUK, Ben from the 
Social Media Team at Travelodge Gatwick Airport CentralResponded 22 Nov 
2018Thank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t>
  </si>
  <si>
    <t>The Keys wrote a review Nov 20188 contributions</t>
  </si>
  <si>
    <t>Easy access to airportWell placed, shuttle service really good. Rooms surprisingly quiet. Seems 
to have recent makeover so very good standard. Easy walking distance to 
nice pub in Horley if you want to get off site for a while.Read moreReview 
collected in partnership with this hotelDate of stay: October 
2018HelpfulShare</t>
  </si>
  <si>
    <t>https://www.tripadvisor.co.uk/Hotel_Review-g191265-d229508-Reviews-or1430-Travelodge_Gatwick_Airport_Central-Horley_Surrey_England.html#REVIEWS</t>
  </si>
  <si>
    <t>Teresa M wrote a review Nov 2018scole11 contributions5 helpful votes</t>
  </si>
  <si>
    <t>BrilliantWe stayed here over night before a very early morning flight. On arrival we 
were greeted by very helpful friendly staff. The room itself was massive 
and spotless and altho we could see the run way we heard no aircraft 
whatsoever. I have stayed in a few travel inns and this was the best one by 
far that I've ever slept in. Definitely would recommend this.Read 
moreReview collected in partnership with this hotelDate of stay: September 
2018HelpfulShare</t>
  </si>
  <si>
    <t>MaggieW101 wrote a review Nov 2018Kaltenkirchen, Germany19 contributions25 
helpful votes</t>
  </si>
  <si>
    <t>Better than expected!After reading some negative reviews I was expecting a disappointing stay. 
Thankfully it wasn't. Over the years we've stayed in Travelodges around the 
UK but I must say this was a much better experience. The room was 
comfortable and surprisingly quiet. The bed was clean and I actually got a 
fairly good nights sleep after arriving late in the evening. We had 
breakfast and it was more than adequate. So all in all not bad stay for a 
budget airport hotel.Read moreDate of stay: October 2018HelpfulShare</t>
  </si>
  <si>
    <t>Crysannia wrote a review Oct 2018Nottingham, United Kingdom111 
contributions56 helpful votes</t>
  </si>
  <si>
    <t>Pleasantly surprised!Probably the best Travelodge ive stayed in. Great staff, big, clean rooms 
with great coffee and tea facilities. Very new building and 5 mins from the 
airport by Taxi. Good breakfast. Zero complaints from me!Read moreReview 
collected in partnership with this hotelDate of stay: October 
2018HelpfulShare</t>
  </si>
  <si>
    <t>https://www.tripadvisor.co.uk/Hotel_Review-g191265-d229508-Reviews-or1435-Travelodge_Gatwick_Airport_Central-Horley_Surrey_England.html#REVIEWS</t>
  </si>
  <si>
    <t>Christine W wrote a review Oct 20183 contributions</t>
  </si>
  <si>
    <t>Surprised and delighted with stayI loved this travelodge, spacious, convenient for London but cheaper than 
London, Outstanding staff and I travel a lot. Food of high standard. 
everything ran smoothly.What a great team. Well done. You gave my Latvian 
friend an excellent tine in Uk. SHe was delighted. I loved the space, the 
food, My peaceful room, the ease to get to the airport.10/14 mins away by 
bus,,very regular and drivers courteous and friendly..Read moreReview 
collected in partnership with TravelodgeDate of stay: October 
2018HelpfulShare</t>
  </si>
  <si>
    <t>linda19652018 wrote a review Oct 2018Portsmouth, United Kingdom17 
contributions1 helpful vote</t>
  </si>
  <si>
    <t>ExcellentWe had a downstairs room really large,lovely comfy bed, clean everything 
you needed. Food in restaurant was good done the meal deal only had dinner 
as left on early flight before breakfast. Easy to get transfer just outside 
door would definitely recommendRead moreReview collected in partnership 
with this hotelDate of stay: October 2018HelpfulShare</t>
  </si>
  <si>
    <t>Sightsee53733006131 wrote a review Oct 2018Isles of Scilly, United Kingdom1 
contribution</t>
  </si>
  <si>
    <t>No human contact required unless it is required!Easy to get to by bus from Gatwick airport,i caught the no G3 from stop no 
8. Checked in using the self service machine inside door which prints out 
your room no and issues the key card. Found room using card to access the 
lifts. Room was a good temperature and had a light on which was welcoming. 
Good sized bathroom and room with all I needed for the few short hours i 
was there for. The bed was the highlight as it was so comfortable after a 
long day travelling , good thick curtains so sleep was easy. I would 
recommend this place as a convenient in expensive clean and comfortable 
place to stay.Read moreReview collected in partnership with this hotelDate 
of stay: October 2018HelpfulShare</t>
  </si>
  <si>
    <t>Maggie A wrote a review Oct 2018Ivybridge, United Kingdom2 contributions</t>
  </si>
  <si>
    <t>Value for money stayGreat place to stay at Gatwick. Comfortable bed and room big enough for 
family if required. Good breakfast apart from no fried eggs please add 
these to the menu. Kit kats with tea and coffee in room a nice touch.Read 
moreReview collected in partnership with this hotelDate of stay: October 
2018HelpfulShare</t>
  </si>
  <si>
    <t>https://www.tripadvisor.co.uk/Hotel_Review-g191265-d229508-Reviews-or1440-Travelodge_Gatwick_Airport_Central-Horley_Surrey_England.html#REVIEWS</t>
  </si>
  <si>
    <t>Debra L wrote a review Oct 2018Deal, United Kingdom28 contributions11 
helpful votes</t>
  </si>
  <si>
    <t>Repeat visitStay here regularly when travelling for work - super rooms are clean 
comfortable and spacious with great linen and pillows and the refurbishment 
of the dining area has made a huge improvement- would recommendRead 
moreReview collected in partnership with this hotelDate of stay: October 
2018HelpfulShare</t>
  </si>
  <si>
    <t>Compass06268970230 wrote a review Oct 20182 contributions</t>
  </si>
  <si>
    <t>IDEAL FOR EARLY MORNING FLIERSClose to Gatwick. Good, reasonably priced food, served quickly and 
efficiently. Staff excellent, friendly and helpful. Hotel quiet for those 
retiring early. All-in-all, a perfect stopping off place for those leaving 
on an early flight.Read moreReview collected in partnership with 
TravelodgeDate of stay: October 2018HelpfulShare</t>
  </si>
  <si>
    <t>Gordon C wrote a review Oct 2018Plymouth, United Kingdom72 contributions22 
helpful votes</t>
  </si>
  <si>
    <t>Close to what I expected except for car park chargesYou usually know what you get from Travelodge. This one was a little 
surprising. The building, room, bar was a good standard. Excellent price. I 
have stuck with travelodge for always now after trying an alternative.Not 
much information given by reception regarding bar, meals availability etc. 
But biggest shock was £8 car parking charge that I managed to spot by luck. 
If I didn’t see it I’m sure I would have received a fine. I was only 
looking for a 4-5 hour short stay as my flight was early. I think the 
reception staff should let you know about parking charges and not assume 
you know. Other travelodges take your registration number.Read moreReview 
collected in partnership with TravelodgeDate of stay: October 
2018HelpfulShare</t>
  </si>
  <si>
    <t>https://www.tripadvisor.co.uk/Hotel_Review-g191265-d229508-Reviews-or1445-Travelodge_Gatwick_Airport_Central-Horley_Surrey_England.html#REVIEWS</t>
  </si>
  <si>
    <t>Corfemullen wrote a review Oct 20183 contributions</t>
  </si>
  <si>
    <t>Good value hotel but a little noisyChecked in on a Friday night with an early flight from Gatwick Saturday 
morning. It was easy to find with plenty of parking. Rooms are very clean 
and comfortable with a good shower and conveniently close to the airport at 
a reasonable price. Check parking is included as we were surprised on 
arrival to have to pay £8 for our overnight stop. It is a very busy hotel 
so if you are looking for a quiet night's sleep you might want to 
reconsider.Read moreDate of stay: October 2018HelpfulShare</t>
  </si>
  <si>
    <t>Emma P wrote a review Oct 2018Nottingham, United Kingdom49 contributions10 
helpful votes</t>
  </si>
  <si>
    <t>Rude receptionist.We stayed here the night before a flight. I really like travelodges and we 
stay in them quite often. This particular hotel is a big one and looks very 
clean and modern. There is a big carpark which was very full but we did 
manage to find a space. It cost £8 to park, the payment machine is at the 
main entrance to the hotel and you have to put a ticket in your window 
which is a bit of a pain when your carrying sleeping kids and luggage. We 
arrived late and my youngest son was fast asleep, my husband carried him in 
as I tried to check in at the self check-in machines. It froze half way 
through and I had to go to the main reception desk. The queue was huge and 
lots of people were attempting to check in at the self service machines but 
then ended up joining the queue so there was…Read moreDate of stay: October 
2018HelpfulShare</t>
  </si>
  <si>
    <t>https://www.tripadvisor.co.uk/Hotel_Review-g191265-d229508-Reviews-or1450-Travelodge_Gatwick_Airport_Central-Horley_Surrey_England.html#REVIEWS</t>
  </si>
  <si>
    <t>Graeme K wrote a review Oct 2018Sevastopol Municipality155 contributions81 
helpful votes</t>
  </si>
  <si>
    <t>OK for locationFirst time staying since the upgrade but usually stay 3-4 nights 3 on this 
occasion. Ground floor room which is fine so don't have bother with the 
lifts but looking into the service tunnel and with having no net curtains 
had to keep the curtains closed all the time or people walking past looked 
right into the room. At night the lights were on so they also shone through 
the curtains. The A/C was either on or off no other function worked but at 
night had to be off due to the noise it made of the gasses gurgling through 
it. The room was clean though and so was the bedding and towels. Went for a 
meal and ordered the steak and ale pudding This was deliverd very quickly 
which is good for such a high turnover airport kitchen. However the pudding 
was ok as I guess it came from a tin but…Read moreDate of stay: October 
2018HelpfulShare</t>
  </si>
  <si>
    <t>Pam21707 wrote a review Oct 2018Toddington, United Kingdom28 
contributions12 helpful votes</t>
  </si>
  <si>
    <t>Tavelodge Gatwick AirportThe Travelodge Reception staff were extremely friendly and helpful. Great 
location for Gatwick airport. Very clean and rooms comfortable. I would 
recommend staying here and will certainly book again. Easy transport to the 
airport too.Read moreReview collected in partnership with TravelodgeDate of 
stay: October 20181 Helpful voteHelpfulShare</t>
  </si>
  <si>
    <t>https://www.tripadvisor.co.uk/Hotel_Review-g186338-d1812157-Reviews-or850</t>
  </si>
  <si>
    <t>cpwd92 wrote a review Oct 2018Cannock, United Kingdom41 contributions13 
helpful votes</t>
  </si>
  <si>
    <t>Not exceptionally well cleaned or maintainedWe recently stayed in this hotel prior to flying out early of Gatwick 
airport. We knew there would be a fee for parking but we're not expecting 
to have to pay £8 for 24 hours when we were only staying for under 12 hours 
in total.As we walked into the room it appeared clean however the bathroom 
was covered in black hairs which I had to clean out myself before having a 
shower. Further to this the water pressure was next to nothing and I would 
have been better standing out in the rain!Trying to sleep in the room was 
another issue, there was constant creaking coming from the bed and if you 
wanted the air con on you had to deal with a bright green light shining at 
you.This is most disappointing as I have stayed in many travelodge hotels 
but this is by far very disappointing.Read moreReview collected in 
partnership with TravelodgeDate of stay: October 2018HelpfulShare</t>
  </si>
  <si>
    <t>https://www.tripadvisor.co.uk/Hotel_Review-g191265-d229508-Reviews-or1455-Travelodge_Gatwick_Airport_Central-Horley_Surrey_England.html#REVIEWS</t>
  </si>
  <si>
    <t>GDW wrote a review Oct 2018Gravesend, England, United Kingdom5 
contributions2 helpful votes</t>
  </si>
  <si>
    <t>Good value hotel with easy access to Gatwick NorthWe decided to book this Hotel after experiencing the M25 a few days before. 
The self service check in was not working which made the check in desk 
rather busy, but apart from this the Hotel suited our needs. Our room was 
clean, comfortable and quiet allowing us to get a good night's sleep before 
catching our early morning flight the next day. The bar and restaurant were 
more than adequate for a one night stay and the staff we dealt with were 
very helpfull. There is also a regular 15 minute shuttle bus to both 
Gatwick Terminals (£3.50 an Adult). I would book this Hotel again.Read 
moreDate of stay: October 2018HelpfulShare</t>
  </si>
  <si>
    <t>Elaine M wrote a review Oct 2018Colchester, United Kingdom11 contributions6 
helpful votes</t>
  </si>
  <si>
    <t>Very convenient, comfortable hotel.I stayed for one night on my own before heading home after an evening 
flight. The hotel staff are very helpful. The room was large and 
comfortable. The restaurant and bar were very good. Food was great. I did 
not feel worried about being on my own there. I did not have a hairdryer 
and asked at reception and was given one to use. Very happy with my 
stay.Read moreReview collected in partnership with TravelodgeDate of stay: 
October 2018HelpfulShare</t>
  </si>
  <si>
    <t>Simpson9619 wrote a review Oct 2018South West England, United Kingdom3 
contributions3 helpful votes</t>
  </si>
  <si>
    <t>Be prepared to not have a room available!!I booked the Gatwick Airport Travelodge on 16/09/18 for arrival on 3/10/18. 
After travelling for 5 hours, I went to check in early hours of the morning 
(just before 1am)- looking forward to sleep before my flight. However when 
I arrived I was told that there were no rooms available?! Travelodge did 
not even have the decency to inform me about this via phone or email. 
Apparently, this is a regular occurrence this hotel, as they book 10% over 
in hope that people will cancel or not show up. We had to wait around for 
nearly an hour to find out from head office where they were going to put 
us. Around 2am head office emailed the staff at Gatwick Airport to situate 
myself and 4/5 other couples into the super room's at the same hotel.. This 
meant taking someone else's pre-booked room,…Read moreDate of stay: October 
2018HelpfulShare</t>
  </si>
  <si>
    <t>geraldineforward wrote a review Oct 2018Sitges, Spain1 contribution</t>
  </si>
  <si>
    <t>Exceeded my expectationsI booked this online as a cheap and cheerful night before flying out of 
gatwick. I extremely pleased with the condition of the hotel, the staff and 
the food. I really couldn't fault it and would definitely stay again if the 
situation arose.Read moreReview collected in partnership with 
TravelodgeDate of stay: October 2018HelpfulShare</t>
  </si>
  <si>
    <t>https://www.tripadvisor.co.uk/Hotel_Review-g191265-d229508-Reviews-or1460-Travelodge_Gatwick_Airport_Central-Horley_Surrey_England.html#REVIEWS</t>
  </si>
  <si>
    <t>NottinghamDeany wrote a review Oct 2018Nottingham5 contributions3 helpful 
votes</t>
  </si>
  <si>
    <t>Great valueStayed the day before my flight, its the first time I've stayed in a 
Travelodge and was very impressed,receptionist was very friendly although 
the lady didn't tell me were my room was and how to get their, the bar 
prices are reasonable with the happy hour promotions, the two girls on the 
bar very nice and polite. Had a meal in the restaurant food was a little 
slow coming out but tasted great so it don't really matter. The bar and 
restaurant are refurbished to a fantastic standard. The rooms are very 
spacious and spotless and comfortable. Yes the fire alarm did go off at 
about 4.30am but you just head to the assembly point outside the hotel, 
don't worry about the communication who cares just get out the hotel simple 
as that, fire engines were quick to respond to the emergency and…Read 
moreDate of stay: October 2018HelpfulShare</t>
  </si>
  <si>
    <t>juliekpryce wrote a review Oct 2018Calgary, Canada1 contribution</t>
  </si>
  <si>
    <t>Overnight stay at GatwickI stay at this hotel when I fly from Canada approximately once a year. This 
was my fourth stay and each time it has been a very stress free and 
relaxing overnight stay. The airport shuttle to the hotel is quite 
convenient at a cost of only 3 pounds each way. The hotel is always clean 
and quiet. Because of my good experiences at this hotel I now look for 
Travelodge hotels wherever I go and have recommended them to family 
also.Read moreReview collected in partnership with this hotelDate of stay: 
September 2018HelpfulShare</t>
  </si>
  <si>
    <t>Lizzi71 wrote a review Oct 2018Waterlooville, United Kingdom106 
contributions21 helpful votes</t>
  </si>
  <si>
    <t>Great place to stay near the airportWe have stayed a few times and the refurb is great, really clean, beds are 
comfy, food in the restaurant is really good and not extortionately priced 
either. Only gripe is the shower curtain - would prefer a door as the 
curtain stuck to us!Read moreReview collected in partnership with this 
hotelDate of stay: October 2018HelpfulShare</t>
  </si>
  <si>
    <t>ELIZABETH R wrote a review Oct 2018Derby, United Kingdom7 contributions</t>
  </si>
  <si>
    <t>Clean convenient good priceLink bus quick and efficient Travel Lodge room clean, spacious and 
comfortable. Dinner in the restaurant perfectly acceptable reasonably 
priced. Quick check in and out. Booked well in for a very good price.Read 
moreReview collected in partnership with this hotelDate of stay: September 
2018HelpfulShare</t>
  </si>
  <si>
    <t>Sightseer702750 wrote a review Oct 20181 contribution</t>
  </si>
  <si>
    <t>Overnight stayEverything went well everyone were helpful the carpark was a great idea 
breakfast was very good room clean they got us a taxi to travel to the 
airport we feel at ease to travel to America the next morningRead 
moreReview collected in partnership with this hotelDate of stay: October 
2018HelpfulShare</t>
  </si>
  <si>
    <t>https://www.tripadvisor.co.uk/Hotel_Review-g191265-d229508-Reviews-or1465-Travelodge_Gatwick_Airport_Central-Horley_Surrey_England.html#REVIEWS</t>
  </si>
  <si>
    <t>ChrisandStuart wrote a review Oct 2018Gloucester, United Kingdom29 
contributions20 helpful votes</t>
  </si>
  <si>
    <t>Gatwick central TravelodgeBooked hotel and car park before our holiday. Everything was great, room 
comfortable and bus service to airport quick and reliable. We ate our 
evening meal at the hotel restaurant and it was very nice.Read moreReview 
collected in partnership with this hotelDate of stay: October 
2018HelpfulShare</t>
  </si>
  <si>
    <t>r_bacon23 wrote a review Oct 2018London Colney, United Kingdom3 
contributions6 helpful votes</t>
  </si>
  <si>
    <t>Our stays at TravelodgeSince the upgrade of this travelodge our stay was most enjoyable. Rooms 
spotless and comfortable. The staff were very helpful nothing too much 
trouble, will certainly be returning to this and other Travelodge hotels. 
Thank you,Read moreReview collected in partnership with this hotelDate of 
stay: October 2018HelpfulShare</t>
  </si>
  <si>
    <t>https://www.tripadvisor.co.uk/Hotel_Review-g191265-d229508-Reviews-or1470-Travelodge_Gatwick_Airport_Central-Horley_Surrey_England.html#REVIEWS</t>
  </si>
  <si>
    <t>jayneo899 wrote a review Oct 2018London, United Kingdom5 contributions1 
helpful vote</t>
  </si>
  <si>
    <t>Over nighterconvenient shuttle to hotel from stand 8 at gatwick had to wait around 20 
minsRoom clean bed comfy would of been a 5 if breakfast had been available 
when i came down at 10am i was not told at reception it finished at 10am. I 
did not arrive till nearly midnight but all in all a pleasant over night 
stayRead moreReview collected in partnership with this hotelDate of stay: 
October 2018HelpfulShare</t>
  </si>
  <si>
    <t>oistone wrote a review Oct 20181 contribution</t>
  </si>
  <si>
    <t>Really nice great value.We stayed for one night only but the staff were really helpful and transfer 
to airport was so easy, the bus stopped right outside the door. The room 
was lovely and clean. Would definitely stay here again.Read moreReview 
collected in partnership with this hotelDate of stay: October 
2018HelpfulShare</t>
  </si>
  <si>
    <t>Barrie J wrote a review Oct 2018Isle of Wight, United Kingdom24 
contributions1 helpful vote</t>
  </si>
  <si>
    <t>Does what it says on the tinGood hotel well situated for the airport and as ever, consistant with the 
travelodge hotel brand. Good to very good. Only issue as we arrived late 
finding a carpark space was a challenge. Plenty of room in the 
restaurant.Read moreReview collected in partnership with this hotelDate of 
stay: September 2018HelpfulShare</t>
  </si>
  <si>
    <t>Patdardis23 wrote a review Oct 2018London, United Kingdom1 contribution</t>
  </si>
  <si>
    <t>Sky sportsOnly a bit disappointed as we booked days before hoilday co my husband was 
was going on and on about a football game he can’t miss thinking your have 
sky sports got there hour before game so we can have drink in bar got there 
for you only to have BT omg it was like the end of the world for him he was 
not happy apart from that fine but if your going to put kettle in room with 
tea bags think milk will helpRead moreReview collected in partnership with 
this hotelDate of stay: October 2018HelpfulShare</t>
  </si>
  <si>
    <t>https://www.tripadvisor.co.uk/Hotel_Review-g191265-d229508-Reviews-or1475-Travelodge_Gatwick_Airport_Central-Horley_Surrey_England.html#REVIEWS</t>
  </si>
  <si>
    <t>Richard B wrote a review Oct 2018Birmingham, United Kingdom1 contribution</t>
  </si>
  <si>
    <t>Upgraded RoomsThis trip we were rewarded by being give one of the newly upgraded rooms. 
Better aircon, lighting and better designed bathroom.Lovely and 
cleanAlthough similarly refurbished I think the food choice could be 
improved.Read moreReview collected in partnership with this hotelDate of 
stay: October 2018HelpfulShare</t>
  </si>
  <si>
    <t>Lee N wrote a review Oct 2018Greater London, United Kingdom15 
contributions3 helpful votes</t>
  </si>
  <si>
    <t>Great room for the price I paidI stayed here the night before my flight to Vegas, the hotel room had been 
refurbished recently and had everything I neeeded, large comfortable bed, 
tea &amp; coffee facilities . For the price I paid I was more than impressed. 
The online booking was very easy to use and I could book all the extras I 
wanted when I booked the room ( breakfast,WiFi parking).Read moreReview 
collected in partnership with this hotelDate of stay: October 
2018HelpfulShare</t>
  </si>
  <si>
    <t>leestephenson20 wrote a review Oct 2018Sunderland, United Kingdom5 
contributions</t>
  </si>
  <si>
    <t>Travelodge Gatwick CentralExcellent venue for overnight stay prior and after a flight. A pleasant 
break in the travelling. I awake refreshed and ready for the next day. The 
bar/restaurant area is spacious and manned by fantastic staff as is 
Reception.Read moreReview collected in partnership with this hotelDate of 
stay: October 2018HelpfulShare</t>
  </si>
  <si>
    <t>mikeingram2018 wrote a review Oct 2018Liverpool, United Kingdom2 
contributions</t>
  </si>
  <si>
    <t>Airport stopWe did a late booking found the service to be excellent. The staff were 
very helpful and made our stay a pleasure. the amenities were good value 
apart from the cost of parking which as a resident should surely be 
free.Read moreReview collected in partnership with this hotelDate of stay: 
September 2018HelpfulShare</t>
  </si>
  <si>
    <t>https://www.tripadvisor.co.uk/Hotel_Review-g191265-d229508-Reviews-or1480-Travelodge_Gatwick_Airport_Central-Horley_Surrey_England.html#REVIEWS</t>
  </si>
  <si>
    <t>Lindsey J wrote a review Oct 2018Orpington, United Kingdom120 
contributions17 helpful votes</t>
  </si>
  <si>
    <t>Always use this hotel on a night before an early flightBooked Travel Lodge again for a one night stay before our early flight the 
next morning. I always book months in advance and get a code for money off 
yet when I enter code details it always says “there are no rooms available 
for use with this code” which seems a bit iffy to me, and I always thought 
booking a room in advance you get the best possible price. When I first 
started using Travel Lodge I could get a double room for as little as £20 
for the night. Now it’s more like £60!! Anyway, once we arrive check in is 
simple (if the machines are working)(the last 2 visits they haven’t been) 
but we got checked in very quickly and were given our room key. While I was 
at reception I asked for extra tea bags and milk sachets because they never 
provide enough, especially for 2 people.…Read moreDate of stay: September 
2018HelpfulShare</t>
  </si>
  <si>
    <t>Seniortraveler65 wrote a review Oct 2018Stamford, Connecticut136 
contributions71 helpful votes</t>
  </si>
  <si>
    <t>A fireI don’t blame them for the fire but there was a lack of information as the 
event was happening . Plus It would be nice to have some compensation for 
spending a cold hour in the parking lot at 5 am. Carpets were dirty, I 
couldn’t Get the sink to drain but on the positive the bar was open and had 
some food available at midnight.Read moreReview collected in partnership 
with TravelodgeDate of stay: October 2018HelpfulShareResponse from 
TravelodgeUK, Molly from the Social Media Team at Travelodge Gatwick 
Airport CentralResponded 25 Oct 2018Thank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</si>
  <si>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SUE D wrote a review Oct 2018Coventry, United Kingdom98 contributions23 
helpful votes</t>
  </si>
  <si>
    <t>Cold showerBooked in swiftly and impersonally. Room ok but shower was cold and would 
not run hot. Bed ok but sheets made you sweat. It’s a case of you get what 
you pay for. Tv had subtitles that wouldn’t turn off so didn’t bother with 
it. It’s ok for a night to lay a weary headRead moreDate of stay: October 
2018HelpfulShare</t>
  </si>
  <si>
    <t>https://www.tripadvisor.co.uk/Hotel_Review-g191265-d229508-Reviews-or1485-Travelodge_Gatwick_Airport_Central-Horley_Surrey_England.html#REVIEWS</t>
  </si>
  <si>
    <t>Lynorpheus wrote a review Oct 2018France19 contributions4 helpful votes</t>
  </si>
  <si>
    <t>Not up to the usual standardThis wasn't up to the normal acceptable Travelodge standard. This hotel has 
apparently had a recent makeover - it's now a Travelodge Plus with 
supposedly better rooms than average. However the room I was allocated 
clearly had not been part of this refurbishment. It was on the first floor 
but not served by the lift. OK for me as I had little luggage, but might 
have been a problem for a less mobile client. The bathroom was dirty with 
hairs in the basin and there was no soap in the dispenser. I arrived late 
and was leaving early in the morning so didn't have the time or energy to 
complain - but as I arrived I could hear another guest complaining loudly 
about his room. I would certainly not want to be allocated a room in this 
part of the hotel again.Read moreReview collected in partnership with 
TravelodgeDate of stay: October 2018HelpfulShareResponse from TravelodgeUK, 
Molly from the Social Media Team at Travelodge Gatwick Airport 
CentralResponded 25 Oct 2018Thank you for taking the time to provide your 
feedback following your recent stay with us. We are sorry to learn of your 
experience and would like to look into this further for you. Therefore, may 
we kindly request that you contact our Customer Services Team so that we 
can investigate this more thoroughly with the Hotel. Thank you again for 
your comments, and we hope to hear from you soon.Read more</t>
  </si>
  <si>
    <t>Lisajfraser wrote a review Oct 2018Dover, United Kingdom521 contributions48 
helpful votes</t>
  </si>
  <si>
    <t>Good price, clean, comfy &amp; very near GatwickNot the cheap basic Travelodge I remembered, car park was busy but we 
managed to sneak a spot quite quickly (9pm ish saturday night). Rooms were 
clean and beds very comfortable. I wanted to be near Gatwick to pick my son 
up at 7am, it was just a 5 minutes drive to the airport. The car park cost 
£8 for 24 hours with Apcoa, I had downloaded the App beforehand and it was 
trying to charge me £12 but reception confirmed it should be £8 so I ended 
up phoning the telephone number at reception. The bar/Cafe area looked 
amazing but never had chance to use it. Would definitely stay here again as 
the £50 we paid was so much cheaper than other hotels in the area.Read 
moreDate of stay: October 2018HelpfulShare</t>
  </si>
  <si>
    <t>Helen A wrote a review Oct 2018Barnstaple, United Kingdom70 contributions16 
helpful votes</t>
  </si>
  <si>
    <t>GoodHave used travel lodge before was worried as only two stars ! It was great 
room was clean &amp; tidy. Quick drink in the bar young man was a bit harassed 
having only few people to serve but having to clear up end of shift ! 
Obviously not used to working particularly hard ! Overall excellent!Read 
moreDate of stay: October 2018HelpfulShare</t>
  </si>
  <si>
    <t>david c wrote a review Oct 20188 contributions3 helpful votes</t>
  </si>
  <si>
    <t>HolidayBack an early flight and coming down from chesterfield we found this hotel 
everything we could have wished for. The room was ready and clean. Found 
the hotel staff very friendly and professional. Would definitely book with 
these again.Read moreReview collected in partnership with TravelodgeDate of 
stay: October 2018HelpfulShare</t>
  </si>
  <si>
    <t>https://www.tripadvisor.co.uk/Hotel_Review-g191265-d229508-Reviews-or1490-Travelodge_Gatwick_Airport_Central-Horley_Surrey_England.html#REVIEWS</t>
  </si>
  <si>
    <t>BarnabyBear64 wrote a review Oct 2018Wokingham, United Kingdom10 
contributions2 helpful votes</t>
  </si>
  <si>
    <t>Holiday roomsBooked a room before flying out on holiday and on our return. First room 
was quite small but perfectly adequate. Second room much bigger. Both rooms 
clean and tidy although plug hole in sink in first room needs emptying as 
clogged.Read moreReview collected in partnership with TravelodgeDate of 
stay: October 2018HelpfulShare</t>
  </si>
  <si>
    <t>markgrant wrote a review Oct 2018isle of man102 contributions73 helpful 
votes</t>
  </si>
  <si>
    <t>Any other great stayThis was our fifth time staying heAr as we live on Isle of Man and usually 
need over night stay before going abroad , it is so near airport easy check 
in nice comfy rooms and great breakfasts ifvyourvthere early you can easily 
visit horley Crawley or London great value againRead moreDate of stay: 
October 2018HelpfulShare</t>
  </si>
  <si>
    <t>chastings12018 wrote a review Oct 2018Sheffield, United Kingdom1 
contribution</t>
  </si>
  <si>
    <t>Gatwick travelodgeThe room was dirty , there was large piles of peoples hair from previous 
occupants. However the bathroom was clean and bedding comfortable. Not the 
cheapest but easy to find . Parking was limited and had a tariff .Read 
moreReview collected in partnership with TravelodgeDate of stay: October 
2018HelpfulShareResponse from TravelodgeUK, Shaf from the Social Media 
Team. at Travelodge Gatwick Airport CentralResponded 23 Oct 2018Thank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</si>
  <si>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Marian1511_11 wrote a review Oct 2018Abingdon, United Kingdom10 
contributions4 helpful votes</t>
  </si>
  <si>
    <t>Excellent one night stay before early flightI was looking for a double room for me and my husband plus parking for a 
week , prior to flying off early next morning 3.30am check in.Found this 
gem of a hotel totally refurbished and new, friendly helpful reception 
staff, café bar served 2 course meal for £12 each good food on menu.Taxi or 
bus to airport (very close ) £6 for taxi , order with reception, or buses 
every 10-15 minutes to North and South terminals.Parking car on site was a 
doddle no hassle £8 per day, no need to wait for collection of car or take 
it to another venue /parking site, you leave it there in the hotel car 
park, I pre-booked 2 course dinner for 2--- £24 on their website , plus 
they have "happy hour" 4-6pm 2 drinks for £8. I also pre -booked car park 
but you can pay at the machine in hotel car park…Read moreReview collected 
in partnership with TravelodgeDate of stay: October 2018HelpfulShare</t>
  </si>
  <si>
    <t>https://www.tripadvisor.co.uk/Hotel_Review-g191265-d229508-Reviews-or1495-Travelodge_Gatwick_Airport_Central-Horley_Surrey_England.html#REVIEWS</t>
  </si>
  <si>
    <t>qtgdt wrote a review Oct 20182 contributions</t>
  </si>
  <si>
    <t>Good rooms but poor restaurant.Rooms were clean and tidy. Shower curtains is not made to be in a shower as 
not waterproof.Reception staff were friendly.Restaurant food quality was 
very poor and overpriced. No vegan option and low quatity vegetarian 
options. Restaurant staff were slow to tend to customers.Read moreReview 
collected in partnership with TravelodgeDate of stay: October 
2018HelpfulShare</t>
  </si>
  <si>
    <t>Go182319 wrote a review Oct 20181 contribution1 helpful vote</t>
  </si>
  <si>
    <t>Excellent overnight stayVery easy to find with very helpful and friendly staff. The bar area was 
spacious and clean. The breakfast was good and included in the price. Hotel 
has an agreement with a local taxi firm who only charge £6 to the airport, 
which is great if there are more than two people in your group.Read 
moreReview collected in partnership with TravelodgeDate of stay: October 
2018HelpfulShare</t>
  </si>
  <si>
    <t>https://www.tripadvisor.co.uk/Hotel_Review-g186338-d1812157-Reviews-or855</t>
  </si>
  <si>
    <t>slimboy2016 wrote a review Oct 2018London, United Kingdom355 
contributions234 helpful votes</t>
  </si>
  <si>
    <t>surprisingly quietCheck-in was very efficient, and they found me a nice quiet room at the 
back of the hotel. The air con worked very well, and I didn't even try to 
open the window, so I can't comment on that. The restaurant was good: you 
can have a meal and a drink for £12, and the staff were overall v. helpful. 
I recommend.Read moreDate of stay: October 2018HelpfulShare</t>
  </si>
  <si>
    <t>https://www.tripadvisor.co.uk/Hotel_Review-g191265-d229508-Reviews-or1500-Travelodge_Gatwick_Airport_Central-Horley_Surrey_England.html#REVIEWS</t>
  </si>
  <si>
    <t>Antoinette M wrote a review Oct 20182 contributions</t>
  </si>
  <si>
    <t>Great night!I found Gatwick Airport Central to be very clean, tidy and comfortable. The 
staff were helpful and friendly, and in the restaurant, the food was really 
good! The hotel had a good ambiance, and in the dining room/drinks area, 
everyone seemed to be relaxed and comfortable.Read moreReview collected in 
partnership with TravelodgeDate of stay: October 2018HelpfulShare</t>
  </si>
  <si>
    <t>Pauline E wrote a review Oct 2018Plymouth, United Kingdom61 contributions36 
helpful votes</t>
  </si>
  <si>
    <t>Very convenient for Gatwick AirportA modern hotel right next to Gatwick Airport with parking. Rooms were clean 
and had everything needed plus very hot water in the shower. Checked in at 
a very unsociable hour but staff were very friendly and helpful. Good 
cooked breakfast the following morning. Stair area needs properly 
cleaning.Read moreReview collected in partnership with TravelodgeDate of 
stay: October 2018HelpfulShare</t>
  </si>
  <si>
    <t>paulhaymes43 wrote a review Oct 20182 contributions</t>
  </si>
  <si>
    <t>Gatwick Stay overGood proximity to both terminals via bus, easy to find and get too, rooms 
clean, quiet and comfortable. Good stop over for early flights. Look for 
discount vouchers on line before booking, money to be saved.Read moreReview 
collected in partnership with TravelodgeDate of stay: October 
2018HelpfulShare</t>
  </si>
  <si>
    <t>Donna J wrote a review Oct 2018Poole, United Kingdom14 contributions24 
helpful votes</t>
  </si>
  <si>
    <t>1 night stay at TravelodgeRoom was large with an excellent view of Gatwick Airport, we watched many 
planes coming into land. Had a reasonable night's sleep. We had to leave 
fairly early for our flight to Dubrovnik the next morning, we had dinner in 
the bar / restaurant downstairs. I was ignored for quite a while trying to 
order meals for us whilst the staff were more interested in serving 
drinkers. More staff are needed or Co ordinated regarding who serves the 
drinks and who serves diners. Our pizza's were ok i supposed but, arrived 
completely uncut. Someone needs to go and purchase Pizza cutters��. We 
noticed one couple who complained that they had waited ages and had not 
received their order. I didn't bother ordering a starter / dessert for us 
even though it was included in the price or a drink.…Read moreDate of stay: 
October 2018HelpfulShare</t>
  </si>
  <si>
    <t>https://www.tripadvisor.co.uk/Hotel_Review-g191265-d229508-Reviews-or1505-Travelodge_Gatwick_Airport_Central-Horley_Surrey_England.html#REVIEWS</t>
  </si>
  <si>
    <t>GRAHAM B wrote a review Oct 2018Isle of Wight, United Kingdom17 
contributions10 helpful votes</t>
  </si>
  <si>
    <t>Two trips to GatwickStopped at this Travelodge at the start and end of a holiday trip to 
Cyprus. We have used it several times this year and it is in a very 
convenient location near the airport. The very useful bus service makes 
getting to either North or South Terminal quick and easy.Read moreReview 
collected in partnership with TravelodgeDate of stay: October 
2018HelpfulShare</t>
  </si>
  <si>
    <t>CDLMI wrote a review Oct 2018Milano2 contributions1 helpful vote</t>
  </si>
  <si>
    <t>Happy and convenientEasy connected to Airport, I waited less than 10 min arriving at airport at 
1:40 in the morning, good value for money, kindness of staff, clean room 
and bath, I will keep as reference for flight on Gatwick,Read moreReview 
collected in partnership with TravelodgeDate of stay: October 
2018HelpfulShare</t>
  </si>
  <si>
    <t>Cathneilgillies wrote a review Oct 2018Cowes, United Kingdom19 
contributions6 helpful votes</t>
  </si>
  <si>
    <t>Night before flightStayed here for just the 1 night before early flight. Stayed in room 
114,the cistern was non stop all night long,so made for a very grumpy hubby 
we think is was from the floor above as didn't matter how many times we 
flushed the loo it made no difference. The good points were reception staff 
were lovely,so friendly even when our key wouldn't work first time. The bar 
and restaurant were lovely too ,had the burgers and they were lovely .Read 
moreDate of stay: October 2018HelpfulShare</t>
  </si>
  <si>
    <t>Graeme M wrote a review Oct 20185 contributions4 helpful votes</t>
  </si>
  <si>
    <t>October Two Night StayWe had booked in for 1 night as we had an early morning flight. Due to some 
issues at the airport, unfortunately we missed our flight. We went back to 
the Hotel and explained to the receptionist what had happened and she did 
all she could to get us back into the same rooms. The Hotel is clean and 
tidy, with good quality food and reasonable prices.Read moreReview 
collected in partnership with TravelodgeDate of stay: October 
2018HelpfulShare</t>
  </si>
  <si>
    <t>https://www.tripadvisor.co.uk/Hotel_Review-g191265-d229508-Reviews-or1510-Travelodge_Gatwick_Airport_Central-Horley_Surrey_England.html#REVIEWS</t>
  </si>
  <si>
    <t>Mozzy1013 wrote a review Oct 2018Gosport, United Kingdom31 contributions19 
helpful votes</t>
  </si>
  <si>
    <t>Overnight stayArrived from the airport in the early hours. Fast check in. No assistance 
available with luggage. Disabled room very clean and comfortable, with good 
facilities. This is the second time we have stayed in a disabled room at 
this hotel and both times the room has been at the far end of the corridor. 
Breakfast selection included cereals, yogurts, fresh fruit, full English 
cooked breakfast, croissants, toast, very good value, but the cooked items 
were only lukewarm.Our prepaid booking included £3 for 24-hour Wi-Fi, but 
when we tried to access this we were asked to either pay £3 or use voucher 
code. considering that it was the early hours of the morning we were not 
prepared to go back down to reception to sort out so logged in to the free 
30 minutes Wi-Fi in 24 hours. Next time we…Read moreReview collected in 
partnership with TravelodgeDate of stay: October 2018HelpfulShare</t>
  </si>
  <si>
    <t>KeavinArness wrote a review Oct 2018Canada10 contributions1 helpful vote</t>
  </si>
  <si>
    <t>No airflowWith no opening windows and no bathroom fan, rooms can get pretty 
inhospitable. Room was pretty smelly when we arrived, probably due to the 
chronic lack of airflow. Apart from that was clean, recently renovated, and 
a good basic hotel.Read moreDate of stay: October 2018HelpfulShare</t>
  </si>
  <si>
    <t>SCATTYCAT1965 wrote a review Oct 2018London, United Kingdom28 
contributions14 helpful votes</t>
  </si>
  <si>
    <t>Perfect if you have an early start!Stayed here the night before we had an early morning flight from Gatwick. 
Hotel was very clean and beds were comfy. Transfer to Gatwick was easy too 
via the shuttle. Would definitely stay again if I had another early 
flight.Read moreReview collected in partnership with TravelodgeDate of 
stay: October 2018HelpfulShare</t>
  </si>
  <si>
    <t>Iluvholsuk wrote a review Oct 2018Whitchurch, United Kingdom56 
contributions7 helpful votes</t>
  </si>
  <si>
    <t>Ideal hotel close to GatwickFab hotel with a lovely restaurant. Easy check in when we arrived as there 
are check in stations so you don’t have to wait if reception is busy. Room 
was a decent size as was the bathroom and it was clean. We are in the 
restaurant the evening and were seated quickly, we had the meal deal of a 
main and a side for £12 which was nice and plenty of choice. We got a taxi 
from the hotel to the airport which you can book on the tablets in 
reception or the receptionist can book for you. Taxi is £6 and takes under 
5 mins to get to Gatwick South terminal. All in all a good stay and I would 
use this hotel again.Read moreDate of stay: October 2018HelpfulShare</t>
  </si>
  <si>
    <t>https://www.tripadvisor.co.uk/Hotel_Review-g191265-d229508-Reviews-or1515-Travelodge_Gatwick_Airport_Central-Horley_Surrey_England.html#REVIEWS</t>
  </si>
  <si>
    <t>Michael L wrote a review Oct 2018London1 contribution</t>
  </si>
  <si>
    <t>Cheap isn't always cheerfulFunctional at best, cheap but not cheerful. Good location for Gatwick 
Airport but the hotel is a welcoming hotel. The bar could be so much better 
but it would appear that the bar staff are very inexperienced. The hotel in 
my opinion lacks experienced senior staff.Read moreReview collected in 
partnership with TravelodgeDate of stay: October 2018HelpfulShare</t>
  </si>
  <si>
    <t>Alison C wrote a review Oct 201817 contributions2 helpful votes</t>
  </si>
  <si>
    <t>Ok to stay for an early flight.Firstly the shuttle to the airport is £3 per person, but you can get a taxi 
for £6 for multiple people. You can book that on the iPad at the desk or if 
the front desk isn’t busy they will book one for you. DO NOT GET A TAXI 
FROM THE AIRPORT, they will charge you £12 ( double). Get the phone number 
from the hotel and call the taxi firm they work with. We had booked two 
rooms ( 3 adults). We were both given ground rooms. Mine was DAMP. I sat on 
the bed for 10 min and my clothes were damp. And it smelt really damp. Our 
other room was damp smelling but not even close to as bad as my room. So I 
told the front desk and they moved me directly upstairs to the quiet floor. 
This room was much much better! You honestly wouldn’t have thought the two 
rooms were in the same building. …Read moreDate of stay: October 
2018HelpfulShare</t>
  </si>
  <si>
    <t>Ian1990 wrote a review Oct 2018Middlesbrough, United Kingdom116 
contributions139 helpful votes</t>
  </si>
  <si>
    <t>Brilliant hotel close to gatwick airportRecently stayed at this hotel the night before flying from london gatwick 
airport. The hotel is very close and is covered by the airport shuttle 
buses at the cost of £3 per person. The hotel is fantastic and offers very 
modern and spacious rooms. The beds in the rooms are really comfortable. 
Only advice for improvement i would say is have more staff available on the 
check in desk as we waiting approx 10 mins to check in due to all the self 
check in machines being unavailable due to a fault. Apart from that this 
hotel is great and would definitely stay here again if flying from London 
Gatwick airport.Read moreDate of stay: October 2018HelpfulShare</t>
  </si>
  <si>
    <t>Joyce B wrote a review Oct 2018Aboyne, Scotland, United Kingdom22 
contributions14 helpful votes</t>
  </si>
  <si>
    <t>Stop over on way homeExcellent value, clean, friendly, nice rooms and food cheap and good 
choices . 2 courses £12 . I had roast chicken, which was a half chicken in 
bbq sauce with chips and salad. Ice cream sundae was served with fresh 
fruit.Read moreReview collected in partnership with TravelodgeDate of stay: 
October 2018HelpfulShare</t>
  </si>
  <si>
    <t>Anna B wrote a review Oct 2018Stäfa, Switzerland83 contributions21 helpful 
votes</t>
  </si>
  <si>
    <t>Total convenience for a great priceWe often arrive at London Gatwick from Zurich late in the evening and by 
the time we pick up the hire car don’t feel like driving further. This 
Travel lodge is about 3-5 minutes from the airport.There is free parking 
available a restaurant/ bar where you can pre book or pay when you are 
there for breakfast or an evening meal. The rooms have been recently 
refurbished and the decor is a very nice white and grey color. There is a 
kettle with coffee and tea options in the room too. The rooms are simple 
and clean. Perfect for an overnight stay and at a great price.Read moreDate 
of stay: September 2018HelpfulShare</t>
  </si>
  <si>
    <t>https://www.tripadvisor.co.uk/Hotel_Review-g191265-d229508-Reviews-or1520-Travelodge_Gatwick_Airport_Central-Horley_Surrey_England.html#REVIEWS</t>
  </si>
  <si>
    <t>DamonCali wrote a review Oct 2018Elgin66 contributions27 helpful votes</t>
  </si>
  <si>
    <t>Very DisappointingHad the misfortune of being booked in here for 11 days by my company while 
working in Surrey. Pretty bad when you have stayed a week and have to ask 
reception to have clean bedding put on !! Rooms are spacious but that is 
about it. The restaurant (come Ikea Cafe) is bad. Queuing to order food at 
the bar and then being told to expect a long delay on food. Ended up eating 
out as they cannot cope with the volume of people staying. Overpriced 
drinks. No decent place to sit and chill after work just an open space of 
noise. This place may be ideal for one night stays to catch a flight out of 
Gatwick but other than that is has nothing else to offer. Car parking is a 
pain with only one pay point machine in use outside with no cover so 
prepared to get wet. The other machine inside…Read moreDate of stay: 
October 20181 Helpful voteHelpfulShareResponse from TravelodgeUK, Ben from 
the Social Media Team at Travelodge Gatwick Airport CentralResponded 29 Oct 
2018Thank you for taking the time to write a review about our Gatwick 
Airport Central hotel. We are pleased to hear that you liked the size of 
the room however are sorry to learn of your disappointment with the bar 
cafe and that the bed linen was not changed without having to ask. Our 
housekeeping team will change the bed linen on the third night of stay 
unless this is requested however we are sorry for any disappointment. 
Feedback is invaluable and our Hotel Managers regularly review their 
TripAdvisor reviews in order to fix any issues raised and pass on feedback 
to their team. Thank you once again and we do hope you will stay with us in 
the future.Read more</t>
  </si>
  <si>
    <t>https://www.tripadvisor.co.uk/Hotel_Review-g186338-d1812157-Reviews-or860</t>
  </si>
  <si>
    <t>DaveP wrote a review Oct 2018Guernsey, United Kingdom49 contributions8 
helpful votes</t>
  </si>
  <si>
    <t>Brilliant In Every WayThis hotel is wonderful and so well geared up to making our stay well 
worthwhile. There were problems like the vending machine swallowed my debit 
card because there was no proper indication of where to put it and there 
was NO MARMALADE left.... what in an English hotel... now come on 
Travelodge get a back up supply in hand.Otherwise a really great hotel to 
stay at and we were well looked after and hotel staff even resolved the 
debit card issue the next day. Well done Travelodge..Read moreReview 
collected in partnership with TravelodgeDate of stay: October 
2018HelpfulShare</t>
  </si>
  <si>
    <t>June W wrote a review Oct 2018Oxford, United Kingdom5 contributions1 
helpful vote</t>
  </si>
  <si>
    <t>Flying earlyThis is a good location but beware there are parking issues. The car park 
was full and the receptionist said not to worry we could have a refund ! 
Great when you have a room booked ! Eventually someone left and we got a 
space .......didn't need that stressRead moreReview collected in 
partnership with TravelodgeDate of stay: October 2018HelpfulShare</t>
  </si>
  <si>
    <t>https://www.tripadvisor.co.uk/Hotel_Review-g191265-d229508-Reviews-or1525-Travelodge_Gatwick_Airport_Central-Horley_Surrey_England.html#REVIEWS</t>
  </si>
  <si>
    <t>BeachQueenoftheocean wrote a review Oct 2018West Sussex, United Kingdom100 
contributions38 helpful votes</t>
  </si>
  <si>
    <t>used towelsarriving I had a used waste bin, and a used towel in the bathroom. The 
floor had bits over it and was not vacuumed . I went down and took the 
towel to reception where it was taken off me and agreed it was totally 
unacceptable. That was how it was dealt with. So basically I paid for a 
what appears to have been a used room!!!Read moreReview collected in 
partnership with TravelodgeDate of stay: October 2018HelpfulShareResponse 
from TravelodgeUK, Shaf from the Social Media Team. at Travelodge Gatwick 
Airport CentralResponded 11 Oct 2018Thank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</si>
  <si>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Jo Ward wrote a review Oct 2018Poole134 contributions59 helpful votes</t>
  </si>
  <si>
    <t>Very convenient for airport and comfortable roomsThis is a great overnight for early flights to the airport. The rooms are 
spacious and the bed was very comfortable. Although close to the airport we 
did not hear any noise. Everything was very clean and excellent value.Read 
moreReview collected in partnership with TravelodgeDate of stay: October 
2018HelpfulShare</t>
  </si>
  <si>
    <t>https://www.tripadvisor.co.uk/Hotel_Review-g191265-d229508-Reviews-or1530-Travelodge_Gatwick_Airport_Central-Horley_Surrey_England.html#REVIEWS</t>
  </si>
  <si>
    <t>Richard B wrote a review Oct 20185 contributions5 helpful votes</t>
  </si>
  <si>
    <t>Recently updatedRecently renovated rooms and public areas in pleasing contemporary style. 
The rooms are well equipped and clean with comfortable beds. Our top floor 
room had a pleasant view over countryside and was surprisingly quiet. 
Location is very good for Gatwick N with frequent transfers and easy. 
Access by road.Read moreReview collected in partnership with TravelodgeDate 
of stay: October 2018HelpfulShare</t>
  </si>
  <si>
    <t>dcawkwell wrote a review Oct 2018Goole14 contributions6 helpful votes</t>
  </si>
  <si>
    <t>A hotel with windows you cannot open. AvoidNormal travel lodge but DO NOT STAY HERE here the windows in room will not 
open and you cannot adjust the room temperature properly because it is 
centralised. Place feels stuffy and dusty not enough ventilation.Read 
moreReview collected in partnership with TravelodgeDate of stay: October 
2018HelpfulShareResponse from TravelodgeUK, Ben from the Social Media Team 
at Travelodge Gatwick Airport CentralResponded 20 Oct 2018Thank you for 
taking the time to write a review about our Gatwick Airport Central hotel. 
We are sorry to learn of your disappointment with the windows. Feedback is 
invaluable and our Hotel Managers regularly review their TripAdvisor 
reviews in order to fix any issues raised and pass on feedback to their 
team. Thank you once again and we do hope you will stay with us in the 
future.Read more</t>
  </si>
  <si>
    <t>ookjar wrote a review Oct 2018Diss, United Kingdom30 contributions9 helpful 
votes</t>
  </si>
  <si>
    <t>Great staff and accomodationWe stayed here for 1 night before flying from Gatwick, we had just endured 
a stressful start to our holiday trying to get booked into the Russ hill 
hotel (see separate review). We booked online while sitting in the Russ 
Hill car park. Upon arriving they couldn’t initially find our booking as it 
was via holiday extras, but stated sometimes it can take a while to come 
through, the manager suggested that we have a drink in the bar while they 
wait for the booking. This was fine as they were very accommodating and 
friendly. Eventually the booking came though and we had our room. It was 
very busy with a lot of guests checking in but the reception staff remained 
professional and helpful at all times. The room was lovely and clean and 
suitably provided with toiletries and drinks. We…Read moreDate of stay: 
October 2018HelpfulShare</t>
  </si>
  <si>
    <t>DorothyThamesmead wrote a review Oct 2018Southend-on-Sea, United Kingdom354 
contributions133 helpful votes</t>
  </si>
  <si>
    <t>not a good startStayed here before and after our recent holiday. Standard room this time 
and checked in no problem and went to room (236). After unpacking went into 
the bathroom, noticed virtually no toilet roll, soap dispenser at sink was 
empty/broken and to top it all, there was a sanitary towel floating in the 
toilet. Disgusting! Informed reception, woman was not very interested/sorry 
but offered a change of room and/or discount. We accepted 30% discount and 
stayed put as we had upacked and just wanted to sleep. Return stay (234) 
was fine and no problems. Prefer Premier Inns to Travelodge though.Read 
moreDate of stay: September 2018HelpfulShareResponse from TravelodgeUK, 
Shaf from the Social Media Team. at Travelodge Gatwick Airport 
CentralResponded 9 Oct 2018Thank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</si>
  <si>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https://www.tripadvisor.co.uk/Hotel_Review-g191265-d229508-Reviews-or1535-Travelodge_Gatwick_Airport_Central-Horley_Surrey_England.html#REVIEWS</t>
  </si>
  <si>
    <t>George G wrote a review Oct 2018Winchester, United Kingdom100 
contributions38 helpful votes</t>
  </si>
  <si>
    <t>Good Value HotelGood value and comfortable but our room had a strange smell.Aircraft noise 
was minimal inspite the close proximity to Gatwick Airport. Breakfast 
(continental) was nothing special and choice was rather limited.Read 
moreReview collected in partnership with TravelodgeDate of stay: October 
2018HelpfulShare</t>
  </si>
  <si>
    <t>re66 wrote a review Oct 201816 contributions</t>
  </si>
  <si>
    <t>Good value but a lit noisyThe rooms are what you expect. The staff are great. The real surprise is 
the cafe/bar area. Surprisingly comfortable even if the dining area is a 
little Spartan. The food was better than expected. The two issues ewe had 
were with the rooms. The lack of shower gel was irritating but not 
disastrous. The noise from other guests was more problematic. The doors are 
not insulated enough so you hear everyone walking along the corridor. Worst 
still I could hear the water from the shower and toilet upstairs. Overall 
good value. You get what you expect and it’s well located for the airport, 
which is probably the only reason people stay here. But very popular 
nonethelessRead moreReview collected in partnership with TravelodgeDate of 
stay: October 2018HelpfulShare</t>
  </si>
  <si>
    <t>TimmyJ31 wrote a review Oct 2018Harrogate, United Kingdom23 contributions12 
helpful votes</t>
  </si>
  <si>
    <t>Travelodge stayingThis Travelodge seems to compete well on average as I compared many prior 
to staying here - it was a business stay but I still want value for money. 
The breakfast was very good value. If you are staying on business book 
parking on the APCOA app on arrival using hotel parking code from 
reception. This reduces the parking cost and provides a VAT receipt which 
you do not get from the parking machine.Read moreReview collected in 
partnership with TravelodgeDate of stay: September 2018HelpfulShare</t>
  </si>
  <si>
    <t>Susan T wrote a review Oct 2018Saint-Lo, France20 contributions9 helpful 
votes</t>
  </si>
  <si>
    <t>One stop off before our holidayEasy to reach from Gatwick rail (&amp; airport ) station by shuttle bus. 
Friendly professional staff who were at times dealing with a lot of 
customers at once. Clean comfy warm and - considering it is near to the 
airport - quiet. Best by far for value as well.Read moreReview collected in 
partnership with TravelodgeDate of stay: October 2018HelpfulShare</t>
  </si>
  <si>
    <t>Charlotte wrote a review Oct 2018Northampton, England, United Kingdom4 
contributions7 helpful votes</t>
  </si>
  <si>
    <t>Great serviceArrived fairly late and used the self service check in which we had no 
issues. Went to the room and was pleasantly surprised, nice, clean and 
spacious- we had a super room. Not sure what the difference was to a 
standard one but there wasn’t much difference in the price. I wasn’t 
feeling great and fancied a bath so I went to ask reception if they had a 
room with a bath. They went out of their way to ensure they could fulfill 
my request which they did so very pleased. The hotel room also had galaxy 
hot chocolate sachets and kitkats which I thought was a lovely added touch! 
Good choice of channels on the tv and the bed was comfortable. Transfer to 
the airport was £3 each which wasn’t bad and they had timetables available 
on reception to take away too! Breakfast we ended up…Read moreDate of stay: 
October 2018HelpfulShare</t>
  </si>
  <si>
    <t>https://www.tripadvisor.co.uk/Hotel_Review-g191265-d229508-Reviews-or1540-Travelodge_Gatwick_Airport_Central-Horley_Surrey_England.html#REVIEWS</t>
  </si>
  <si>
    <t>weldon02 wrote a review Oct 20186 contributions1 helpful vote</t>
  </si>
  <si>
    <t>Didn't sleep a wink! Awful experience!I had a very early flight in the morning. So, I thought I'd stay the night 
here for convenience. Boy do I regret it! You would have thought, situated 
at Gatwick airport, you'd make an effort to soundproof the rooms a little 
better. I could hear the traffic outside all night. With that, could hear 
everything going on in the corridor, the TV in the room next to me and this 
irritating clinking sound coming from the bedframe directly behind my head. 
Literally didn't get a minute's sleep. So my trip the next day was a 
serious struggle! Was absolutely exhausted! Really regret staying here. 
Complete waste of my money! Should have just stayed at home and risked 
getting the public transport in the morning.Read moreDate of stay: October 
2018HelpfulShareResponse from TravelodgeUK, Tilly from the Social Media 
Team at Travelodge Gatwick Airport CentralResponded 9 Oct 2018Thank you for 
your feedback. Your comments are greatly appreciated. We are sorry to learn 
that external noise has affected the comfort of your stay at our Gatwick 
Airport Central hotel. We do apologise that on this occasion you did not 
receive the best experience possible. Thank you again for writing your 
review, we value your feedback and hope you stay with us in the future.Read 
more</t>
  </si>
  <si>
    <t>https://www.tripadvisor.co.uk/Hotel_Review-g186338-d1812157-Reviews-or865</t>
  </si>
  <si>
    <t>Babzi2015 wrote a review Oct 2018Kilmarnock, United Kingdom3 contributions1 
helpful vote</t>
  </si>
  <si>
    <t>Exceptional valueFrom the moment of our arrival, everything went like clockwork. The hotel 
reception and bedroom were welcoming and extremely spacious. Most 
importantly, although this hotel is extremely close to Gatwick airport, it 
was extremely quiet which was very important to me as I am both a very 
light sleeper and had an early start the following day.Read moreReview 
collected in partnership with TravelodgeDate of stay: September 
2018HelpfulShare</t>
  </si>
  <si>
    <t>michaelbeech1988 wrote a review Oct 2018Maidstone, United Kingdom1 
contribution</t>
  </si>
  <si>
    <t>Kettle covered in mouldI recently stayed here prior to a 9am flight to Florida. The hotel was 
generally clean and the bed's were comfortable. In the morning my 16 year 
old nephew who was travelling with me wanted a cup of tea when he woke up. 
I went to fill the kettle for him and noticed the bottom of the inside of 
the kettle was covered in mould. I'm glad I went to fill the kettle as 
being 16 and half asleep my nephew probably wouldn't have looked before 
boiling the kettle and would have drunk from it. This could have 
potentially made him very ill possibly even resulting in hospital treatment 
which would have ruined his first tip out of the country that had been 
planned for well over a year. It's sad as this was a very small thing that 
ruined an otherwise very good hotel stayRead moreReview collected in 
partnership with TravelodgeDate of stay: October 2018HelpfulShareResponse 
from TravelodgeUK, Tilly from the Social Media Team at Travelodge Gatwick 
Airport CentralResponded 9 Oct 2018Thank you for your comments about our 
Gatwick Airport Central hotel. We're very sorry to hear that your kettle 
had mould on it. We are however pleased to hear that the hotel was clean 
and your beds were comfortable. We will be sure to pass your comments onto 
the hotel team to help improve the service that we offer and we hope to be 
given the chance to welcome you back to one of our hotels in the futureRead 
more</t>
  </si>
  <si>
    <t>https://www.tripadvisor.co.uk/Hotel_Review-g191265-d229508-Reviews-or1545-Travelodge_Gatwick_Airport_Central-Horley_Surrey_England.html#REVIEWS</t>
  </si>
  <si>
    <t>Tlsbenson wrote a review Oct 2018Colchester, United Kingdom106 
contributions31 helpful votes</t>
  </si>
  <si>
    <t>A Lodge for Travellers - Yep!Friendly reception staff, great rate for a 1 night stay and a couple of 
days parking whilst we were on a city break. Food in the restaurant was 
good quality, but small portions and bar prices were a little on the high 
side. Room was immaculately clean, bed very comfortable, really can't 
complain about any element - its not 5 star - but thats not what we were 
after - well done Travelodge - we usually use the Europa when flying from 
Gatwick, but after our very negative experience a few weeks back, this was 
a very welcome uplift in quality, service and cleanliness!Read moreDate of 
stay: September 2018HelpfulShare</t>
  </si>
  <si>
    <t>porthlevenlyn wrote a review Oct 2018Porthleven, United Kingdom24 
contributions8 helpful votes</t>
  </si>
  <si>
    <t>Room RE-soldWe arrived at Travelodge Gatwick airport after a long journey home at 
2.15am on 27th September 2018. When this was booked I telephoned the hotel 
to let them know that we would be arriving very late and was told that this 
was okay. On our arrival we were greeted by a member of housekeeping who 
said that our room had been let to someone else. We were very tired and 
very unhappy at this but according to the lady this is the normal practise 
for Travelodge to let the room to someone else if you are late, this cannot 
be correct procedure as we had paid for the room. She said that if there 
are no rooms left they will pay for a taxi to another hotel which at that 
time of the morning is not acceptable . We did get a room after a fairly 
long wait, we were offered a complimentary cup…Read moreDate of stay: 
September 2018HelpfulShareResponse from TravelodgeUK, Shaf from the Social 
Media Team. at Travelodge Gatwick Airport CentralResponded 4 Oct 2018Thank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</si>
  <si>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pm590 wrote a review Oct 2018Motherwell, United Kingdom133 contributions48 
helpful votes</t>
  </si>
  <si>
    <t>Good Value HotelStayed here one night prior to flying from Gatwick. Much improved since 
it’s been refurbished. Staff welcoming and helpful. Really comfortable room 
and slept well despite the early rise. Good value for money also. Would 
definitely stay here again.Read moreDate of stay: September 2018HelpfulShare</t>
  </si>
  <si>
    <t>Kaatz1971 wrote a review Oct 2018Southampton, United Kingdom38 
contributions10 helpful votes</t>
  </si>
  <si>
    <t>Comfortable roomsWe stayed in a super room on the 6th floor. It had a large double bed and 2 
single. On arrival there were kitkats and hot chocolate in the room. The 
food was the usual travelodge standard but nice. This was ideal for a quick 
airport stay.Read moreDate of stay: October 2018HelpfulShare</t>
  </si>
  <si>
    <t>haywood740 wrote a review Oct 2018Clacton-on-Sea, United Kingdom3 
contributions3 helpful votes</t>
  </si>
  <si>
    <t>Overnight stay at Gatwick TravelodgeFantastic stay in a clean, bright and modern room. Breakfast was available 
at an extra cost, and there was plenty to choose from. Our evening meal, at 
an extra cost, was also well priced and had plenty of choices. We had a 
long journey to get to Gatwick Airport, with an early morning flight out 
the next day. A regular bus takes you straight from the hotel door to the 
Airport at a nominal charge.Read moreReview collected in partnership with 
TravelodgeDate of stay: September 2018HelpfulShare</t>
  </si>
  <si>
    <t>https://www.tripadvisor.co.uk/Hotel_Review-g191265-d229508-Reviews-or1550-Travelodge_Gatwick_Airport_Central-Horley_Surrey_England.html#REVIEWS</t>
  </si>
  <si>
    <t>Ronny25 wrote a review Oct 2018Wareham, United Kingdom155 contributions46 
helpful votes</t>
  </si>
  <si>
    <t>ChristmasExcellent value for money, staff are very friendly. We had two meals and 
drinks just over £30 the room was clean. The shuttle was regular and cheap. 
Recommend but if you book early you get a bargain. Will use againRead 
moreDate of stay: December 2017HelpfulShare</t>
  </si>
  <si>
    <t>Lesley P wrote a review Oct 20183 contributions1 helpful vote</t>
  </si>
  <si>
    <t>Overnight stayTraveling from Australia to UK is a long haul so when you are looking for a 
convenient for 1 night lay over before collecting a car or moving on to 
your next destination. Travel lodge is a worthwhile place which offers good 
service and decent size room for family of four.Read moreReview collected 
in partnership with TravelodgeDate of stay: September 2018HelpfulShare</t>
  </si>
  <si>
    <t>M8945PHpeterr wrote a review Oct 2018Bridgetown, Barbados2 contributions</t>
  </si>
  <si>
    <t>Welcome break from the stress of travelingThe Travelodge provided a good stopover whilst transiting through Gatwick 
enroute to Cape Town, the room was clean and comfortable and the shower 
ideal for cleaning up after an 8 hour flight and morning in London. The 
staff were both friendly and helpful in my dealings with them and the 
English breakfast was first class.Read moreReview collected in partnership 
with TravelodgeDate of stay: September 2018HelpfulShare</t>
  </si>
  <si>
    <t>https://www.tripadvisor.co.uk/Hotel_Review-g191265-d229508-Reviews-or1555-Travelodge_Gatwick_Airport_Central-Horley_Surrey_England.html#REVIEWS</t>
  </si>
  <si>
    <t>Diane A wrote a review Oct 2018Bridgend, United Kingdom15 contributions2 
helpful votes</t>
  </si>
  <si>
    <t>Poor communicationI stayed there 4 weeks ago (Sept 18). I asked if it was possible for a top 
floor room and told yes. We were given a 2nd floor not top. When I asked 
what happened the member of staff who had served me said it must have been 
someone else. She wore a head-dress so was quite distinctive. I told her I 
didn't appreciate being lied to. If there was not a room just say so. Food 
for breakfast was fine. I won't book there again.Read moreDate of stay: 
September 2018HelpfulShare</t>
  </si>
  <si>
    <t>Katrina V wrote a review Oct 20181 contribution</t>
  </si>
  <si>
    <t>Awesome Service!!We were meant to stay with friends who sprung a hotel night on us last 
minute and the staff were wonderful, and every accommodating. They helped 
us book a second room, were very patient and super friendly.Read moreDate 
of stay: October 2018HelpfulShare</t>
  </si>
  <si>
    <t>laurenpenthouse wrote a review Oct 20181 contribution</t>
  </si>
  <si>
    <t>Cold room and uncomfortable beds in the family roomsRooms heating was not working and would only blast out cold air. Beds in 
the family rooms were very uncomfortable. Great location and communal 
facilities were great. Self check in was also great. However the rooms were 
very basic and incomfortable.Read moreReview collected in partnership with 
TravelodgeDate of stay: September 2018HelpfulShareResponse from 
TravelodgeUK, Shaf from the Social Media Team. at Travelodge Gatwick 
Airport CentralResponded 2 Oct 2018Thank you for submitting your review of 
our Gatwick Airport Central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t>
  </si>
  <si>
    <t>neil W wrote a review Sep 2018Pembrokeshire, United Kingdom149 
contributions45 helpful votes</t>
  </si>
  <si>
    <t>Over night stay before flightComfortable and well situated to airport. Staff friendly and helpful. Food 
available on sight and good place to park car. Food not great but ok if not 
a bit expensive. Good bus service to airport although a bit of a walk to 
North departure lounge.Read moreDate of stay: September 20181 Helpful 
voteHelpfulShare</t>
  </si>
  <si>
    <t>bchappell wrote a review Sep 2018Lydd, United Kingdom49 contributions54 
helpful votes</t>
  </si>
  <si>
    <t>Much better than expectedWe only stayed the one night before our flight to Greece. We arrived early 
evening and found the checking in process efficient and welcoming. The room 
and bathroom were spotless so no worries there. We decided to eat in the 
onsite restaurant and although there was a European football match going on 
and was on the TVs around the restaurant it didn’t really affect us. The 
menu choice is a bit limited but that was to be expected in this type of 
accommodation. We both slept well and wanted an early morning bus transfer 
to the airport terminal. The bus timetable was given to us by the reception 
staff and the buses are every 10-15 minutes but a waiting taxi took us for 
the same charge 3 euros per head, it was less than s 10 minute ride to the 
south terminal. Overall we were really…Read moreDate of stay: September 
20181 Helpful voteHelpfulShare</t>
  </si>
  <si>
    <t>https://www.tripadvisor.co.uk/Hotel_Review-g191265-d229508-Reviews-or1560-Travelodge_Gatwick_Airport_Central-Horley_Surrey_England.html#REVIEWS</t>
  </si>
  <si>
    <t>Patto96 wrote a review Sep 2018Grimsby, United Kingdom9 contributions6 
helpful votes</t>
  </si>
  <si>
    <t>No problems at all!Nothing really to fault at all with this Travelodge! Room was clean &amp; 
spacious. We stayed two nights prior to a flight from Gatwick. We had made 
two separate bookings through purple parking and the Travelodge website &amp; 
the receptionist was very helpful and combined the booking upon check in. 
Parking is run by a separate company &amp; is £9 for 24 hours. Shuttlebus runs 
from the entrance &amp; is a 5 min trip to the the terminal’s, £3 for an adult 
ticket so could get a little expensive for families. Overall we were very 
satisfied with a straight forward pleasant stay here. Would recommend for 
anyone wanting to get into London too as direct trains run from the airport 
train station to London Bridge Station so you can be in the city within 45 
mins from the hotel.Read moreDate of stay: September 2018HelpfulShare</t>
  </si>
  <si>
    <t>526henrykg wrote a review Sep 2018Ipswich, United Kingdom2 contributions</t>
  </si>
  <si>
    <t>Nice stay near the airportGood clean and friendly service from all the staff members good place to be 
before an early flight, or if you get back too late to drive home, the room 
was clean well equipped and I was able to have a good dinner and drink 
before retiringRead moreReview collected in partnership with this hotelDate 
of stay: September 2018HelpfulShare</t>
  </si>
  <si>
    <t>Scarlatti wrote a review Sep 2018Bath, United Kingdom84 contributions32 
helpful votes</t>
  </si>
  <si>
    <t>Extremely comfortable bedsThe most comfortable beds ever in an airport hotel! Spotlessly clean rooms, 
friendly receptionist, regular shuttle service in a proper bus. Very handy 
location. Food ok, nice chicken, so-so dessert. Didn't try the eat all you 
can breakfast. Extremely good value. Rather stark decor in restaurant and 
bar, but this establishment serves its purpose admirably. We heard a couple 
complain about a minor issue and they were immediately given free 
breakfasts, no quibbling.Read moreDate of stay: September 2018HelpfulShare</t>
  </si>
  <si>
    <t>Sarfasca wrote a review Sep 201814 contributions2 helpful votes</t>
  </si>
  <si>
    <t>Value for moneyGood overnight stay before our holiday flight. Room was clean,comfortable &amp; 
well maintained. Plenty of choice for evening meal &amp; good all you can eat 
breakfast. Well presented staff who were very pleasant &amp; helpfulRead 
moreReview collected in partnership with TravelodgeDate of stay: September 
2018HelpfulShare</t>
  </si>
  <si>
    <t>https://www.tripadvisor.co.uk/Hotel_Review-g191265-d229508-Reviews-or1565-Travelodge_Gatwick_Airport_Central-Horley_Surrey_England.html#REVIEWS</t>
  </si>
  <si>
    <t>naomielliot wrote a review Sep 2018Haywards Heath, United Kingdom4 
contributions</t>
  </si>
  <si>
    <t>Get away to GatwickVery pleased with the hotel! Friendly staff. Very clean hotel. Massive pat 
on the back to the HK team!! Food was fantastic. Reception was helpful and 
polite. Very impressed with TL Gatwick. Would recommend and come again.Read 
moreReview collected in partnership with this hotelDate of stay: September 
2018HelpfulShare</t>
  </si>
  <si>
    <t>lobster64 wrote a review Sep 2018Folkestone, United Kingdom4,096 
contributions803 helpful votes</t>
  </si>
  <si>
    <t>Lovely bar no staffStayed here many times, now the refurb is complete it looks lovely. Room 
was fine, as was the bathroom. I joined my friends at the new bar for a 
drink. Started out fine until we wanted a second drink 14:30 Wednesday 
afternoon.... No staff behind the bar.. No staff at reception.. In fact I 
knocked at a door behind reception..ooh a lady said I will be with you . A 
further five minutes later she appeared staying the person supposed to be 
at the bar was cooking in the kitchem. I waited a total of 25 minutes. This 
is a prime site by an airport , holiday makers wanting to spend. Surely 
someone at Travelodge can see it is a money out waiting to be filled!! We 
are going to another hotel next trip.Read moreDate of stay: September 
2018HelpfulShare</t>
  </si>
  <si>
    <t>lynmarhunt wrote a review Sep 2018Saintfield, United Kingdom154 
contributions95 helpful votes</t>
  </si>
  <si>
    <t>https://www.tripadvisor.co.uk/Hotel_Review-g186338-d1812157-Reviews-or870</t>
  </si>
  <si>
    <t>Worth a tryThis hotel is great value and very close to Gatwick airport. We tried a new 
Super room (£10 extra)and were very pleased. It was spacious, if sparsely 
furnished but had everything you need for an overnight stay when 
travelling. An iron, ironing board, hairdryer, television and best of all a 
Lavazza coffee machine with pods. Kit- kats too if you wanted a biscuit! 
The refurbished bar/ restaurant is pleasant although we didn’t eat there. 
Definitely better value than some of the local B&amp;B’s where you end up 
hauling your suitcases up narrow stairs and paying a lot more for a small 
cramped room. Reception staff are very friendly and helpful.Read moreDate 
of stay: September 2018HelpfulShare</t>
  </si>
  <si>
    <t>Sylvia R wrote a review Sep 2018Algeciras, Spain12 contributions</t>
  </si>
  <si>
    <t>Overnight for early flightThe hotel is very convenient for the airport. It provides well priced 
accommodation - the price is even better value if able to make early 
booking.Taxi service to airport for very early flight was good value.Read 
moreReview collected in partnership with TravelodgeDate of stay: September 
2018HelpfulShare</t>
  </si>
  <si>
    <t>https://www.tripadvisor.co.uk/Hotel_Review-g186338-d1812157-Reviews-or875</t>
  </si>
  <si>
    <t>https://www.tripadvisor.co.uk/Hotel_Review-g186338-d1812157-Reviews-or880</t>
  </si>
  <si>
    <t>https://www.tripadvisor.co.uk/Hotel_Review-g186338-d1812157-Reviews-or885</t>
  </si>
  <si>
    <t>https://www.tripadvisor.co.uk/Hotel_Review-g186338-d1812157-Reviews-or890</t>
  </si>
  <si>
    <t>https://www.tripadvisor.co.uk/Hotel_Review-g186338-d1812157-Reviews-or895</t>
  </si>
  <si>
    <t>https://www.tripadvisor.co.uk/Hotel_Review-g186338-d1812157-Reviews-or900</t>
  </si>
  <si>
    <t>https://www.tripadvisor.co.uk/Hotel_Review-g186338-d1812157-Reviews-or905</t>
  </si>
  <si>
    <t>https://www.tripadvisor.co.uk/Hotel_Review-g186338-d1812157-Reviews-or910</t>
  </si>
  <si>
    <t>https://www.tripadvisor.co.uk/Hotel_Review-g186338-d1812157-Reviews-or915</t>
  </si>
  <si>
    <t>https://www.tripadvisor.co.uk/Hotel_Review-g186338-d1812157-Reviews-or920</t>
  </si>
  <si>
    <t>https://www.tripadvisor.co.uk/Hotel_Review-g186338-d1812157-Reviews-or925</t>
  </si>
  <si>
    <t>https://www.tripadvisor.co.uk/Hotel_Review-g186338-d1812157-Reviews-or930</t>
  </si>
  <si>
    <t>https://www.tripadvisor.co.uk/Hotel_Review-g186338-d1812157-Reviews-or935</t>
  </si>
  <si>
    <t>https://www.tripadvisor.co.uk/Hotel_Review-g186338-d1812157-Reviews-or940</t>
  </si>
  <si>
    <t>https://www.tripadvisor.co.uk/Hotel_Review-g186338-d1812157-Reviews-or945</t>
  </si>
  <si>
    <t>https://www.tripadvisor.co.uk/Hotel_Review-g186338-d1812157-Reviews-or950</t>
  </si>
  <si>
    <t>https://www.tripadvisor.co.uk/Hotel_Review-g186338-d1812157-Reviews-or955</t>
  </si>
  <si>
    <t>https://www.tripadvisor.co.uk/Hotel_Review-g186338-d1812157-Reviews-or960</t>
  </si>
  <si>
    <t>https://www.tripadvisor.co.uk/Hotel_Review-g186338-d1812157-Reviews-or965</t>
  </si>
  <si>
    <t>https://www.tripadvisor.co.uk/Hotel_Review-g186338-d1812157-Reviews-or970</t>
  </si>
  <si>
    <t>https://www.tripadvisor.co.uk/Hotel_Review-g186338-d1812157-Reviews-or975</t>
  </si>
  <si>
    <t>https://www.tripadvisor.co.uk/Hotel_Review-g186338-d1812157-Reviews-or980</t>
  </si>
  <si>
    <t>https://www.tripadvisor.co.uk/Hotel_Review-g186338-d1812157-Reviews-or985</t>
  </si>
  <si>
    <t>https://www.tripadvisor.co.uk/Hotel_Review-g186338-d1812157-Reviews-or990</t>
  </si>
  <si>
    <t>https://www.tripadvisor.co.uk/Hotel_Review-g186338-d1812157-Reviews-or995</t>
  </si>
  <si>
    <t>https://www.tripadvisor.co.uk/Hotel_Review-g186338-d1812157-Reviews-or1000</t>
  </si>
  <si>
    <t>https://www.tripadvisor.co.uk/Hotel_Review-g186338-d1812157-Reviews-or1005</t>
  </si>
  <si>
    <t>https://www.tripadvisor.co.uk/Hotel_Review-g186338-d1812157-Reviews-or1010</t>
  </si>
  <si>
    <t>https://www.tripadvisor.co.uk/Hotel_Review-g186338-d1812157-Reviews-or1015</t>
  </si>
  <si>
    <t>https://www.tripadvisor.co.uk/Hotel_Review-g186338-d1812157-Reviews-or1020</t>
  </si>
  <si>
    <t>https://www.tripadvisor.co.uk/Hotel_Review-g186338-d1812157-Reviews-or1025</t>
  </si>
  <si>
    <t>https://www.tripadvisor.co.uk/Hotel_Review-g186338-d1812157-Reviews-or1030</t>
  </si>
  <si>
    <t>https://www.tripadvisor.co.uk/Hotel_Review-g186338-d1812157-Reviews-or1035</t>
  </si>
  <si>
    <t>https://www.tripadvisor.co.uk/Hotel_Review-g186338-d1812157-Reviews-or1040</t>
  </si>
  <si>
    <t>https://www.tripadvisor.co.uk/Hotel_Review-g186338-d1812157-Reviews-or1045</t>
  </si>
  <si>
    <t>https://www.tripadvisor.co.uk/Hotel_Review-g186338-d1812157-Reviews-or1050</t>
  </si>
  <si>
    <t>https://www.tripadvisor.co.uk/Hotel_Review-g186338-d1812157-Reviews-or1055</t>
  </si>
  <si>
    <t>https://www.tripadvisor.co.uk/Hotel_Review-g186338-d1812157-Reviews-or1060</t>
  </si>
  <si>
    <t>https://www.tripadvisor.co.uk/Hotel_Review-g186338-d1812157-Reviews-or1065</t>
  </si>
  <si>
    <t>https://www.tripadvisor.co.uk/Hotel_Review-g186338-d1812157-Reviews-or1070</t>
  </si>
  <si>
    <t>https://www.tripadvisor.co.uk/Hotel_Review-g186338-d1812157-Reviews-or1075</t>
  </si>
  <si>
    <t>https://www.tripadvisor.co.uk/Hotel_Review-g186338-d1812157-Reviews-or1080</t>
  </si>
  <si>
    <t>https://www.tripadvisor.co.uk/Hotel_Review-g186338-d1812157-Reviews-or1085</t>
  </si>
  <si>
    <t>https://www.tripadvisor.co.uk/Hotel_Review-g186338-d1812157-Reviews-or1090</t>
  </si>
  <si>
    <t>https://www.tripadvisor.co.uk/Hotel_Review-g186338-d1812157-Reviews-or1095</t>
  </si>
  <si>
    <t>https://www.tripadvisor.co.uk/Hotel_Review-g186338-d1812157-Reviews-or1100</t>
  </si>
  <si>
    <t>https://www.tripadvisor.co.uk/Hotel_Review-g186338-d1812157-Reviews-or1105</t>
  </si>
  <si>
    <t>https://www.tripadvisor.co.uk/Hotel_Review-g186338-d1812157-Reviews-or1110</t>
  </si>
  <si>
    <t>https://www.tripadvisor.co.uk/Hotel_Review-g186338-d1812157-Reviews-or1115</t>
  </si>
  <si>
    <t>https://www.tripadvisor.co.uk/Hotel_Review-g186338-d1812157-Reviews-or1120</t>
  </si>
  <si>
    <t>https://www.tripadvisor.co.uk/Hotel_Review-g186338-d1812157-Reviews-or1125</t>
  </si>
  <si>
    <t>https://www.tripadvisor.co.uk/Hotel_Review-g186338-d1812157-Reviews-or1130</t>
  </si>
  <si>
    <t>s</t>
  </si>
  <si>
    <t>link</t>
  </si>
  <si>
    <t>from_and_date1</t>
  </si>
  <si>
    <t>review1</t>
  </si>
  <si>
    <t>from_and_date2</t>
  </si>
  <si>
    <t>review2</t>
  </si>
  <si>
    <t>from_and_date3</t>
  </si>
  <si>
    <t>review3</t>
  </si>
  <si>
    <t>from_and_date4</t>
  </si>
  <si>
    <t>review4</t>
  </si>
  <si>
    <t>from_and_date5</t>
  </si>
  <si>
    <t>review5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</si>
</sst>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b/>
      <sz val="10"/>
      <color theme="1"/>
      <name val="Arial"/>
    </font>
    <font>
      <sz val="10"/>
      <color theme="1"/>
      <name val="Arial"/>
    </font>
    <font>
      <sz val="10"/>
      <color rgb="FF000000"/>
      <name val="Arial"/>
    </font>
    <font>
      <sz val="10"/>
      <name val="Arial"/>
    </font>
    <font>
      <u/>
      <sz val="10"/>
      <color rgb="FF1155CC"/>
      <name val="Arial"/>
    </font>
    <font>
      <u/>
      <sz val="10"/>
      <color rgb="FF0000FF"/>
      <name val="Arial"/>
    </font>
    <font>
      <u/>
      <sz val="10"/>
      <color rgb="FF1155CC"/>
      <name val="Arial"/>
    </font>
    <font>
      <sz val="11"/>
      <color rgb="FF000000"/>
      <name val="Inconsolata"/>
    </font>
    <font>
      <u/>
      <sz val="11"/>
      <color rgb="FF000000"/>
      <name val="Inconsolata"/>
    </font>
    <font>
      <u/>
      <sz val="10"/>
      <color rgb="FF0000FF"/>
      <name val="Arial"/>
    </font>
    <font>
      <u/>
      <sz val="10"/>
      <color rgb="FF1155CC"/>
      <name val="Arial"/>
    </font>
  </fonts>
  <fills count="8">
    <fill>
      <patternFill patternType="none"/>
    </fill>
    <fill>
      <patternFill patternType="gray125"/>
    </fill>
    <fill>
      <patternFill patternType="solid">
        <fgColor rgb="FFFFFF00"/>
        <bgColor rgb="FFFFFF00"/>
      </patternFill>
    </fill>
    <fill>
      <patternFill patternType="solid">
        <fgColor rgb="FF93C47D"/>
        <bgColor rgb="FF93C47D"/>
      </patternFill>
    </fill>
    <fill>
      <patternFill patternType="solid">
        <fgColor rgb="FF9900FF"/>
        <bgColor rgb="FF9900FF"/>
      </patternFill>
    </fill>
    <fill>
      <patternFill patternType="solid">
        <fgColor rgb="FFFF9900"/>
        <bgColor rgb="FFFF9900"/>
      </patternFill>
    </fill>
    <fill>
      <patternFill patternType="solid">
        <fgColor rgb="FFCC0000"/>
        <bgColor rgb="FFCC0000"/>
      </patternFill>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xf numFmtId="0" fontId="2" fillId="2" borderId="0" xfId="0" applyFont="1" applyFill="1" applyAlignment="1"/>
    <xf numFmtId="0" fontId="2" fillId="0" borderId="0" xfId="0" applyFont="1" applyAlignment="1"/>
    <xf numFmtId="0" fontId="2" fillId="0" borderId="0" xfId="0" applyFont="1"/>
    <xf numFmtId="0" fontId="2"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3" borderId="0" xfId="0" applyFont="1" applyFill="1" applyAlignment="1"/>
    <xf numFmtId="0" fontId="3" fillId="0" borderId="0" xfId="0" applyFont="1" applyAlignment="1"/>
    <xf numFmtId="0" fontId="2" fillId="0" borderId="0" xfId="0" applyFont="1" applyAlignment="1"/>
    <xf numFmtId="0" fontId="3" fillId="4" borderId="0" xfId="0" applyFont="1" applyFill="1" applyAlignment="1"/>
    <xf numFmtId="0" fontId="3" fillId="0" borderId="0" xfId="0" applyFont="1" applyAlignment="1"/>
    <xf numFmtId="0" fontId="3" fillId="5" borderId="0" xfId="0" applyFont="1" applyFill="1" applyAlignment="1"/>
    <xf numFmtId="0" fontId="3" fillId="6" borderId="0" xfId="0" applyFont="1" applyFill="1" applyAlignment="1"/>
    <xf numFmtId="0" fontId="4" fillId="0" borderId="0" xfId="0" applyFont="1" applyAlignment="1"/>
    <xf numFmtId="0" fontId="5" fillId="7" borderId="0" xfId="0" applyFont="1" applyFill="1" applyAlignment="1">
      <alignment horizontal="left"/>
    </xf>
    <xf numFmtId="0" fontId="6" fillId="0" borderId="0" xfId="0" applyFont="1" applyAlignment="1"/>
    <xf numFmtId="0" fontId="7" fillId="0" borderId="0" xfId="0" applyFont="1" applyAlignment="1"/>
    <xf numFmtId="0" fontId="8" fillId="7" borderId="0" xfId="0" applyFont="1" applyFill="1"/>
    <xf numFmtId="0" fontId="8" fillId="7" borderId="0" xfId="0" applyFont="1" applyFill="1" applyAlignment="1"/>
    <xf numFmtId="0" fontId="9" fillId="7" borderId="0" xfId="0" applyFont="1" applyFill="1" applyAlignment="1"/>
    <xf numFmtId="0" fontId="10" fillId="0" borderId="0" xfId="0" applyFont="1"/>
    <xf numFmtId="0" fontId="8" fillId="7" borderId="0" xfId="0" applyFont="1" applyFill="1" applyAlignment="1">
      <alignment horizontal="center"/>
    </xf>
    <xf numFmtId="0" fontId="11" fillId="0" borderId="0" xfId="0" applyFont="1" applyAlignment="1"/>
    <xf numFmtId="0" fontId="1" fillId="0" borderId="0" xfId="0" applyFont="1" applyAlignment="1">
      <alignment horizontal="center"/>
    </xf>
    <xf numFmtId="10" fontId="1" fillId="0" borderId="0" xfId="0" applyNumberFormat="1" applyFont="1" applyAlignment="1">
      <alignment horizontal="center"/>
    </xf>
    <xf numFmtId="10" fontId="2" fillId="0" borderId="0" xfId="0" applyNumberFormat="1" applyFont="1"/>
    <xf numFmtId="0" fontId="1" fillId="0" borderId="0" xfId="0" applyFont="1" applyAlignment="1">
      <alignment horizontal="center"/>
    </xf>
    <xf numFmtId="0" fontId="2" fillId="0" borderId="0" xfId="0" applyFont="1" applyAlignment="1">
      <alignment horizontal="right"/>
    </xf>
    <xf numFmtId="10" fontId="1" fillId="0" borderId="0" xfId="0" applyNumberFormat="1" applyFont="1" applyAlignment="1">
      <alignment horizontal="center"/>
    </xf>
    <xf numFmtId="1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tripadvisor.co.uk/Hotel_Review-g186338-d1812157-Reviews-Travelodge_London_Waterloo_Hotel-London_England.html" TargetMode="External"/><Relationship Id="rId1" Type="http://schemas.openxmlformats.org/officeDocument/2006/relationships/hyperlink" Target="https://www.tripadvisor.co.uk/Hotel_Review-g191265-d229508-Reviews-Travelodge_Gatwick_Airport_Central-Horley_Surrey_England.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tripadvisor.co.uk/Hotel_Review-g186338-d1812157-Reviews-or10" TargetMode="External"/><Relationship Id="rId2" Type="http://schemas.openxmlformats.org/officeDocument/2006/relationships/hyperlink" Target="https://www.tripadvisor.co.uk/Hotel_Review-g186338-d1812157-Reviews-or5" TargetMode="External"/><Relationship Id="rId1" Type="http://schemas.openxmlformats.org/officeDocument/2006/relationships/hyperlink" Target="https://www.tripadvisor.co.uk/Hotel_Review-g186338-d1812157-Reviews-Travelodge_London_Waterloo_Hotel-London_England.html" TargetMode="External"/><Relationship Id="rId6" Type="http://schemas.openxmlformats.org/officeDocument/2006/relationships/hyperlink" Target="https://www.tripadvisor.co.uk/Hotel_Review-g186338-d1812157-Reviews-or470" TargetMode="External"/><Relationship Id="rId5" Type="http://schemas.openxmlformats.org/officeDocument/2006/relationships/hyperlink" Target="https://www.tripadvisor.co.uk/Hotel_Review-g186338-d1812157-Reviews-or20" TargetMode="External"/><Relationship Id="rId4" Type="http://schemas.openxmlformats.org/officeDocument/2006/relationships/hyperlink" Target="https://www.tripadvisor.co.uk/Hotel_Review-g186338-d1812157-Reviews-or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7"/>
  <sheetViews>
    <sheetView workbookViewId="0"/>
  </sheetViews>
  <sheetFormatPr baseColWidth="10" defaultColWidth="14.5" defaultRowHeight="15.75" customHeight="1"/>
  <cols>
    <col min="1" max="1" width="130.5" customWidth="1"/>
    <col min="2" max="2" width="72.1640625" customWidth="1"/>
  </cols>
  <sheetData>
    <row r="1" spans="1:3" ht="15.75" customHeight="1">
      <c r="A1" s="2" t="s">
        <v>0</v>
      </c>
    </row>
    <row r="3" spans="1:3" ht="15.75" customHeight="1">
      <c r="A3" s="4" t="s">
        <v>1</v>
      </c>
      <c r="B3" s="4" t="str">
        <f ca="1">IFERROR(__xludf.DUMMYFUNCTION("IMPORTXML(A3,$A$1)"),"About4.0Very good11,221 reviews#558 of 1,144 hotels in 
LondonLocationCleanlinessServiceValueAn amazing hotel with multilingual 
staff located over 2 sites in the heart of the theatre land in the west end 
of London.Read moreFull viewProperty amenitiesWif"&amp;"iPaid 
wifiRestaurantBreakfast availableTaxi serviceBaggage storageNon-smoking 
hotel24-hour front deskBreakfast buffetComplimentary instant 
cofffeeComplimentary teaShow moreRoom featuresHousekeepingFlatscreen TVRoom 
typesNon-smoking roomsGood to knowHO"&amp;"TEL CLASSHOTEL STYLECentrally 
LocatedLanguages SpokenEnglish")</f>
        <v>About4.0Very good11,221 reviews#558 of 1,144 hotels in 
LondonLocationCleanlinessServiceValueAn amazing hotel with multilingual 
staff located over 2 sites in the heart of the theatre land in the west end 
of London.Read moreFull viewProperty amenitiesWifiPaid 
wifiRestaurantBreakfast availableTaxi serviceBaggage storageNon-smoking 
hotel24-hour front deskBreakfast buffetComplimentary instant 
cofffeeComplimentary teaShow moreRoom featuresHousekeepingFlatscreen TVRoom 
typesNon-smoking roomsGood to knowHOTEL CLASSHOTEL STYLECentrally 
LocatedLanguages SpokenEnglish</v>
      </c>
      <c r="C3" s="4" t="str">
        <f t="shared" ref="C3:C6" si="0">MID(A3,(FIND("Travelodge",A3)+11),LEN(A3)-(FIND("Travelodge",A3)+9)-14)</f>
        <v>London_Covent_Garden-London</v>
      </c>
    </row>
    <row r="4" spans="1:3" ht="15.75" customHeight="1">
      <c r="A4" s="4" t="s">
        <v>10</v>
      </c>
      <c r="B4" s="4" t="str">
        <f ca="1">IFERROR(__xludf.DUMMYFUNCTION("IMPORTXML(A4,$A$1)"),"About3.0Average6,534 reviews#745 of 1,144 hotels in 
LondonLocationCleanlinessServiceValueSix-story Hotel overlooking Percy 
Circus, 1/4 mile from King's Cross Station.Read moreFull viewProperty 
amenitiesWifiPaid wifiBar / loungeRestaurantBreakfast avail"&amp;"ableTaxi 
serviceNon-smoking hotel24-hour front deskBreakfast buffetComplimentary 
instant cofffeeComplimentary teaShow moreRoom 
featuresHousekeepingFlatscreen TVRoom typesNon-smoking roomsGood to 
knowHOTEL CLASSLanguages SpokenEnglish")</f>
        <v>About3.0Average6,534 reviews#745 of 1,144 hotels in 
LondonLocationCleanlinessServiceValueSix-story Hotel overlooking Percy 
Circus, 1/4 mile from King's Cross Station.Read moreFull viewProperty 
amenitiesWifiPaid wifiBar / loungeRestaurantBreakfast availableTaxi 
serviceNon-smoking hotel24-hour front deskBreakfast buffetComplimentary 
instant cofffeeComplimentary teaShow moreRoom 
featuresHousekeepingFlatscreen TVRoom typesNon-smoking roomsGood to 
knowHOTEL CLASSLanguages SpokenEnglish</v>
      </c>
      <c r="C4" s="4" t="str">
        <f t="shared" si="0"/>
        <v>London_Kings_Cross_Royal_Scot-London</v>
      </c>
    </row>
    <row r="5" spans="1:3" ht="15.75" customHeight="1">
      <c r="A5" s="4" t="s">
        <v>15</v>
      </c>
      <c r="B5" s="4" t="str">
        <f ca="1">IFERROR(__xludf.DUMMYFUNCTION("IMPORTXML(A5,$A$1)"),"About4.5Excellent1,602 reviews#111 of 1,144 hotels in 
LondonLocationCleanlinessServiceValueCertificate of ExcellenceTravelodge 
London City hotel is an excellent choice for travellers visiting London, 
offering a family-friendly environment alongside man"&amp;"y helpful amenities 
designed to enhance your stay.You’ll enjoy relaxing rooms that offer a flat 
screen TV, and you can stay connected during your stay as Travelodge London 
City hotel offers guests wifi.Plus, Travelodge London City hotel offers an 
on-s"&amp;"ite restaurant, providing a pleasant respite from your busy day.Nearby 
landmarks such as Covent Garden (2.1 mi) and Coca-Cola London Eye (2.1 mi) 
make Travelodge London City hotel a great place to stay when visiting 
London.While in London, you may want"&amp;" to check out some of the restaurants 
that are a short walk away from Travelodge London City hotel, including 
Coppa Club - Tower Bridge (0.5 mi), Duck and Waffle (0.3 mi), and Aqua 
Shard (0.9 mi).Looking to explore? Then look no further than Tower of 
"&amp;"London (0.5 mi), Sky Garden (0.5 mi), and The View from The Shard (0.9 mi), 
which are some popular London attractions – all conveniently located within 
walking distance of the hotel.Enjoy your stay in London!Read moreFull 
viewProperty amenitiesWifiPaid"&amp;" wifiBar / loungeRestaurantTaxi 
service24-hour securityNon-smoking hotel24-hour front deskBreakfast 
availableBreakfast buffetComplimentary instant cofffeeComplimentary teaShow 
moreRoom featuresAir conditioningFlatscreen TVRoom typesNon-smoking 
roomsGo"&amp;"od to knowHOTEL CLASSLanguages SpokenEnglish")</f>
        <v>About4.5Excellent1,602 reviews#111 of 1,144 hotels in 
LondonLocationCleanlinessServiceValueCertificate of ExcellenceTravelodge 
London City hotel is an excellent choice for travellers visiting London, 
offering a family-friendly environment alongside many helpful amenities 
designed to enhance your stay.You’ll enjoy relaxing rooms that offer a flat 
screen TV, and you can stay connected during your stay as Travelodge London 
City hotel offers guests wifi.Plus, Travelodge London City hotel offers an 
on-site restaurant, providing a pleasant respite from your busy day.Nearby 
landmarks such as Covent Garden (2.1 mi) and Coca-Cola London Eye (2.1 mi) 
make Travelodge London City hotel a great place to stay when visiting 
London.While in London, you may want to check out some of the restaurants 
that are a short walk away from Travelodge London City hotel, including 
Coppa Club - Tower Bridge (0.5 mi), Duck and Waffle (0.3 mi), and Aqua 
Shard (0.9 mi).Looking to explore? Then look no further than Tower of 
London (0.5 mi), Sky Garden (0.5 mi), and The View from The Shard (0.9 mi), 
which are some popular London attractions – all conveniently located within 
walking distance of the hotel.Enjoy your stay in London!Read moreFull 
viewProperty amenitiesWifiPaid wifiBar / loungeRestaurantTaxi 
service24-hour securityNon-smoking hotel24-hour front deskBreakfast 
availableBreakfast buffetComplimentary instant cofffeeComplimentary teaShow 
moreRoom featuresAir conditioningFlatscreen TVRoom typesNon-smoking 
roomsGood to knowHOTEL CLASSLanguages SpokenEnglish</v>
      </c>
      <c r="C5" s="4" t="str">
        <f t="shared" si="0"/>
        <v>London_City_hotel-London</v>
      </c>
    </row>
    <row r="6" spans="1:3" ht="15.75" customHeight="1">
      <c r="A6" s="18" t="s">
        <v>27</v>
      </c>
      <c r="B6" s="4" t="str">
        <f ca="1">IFERROR(__xludf.DUMMYFUNCTION("IMPORTXML(A6,$A$1)"),"About4.0Very good2,177 reviews#3 of 13 hotels in 
HorleyLocationCleanlinessServiceValueCertificate of ExcellenceOur Gatwick 
Airport Central hotel sits in a prime location just a 10 minute shuttle 
ride to Gatwick Airport. Rest your head here, then catch "&amp;"your flight 
feeling rested, refreshed and ready for your trip. There's also plenty to 
see in the surrounding area, including Hever Castle, once home to Anne 
Boleyn, and Chartwell House. We provide a 24-hour shuttle to both the North 
and South terminal"&amp;"s for only £4 per Adult and children are free. Our 
exciting multi-million pound refurbishment programme brings you newly 
designed standard rooms with our comfy king size Travelodge Dreamer™ bed, 
four plump pillows and a cosy duvet. Plus our new SuperRo"&amp;"om option for 
added comforts. Our newly designed Bar Cafe serves breakfast and tasty 
evening meals. Parking is charged at £9.00 for 24 hours. (this has been 
reduced from £16 for 24 hours 14/02/20)Read moreFull viewProperty 
amenitiesPaid private parkin"&amp;"g on-siteWifiBar / loungeHighchairs 
availableTaxi service24-hour securityNon-smoking hotel24-hour 
check-inParkingPaid wifiRestaurantBreakfast availableBreakfast buffetKids' 
mealsVending machineATM on site24-hour front deskShow moreRoom featuresAir 
con"&amp;"ditioningDeskHousekeepingPrivate bathroomsFlatscreen TVRoom 
typesNon-smoking roomsGood to knowHOTEL CLASSLanguages SpokenEnglish")</f>
        <v>About4.0Very good2,177 reviews#3 of 13 hotels in 
HorleyLocationCleanlinessServiceValueCertificate of ExcellenceOur Gatwick 
Airport Central hotel sits in a prime location just a 10 minute shuttle 
ride to Gatwick Airport. Rest your head here, then catch your flight 
feeling rested, refreshed and ready for your trip. There's also plenty to 
see in the surrounding area, including Hever Castle, once home to Anne 
Boleyn, and Chartwell House. We provide a 24-hour shuttle to both the North 
and South terminals for only £4 per Adult and children are free. Our 
exciting multi-million pound refurbishment programme brings you newly 
designed standard rooms with our comfy king size Travelodge Dreamer™ bed, 
four plump pillows and a cosy duvet. Plus our new SuperRoom option for 
added comforts. Our newly designed Bar Cafe serves breakfast and tasty 
evening meals. Parking is charged at £9.00 for 24 hours. (this has been 
reduced from £16 for 24 hours 14/02/20)Read moreFull viewProperty 
amenitiesPaid private parking on-siteWifiBar / loungeHighchairs 
availableTaxi service24-hour securityNon-smoking hotel24-hour 
check-inParkingPaid wifiRestaurantBreakfast availableBreakfast buffetKids' 
mealsVending machineATM on site24-hour front deskShow moreRoom featuresAir 
conditioningDeskHousekeepingPrivate bathroomsFlatscreen TVRoom 
typesNon-smoking roomsGood to knowHOTEL CLASSLanguages SpokenEnglish</v>
      </c>
      <c r="C6" s="4" t="str">
        <f t="shared" si="0"/>
        <v>Gatwick_Airport_Central-Horley_Surrey</v>
      </c>
    </row>
    <row r="7" spans="1:3">
      <c r="A7" s="22" t="s">
        <v>41</v>
      </c>
      <c r="B7" s="4" t="str">
        <f ca="1">IFERROR(__xludf.DUMMYFUNCTION("IMPORTXML(A7,$A$1)"),"About4.5Excellent1,206 reviews#183 of 1,144 hotels in 
LondonLocationCleanlinessServiceValueCertificate of ExcellenceTravelodge 
London Waterloo Hotel is an excellent choice for travellers visiting 
London, offering a quiet environment alongside many help"&amp;"ful amenities 
designed to enhance your stay.Close to some of London's most popular 
landmarks, such as Sky Garden (1.3 mi) and Buckingham Palace (1.5 mi), 
Travelodge London Waterloo Hotel is a great destination for tourists.Paid 
internet access is offe"&amp;"red to guests, and rooms at Travelodge London 
Waterloo Hotel offer a flat screen TV and air conditioning.Guests of 
Travelodge London Waterloo Hotel are also welcome to enjoy breakfast, 
located on site.While visiting London, you may want to try some lob"&amp;"ster at 
one of the nearby restaurants, such as Restaurant Gordon Ramsay, Sketch 
Gallery, or Aqua Shard.There is no shortage of things to do in the area: 
explore popular historic sites such as Tower of London, Churchill War 
Rooms, and Westminster Abbey"&amp;".Enjoy your stay in London!Read moreFull 
viewProperty amenitiesWifiPaid wifiBar / loungeRestaurantBreakfast 
availableTaxi serviceNon-smoking hotel24-hour front deskBreakfast 
buffetComplimentary instant cofffeeComplimentary teaVending machineShow 
moreR"&amp;"oom featuresAir conditioningHousekeepingFlatscreen TVRoom 
typesNon-smoking roomsGood to knowHOTEL CLASSLanguages SpokenEnglish")</f>
        <v>About4.5Excellent1,206 reviews#183 of 1,144 hotels in 
LondonLocationCleanlinessServiceValueCertificate of ExcellenceTravelodge 
London Waterloo Hotel is an excellent choice for travellers visiting 
London, offering a quiet environment alongside many helpful amenities 
designed to enhance your stay.Close to some of London's most popular 
landmarks, such as Sky Garden (1.3 mi) and Buckingham Palace (1.5 mi), 
Travelodge London Waterloo Hotel is a great destination for tourists.Paid 
internet access is offered to guests, and rooms at Travelodge London 
Waterloo Hotel offer a flat screen TV and air conditioning.Guests of 
Travelodge London Waterloo Hotel are also welcome to enjoy breakfast, 
located on site.While visiting London, you may want to try some lobster at 
one of the nearby restaurants, such as Restaurant Gordon Ramsay, Sketch 
Gallery, or Aqua Shard.There is no shortage of things to do in the area: 
explore popular historic sites such as Tower of London, Churchill War 
Rooms, and Westminster Abbey.Enjoy your stay in London!Read moreFull 
viewProperty amenitiesWifiPaid wifiBar / loungeRestaurantBreakfast 
availableTaxi serviceNon-smoking hotel24-hour front deskBreakfast 
buffetComplimentary instant cofffeeComplimentary teaVending machineShow 
moreRoom featuresAir conditioningHousekeepingFlatscreen TVRoom 
typesNon-smoking roomsGood to knowHOTEL CLASSLanguages SpokenEnglish</v>
      </c>
    </row>
  </sheetData>
  <hyperlinks>
    <hyperlink ref="A6" r:id="rId1" xr:uid="{00000000-0004-0000-0000-000000000000}"/>
    <hyperlink ref="A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396"/>
  <sheetViews>
    <sheetView workbookViewId="0"/>
  </sheetViews>
  <sheetFormatPr baseColWidth="10" defaultColWidth="14.5" defaultRowHeight="15.75" customHeight="1"/>
  <cols>
    <col min="1" max="1" width="66.33203125" customWidth="1"/>
    <col min="2" max="2" width="36.1640625" customWidth="1"/>
    <col min="3" max="3" width="34.1640625" customWidth="1"/>
    <col min="4" max="4" width="69.83203125" customWidth="1"/>
    <col min="5" max="5" width="114.5" customWidth="1"/>
    <col min="6" max="6" width="97" customWidth="1"/>
    <col min="7" max="7" width="78.6640625" customWidth="1"/>
    <col min="8" max="8" width="118.6640625" customWidth="1"/>
    <col min="9" max="9" width="123.6640625" customWidth="1"/>
    <col min="10" max="10" width="78.6640625" customWidth="1"/>
    <col min="11" max="11" width="118" customWidth="1"/>
    <col min="12" max="12" width="92" customWidth="1"/>
    <col min="13" max="13" width="78.6640625" customWidth="1"/>
    <col min="14" max="14" width="113.33203125" customWidth="1"/>
    <col min="15" max="15" width="93" customWidth="1"/>
    <col min="16" max="16" width="78.6640625" customWidth="1"/>
    <col min="17" max="17" width="122.83203125" customWidth="1"/>
    <col min="18" max="18" width="78.5" customWidth="1"/>
    <col min="21" max="21" width="51.5" customWidth="1"/>
  </cols>
  <sheetData>
    <row r="1" spans="1:21" ht="13">
      <c r="A1" s="3"/>
      <c r="B1" s="5" t="s">
        <v>3</v>
      </c>
      <c r="D1" s="2" t="s">
        <v>4</v>
      </c>
      <c r="E1" s="3"/>
      <c r="F1" s="7"/>
      <c r="G1" s="9" t="s">
        <v>5</v>
      </c>
      <c r="H1" s="7"/>
      <c r="I1" s="10"/>
      <c r="J1" s="12" t="s">
        <v>9</v>
      </c>
      <c r="K1" s="3"/>
      <c r="L1" s="13"/>
      <c r="M1" s="14" t="s">
        <v>16</v>
      </c>
      <c r="N1" s="3"/>
      <c r="O1" s="13"/>
      <c r="P1" s="15" t="s">
        <v>20</v>
      </c>
      <c r="Q1" s="7"/>
      <c r="U1" s="16" t="s">
        <v>29</v>
      </c>
    </row>
    <row r="2" spans="1:21" ht="15">
      <c r="A2" s="17"/>
      <c r="C2" s="19" t="s">
        <v>41</v>
      </c>
      <c r="D2" s="4" t="str">
        <f ca="1">IFERROR(__xludf.DUMMYFUNCTION("IMPORTXML(C2,$D$1)"),"#N/A")</f>
        <v>#N/A</v>
      </c>
      <c r="G2" s="20" t="str">
        <f ca="1">IFERROR(__xludf.DUMMYFUNCTION("IMPORTXML(C2, $G$1)"),"MartinMJ22 wrote a review Apr 2020North Wales83 contributions73 helpful 
votes")</f>
        <v>MartinMJ22 wrote a review Apr 2020North Wales83 contributions73 helpful 
votes</v>
      </c>
      <c r="H2" s="4" t="str">
        <f ca="1">IFERROR(__xludf.DUMMYFUNCTION("""COMPUTED_VALUE"""),"A fantastic place to stay for tourists on London!We stayed here for 5 nights for my wifes birthday in July 2019. We have 
stayed in several places around London and we picked this for a combination 
of location and price - essentially it was the best valu"&amp;"e and near the area 
we know well (Waterloo). Location - It is a leisurely 12-15 minute 
leisurely walk to The London Eye, Sealife Centre, Shrek Adventure, Tower of 
London, Big Ben, Houses of Parliament and others. It is about 7 ish minutes 
walk to Wate"&amp;"rloo bridge and only a couple of minutes walk to The Old Vic. 
There is an underground station about 5 minutes walk away. We found it 
really handy location wise - just a tiny bit out of the really loud centre 
but only a few minutes walk away when you wa"&amp;"nted to get there. Locally 
there were takeaways, a really handy newsagents and a couple of restaurants 
all within 1 minute walk. There were a couple of small supermarkets about 
2-4 minutes walk away. 9/10 Safety - The area felt safe. We did see some 
h"&amp;"omeless people, and a couple of people who appeared to be suffering the 
effects of having taken something down the road - but this was a few 
minutes down the road and it is London so you are going to see these things 
sometimes unfortunately. We always "&amp;"felt safe, but obviously like any big 
city you shouldnt be walking around by yourself in the wee hours. 8/10 
Welcome area, facilities &amp; check in - Has a nice little seating area, a 
check in desk, a couple of automated check in machines, a bar area (wit"&amp;"h 
free water with fruit in it on the desk), some TV's. We didnt eat at the 
restaurant but it looked really nice, good sized seating and the breakfast 
looked delicious. Everything you need. 9/10 Rooms - Firstly, the rooms had 
AIR CON!!! It was the UK's"&amp;" second hottest day ever and London's hottest 
ever at just over 38C; so the air con and free water were absolutely 
incredible to come back to after a long day. Travelodge's ive stayed at in 
the past havent really dealt very well with heat, so for this "&amp;"one to have 
these was amazing. The room was on the ground floor and it was pretty 
small. The shower was nice, a good temperature and easy to use. The bed was 
comfortable and had USB connectors for you to charge your phone next to the 
bed which was awe"&amp;"some. The TV was good, we connected our fire stick to the 
TV and then paid for the wifi to watch and it was really decent. The 
storage space and hanging space for clothes was really poor, think there 
was about four hangers and no cupboard space at all."&amp;" Overall a small room, 
but it did for us. 7/10 Outside facilities - We used food delivery services 
such as Just Eat and Foodhub as well as Uber and they were all great. There 
isnt an allocated place for them to stop but there is a small side road 
righ"&amp;"t next to the hotel so most went there. Overall we really enjoyed our 
stay and we would definitely go back; in fact if we go to London again 
anytime soon we almost certainly will go back. A really good place to stay! 
8/10…Read moreDate of stay: July 20"&amp;"19LocationCleanlinessService1 Helpful 
voteHelpfulShare")</f>
        <v>A fantastic place to stay for tourists on London!We stayed here for 5 nights for my wifes birthday in July 2019. We have 
stayed in several places around London and we picked this for a combination 
of location and price - essentially it was the best value and near the area 
we know well (Waterloo). Location - It is a leisurely 12-15 minute 
leisurely walk to The London Eye, Sealife Centre, Shrek Adventure, Tower of 
London, Big Ben, Houses of Parliament and others. It is about 7 ish minutes 
walk to Waterloo bridge and only a couple of minutes walk to The Old Vic. 
There is an underground station about 5 minutes walk away. We found it 
really handy location wise - just a tiny bit out of the really loud centre 
but only a few minutes walk away when you wanted to get there. Locally 
there were takeaways, a really handy newsagents and a couple of restaurants 
all within 1 minute walk. There were a couple of small supermarkets about 
2-4 minutes walk away. 9/10 Safety - The area felt safe. We did see some 
homeless people, and a couple of people who appeared to be suffering the 
effects of having taken something down the road - but this was a few 
minutes down the road and it is London so you are going to see these things 
sometimes unfortunately. We always felt safe, but obviously like any big 
city you shouldnt be walking around by yourself in the wee hours. 8/10 
Welcome area, facilities &amp; check in - Has a nice little seating area, a 
check in desk, a couple of automated check in machines, a bar area (with 
free water with fruit in it on the desk), some TV's. We didnt eat at the 
restaurant but it looked really nice, good sized seating and the breakfast 
looked delicious. Everything you need. 9/10 Rooms - Firstly, the rooms had 
AIR CON!!! It was the UK's second hottest day ever and London's hottest 
ever at just over 38C; so the air con and free water were absolutely 
incredible to come back to after a long day. Travelodge's ive stayed at in 
the past havent really dealt very well with heat, so for this one to have 
these was amazing. The room was on the ground floor and it was pretty 
small. The shower was nice, a good temperature and easy to use. The bed was 
comfortable and had USB connectors for you to charge your phone next to the 
bed which was awesome. The TV was good, we connected our fire stick to the 
TV and then paid for the wifi to watch and it was really decent. The 
storage space and hanging space for clothes was really poor, think there 
was about four hangers and no cupboard space at all. Overall a small room, 
but it did for us. 7/10 Outside facilities - We used food delivery services 
such as Just Eat and Foodhub as well as Uber and they were all great. There 
isnt an allocated place for them to stop but there is a small side road 
right next to the hotel so most went there. Overall we really enjoyed our 
stay and we would definitely go back; in fact if we go to London again 
anytime soon we almost certainly will go back. A really good place to stay! 
8/10…Read moreDate of stay: July 2019LocationCleanlinessService1 Helpful 
voteHelpfulShare</v>
      </c>
      <c r="I2" s="21"/>
      <c r="J2" s="21" t="str">
        <f ca="1">IFERROR(__xludf.DUMMYFUNCTION("IMPORTXML(C2, $J$1)"),"JRRL C wrote a review Apr 20201 contribution")</f>
        <v>JRRL C wrote a review Apr 20201 contribution</v>
      </c>
      <c r="K2" s="4" t="str">
        <f ca="1">IFERROR(__xludf.DUMMYFUNCTION("""COMPUTED_VALUE"""),"TravelodgeThe hotel is kept in good condition, room is clean - fairly new building. 
On site security bilingual English and french - due to my circumstances my 
stay has been arranged by a charity organisation that is helping those who 
are homeless durin"&amp;"g this COVID-19 Situation. Clean lifts, Corridors are 
clean Bathroom facilities (shower and basin) Complimentary coffee and tea 
USB ports and sockets. Plasma TVRead moreDate of stay: April 2020Trip type: 
Travelled soloHelpfulShare")</f>
        <v>TravelodgeThe hotel is kept in good condition, room is clean - fairly new building. 
On site security bilingual English and french - due to my circumstances my 
stay has been arranged by a charity organisation that is helping those who 
are homeless during this COVID-19 Situation. Clean lifts, Corridors are 
clean Bathroom facilities (shower and basin) Complimentary coffee and tea 
USB ports and sockets. Plasma TVRead moreDate of stay: April 2020Trip type: 
Travelled soloHelpfulShare</v>
      </c>
      <c r="L2" s="21"/>
      <c r="M2" s="21" t="str">
        <f ca="1">IFERROR(__xludf.DUMMYFUNCTION("IMPORTXML(C2, $M$1)"),"Neil Cottam wrote a review Mar 2020Kilburn, United Kingdom20 contributions4 
helpful votes")</f>
        <v>Neil Cottam wrote a review Mar 2020Kilburn, United Kingdom20 contributions4 
helpful votes</v>
      </c>
      <c r="N2" s="4" t="str">
        <f ca="1">IFERROR(__xludf.DUMMYFUNCTION("""COMPUTED_VALUE"""),"BusinessWelcoming and helpful staff, excellent location close to the South Bank and 
Waterloo Station. Very clean and modern rooms. Excellent shower. Plenty of 
USB and power points in the room. Free tea/coffee. Competitive pricing.Read 
moreDate of stay:"&amp;" March 2020HelpfulShare")</f>
        <v>BusinessWelcoming and helpful staff, excellent location close to the South Bank and 
Waterloo Station. Very clean and modern rooms. Excellent shower. Plenty of 
USB and power points in the room. Free tea/coffee. Competitive pricing.Read 
moreDate of stay: March 2020HelpfulShare</v>
      </c>
      <c r="O2" s="21"/>
      <c r="P2" s="21" t="str">
        <f ca="1">IFERROR(__xludf.DUMMYFUNCTION("IMPORTXML(C2, $P$1)"),"Cheeky C wrote a review Mar 20202 contributions1 helpful vote")</f>
        <v>Cheeky C wrote a review Mar 20202 contributions1 helpful vote</v>
      </c>
      <c r="Q2" s="4" t="str">
        <f ca="1">IFERROR(__xludf.DUMMYFUNCTION("""COMPUTED_VALUE"""),"Business visitHotel is very good, reasonable price for central London. Had an issue with 
some homeless ppl shouting and making noise outside. I spoke to the 
security guard Will. A very nice chap. He spoke to the ppl outside that 
started getting aggress"&amp;"ive and made them move from outside the hotel. I 
felt a lot safer knowing will was around to sort these issues out.Read 
moreDate of stay: March 2020Trip type: Travelled on businessHelpfulShare")</f>
        <v>Business visitHotel is very good, reasonable price for central London. Had an issue with 
some homeless ppl shouting and making noise outside. I spoke to the 
security guard Will. A very nice chap. He spoke to the ppl outside that 
started getting aggressive and made them move from outside the hotel. I 
felt a lot safer knowing will was around to sort these issues out.Read 
moreDate of stay: March 2020Trip type: Travelled on businessHelpfulShare</v>
      </c>
      <c r="U2" s="4" t="str">
        <f ca="1">IFERROR(__xludf.DUMMYFUNCTION("IMPORTXML(C3,$U$1)"),"Loading...")</f>
        <v>Loading...</v>
      </c>
    </row>
    <row r="3" spans="1:21" ht="15">
      <c r="A3" s="18" t="s">
        <v>111</v>
      </c>
      <c r="B3" s="17" t="s">
        <v>126</v>
      </c>
      <c r="C3" s="23" t="str">
        <f t="shared" ref="C3:C228" si="0">CONCATENATE(A3,B3)</f>
        <v>https://www.tripadvisor.co.uk/Hotel_Review-g186338-d1812157-Reviews-or5-Travelodge_London_Waterloo_Hotel-London_England.html#REVIEWS</v>
      </c>
      <c r="D3" s="4" t="str">
        <f ca="1">IFERROR(__xludf.DUMMYFUNCTION("IMPORTXML(C3,$D$1)"),"#N/A")</f>
        <v>#N/A</v>
      </c>
      <c r="G3" s="20" t="str">
        <f ca="1">IFERROR(__xludf.DUMMYFUNCTION("IMPORTXML(C3, $G$1)"),"#N/A")</f>
        <v>#N/A</v>
      </c>
      <c r="I3" s="21"/>
      <c r="J3" s="21" t="str">
        <f ca="1">IFERROR(__xludf.DUMMYFUNCTION("IMPORTXML(C3, $J$1)"),"#N/A")</f>
        <v>#N/A</v>
      </c>
      <c r="L3" s="21"/>
      <c r="M3" s="21" t="str">
        <f ca="1">IFERROR(__xludf.DUMMYFUNCTION("IMPORTXML(C3, $M$1)"),"#N/A")</f>
        <v>#N/A</v>
      </c>
      <c r="O3" s="21"/>
      <c r="P3" s="21" t="str">
        <f ca="1">IFERROR(__xludf.DUMMYFUNCTION("IMPORTXML(C3, $P$1)"),"LyeCon wrote a review Mar 2020Swindon, United Kingdom328 contributions138 
helpful votes")</f>
        <v>LyeCon wrote a review Mar 2020Swindon, United Kingdom328 contributions138 
helpful votes</v>
      </c>
      <c r="Q3" s="4" t="str">
        <f ca="1">IFERROR(__xludf.DUMMYFUNCTION("""COMPUTED_VALUE"""),"Nice SurpriseAs others have written, the Waterloo Travelodge seems fairly ordinary from 
the outside, but boy what a pleasant surprise to see how good it is. It 
feels bright and welcoming, and friendly reception staff on the main desk. 
We opted for one "&amp;"of the larger, quiter rooms (604). It certainly was quiet 
and spacious, a far cry from some of the boxy accommodations offered by 
budget chains. We heard no external noise whatsoever. The location is 
really good, and is easily walkable to the other sid"&amp;"e of the Thames. Topped 
up with a really good unlimited breakfast, we left feeling very satisfied 
with this Travelodge. Great big thumbs up!Read moreDate of stay: March 
2020HelpfulShare")</f>
        <v>Nice SurpriseAs others have written, the Waterloo Travelodge seems fairly ordinary from 
the outside, but boy what a pleasant surprise to see how good it is. It 
feels bright and welcoming, and friendly reception staff on the main desk. 
We opted for one of the larger, quiter rooms (604). It certainly was quiet 
and spacious, a far cry from some of the boxy accommodations offered by 
budget chains. We heard no external noise whatsoever. The location is 
really good, and is easily walkable to the other side of the Thames. Topped 
up with a really good unlimited breakfast, we left feeling very satisfied 
with this Travelodge. Great big thumbs up!Read moreDate of stay: March 
2020HelpfulShare</v>
      </c>
      <c r="U3" s="4" t="str">
        <f ca="1">IFERROR(__xludf.DUMMYFUNCTION("IMPORTXML(C4,$U$1)"),"Loading...")</f>
        <v>Loading...</v>
      </c>
    </row>
    <row r="4" spans="1:21" ht="15">
      <c r="A4" s="19" t="s">
        <v>158</v>
      </c>
      <c r="B4" s="17" t="s">
        <v>126</v>
      </c>
      <c r="C4" s="23" t="str">
        <f t="shared" si="0"/>
        <v>https://www.tripadvisor.co.uk/Hotel_Review-g186338-d1812157-Reviews-or10-Travelodge_London_Waterloo_Hotel-London_England.html#REVIEWS</v>
      </c>
      <c r="D4" s="4" t="str">
        <f ca="1">IFERROR(__xludf.DUMMYFUNCTION("IMPORTXML(C4,$D$1)"),"#N/A")</f>
        <v>#N/A</v>
      </c>
      <c r="G4" s="20" t="str">
        <f ca="1">IFERROR(__xludf.DUMMYFUNCTION("IMPORTXML(C4, $G$1)"),"danddk wrote a review Mar 2020Ringwood, United Kingdom1 contribution")</f>
        <v>danddk wrote a review Mar 2020Ringwood, United Kingdom1 contribution</v>
      </c>
      <c r="H4" s="4" t="str">
        <f ca="1">IFERROR(__xludf.DUMMYFUNCTION("""COMPUTED_VALUE"""),"Best Travelodge We Have Stayed InThe place was quiet, clean, handy for Waterloo and central London and 
worked for us. Breakfast was excellent and the staff couldn't have been 
more friendly and helpful. If we want to stay in a reasonably central 
London "&amp;"location again, we will stay here.Read moreDate of stay: March 
2020HelpfulShare")</f>
        <v>Best Travelodge We Have Stayed InThe place was quiet, clean, handy for Waterloo and central London and 
worked for us. Breakfast was excellent and the staff couldn't have been 
more friendly and helpful. If we want to stay in a reasonably central 
London location again, we will stay here.Read moreDate of stay: March 
2020HelpfulShare</v>
      </c>
      <c r="I4" s="21"/>
      <c r="J4" s="21" t="str">
        <f ca="1">IFERROR(__xludf.DUMMYFUNCTION("IMPORTXML(C4, $J$1)"),"Nevaeh W wrote a review Mar 2020West Bromwich, United Kingdom7 
contributions5 helpful votes")</f>
        <v>Nevaeh W wrote a review Mar 2020West Bromwich, United Kingdom7 
contributions5 helpful votes</v>
      </c>
      <c r="K4" s="4" t="str">
        <f ca="1">IFERROR(__xludf.DUMMYFUNCTION("""COMPUTED_VALUE"""),"Credit where it's dueI had to make sure I added this - Travelodge WWaterloo looks like any other 
Travelodge. But this Travelodge has an excellent playlist, very helpful 
staff who all seem to smile even if the customer isn't. Just wanted to give 
credit "&amp;"to the Waterloo Travelodge staff who are a great bunchRead moreDate 
of stay: March 2020HelpfulShare")</f>
        <v>Credit where it's dueI had to make sure I added this - Travelodge WWaterloo looks like any other 
Travelodge. But this Travelodge has an excellent playlist, very helpful 
staff who all seem to smile even if the customer isn't. Just wanted to give 
credit to the Waterloo Travelodge staff who are a great bunchRead moreDate 
of stay: March 2020HelpfulShare</v>
      </c>
      <c r="L4" s="21"/>
      <c r="M4" s="21" t="str">
        <f ca="1">IFERROR(__xludf.DUMMYFUNCTION("IMPORTXML(C4, $M$1)"),"Neil B wrote a review Mar 2020York, United Kingdom12 contributions2 helpful 
votes")</f>
        <v>Neil B wrote a review Mar 2020York, United Kingdom12 contributions2 helpful 
votes</v>
      </c>
      <c r="N4" s="4" t="str">
        <f ca="1">IFERROR(__xludf.DUMMYFUNCTION("""COMPUTED_VALUE"""),"A good choiceThis branch of Travelodge is only a few hundred metres from Waterloo 
Railway station, so it's convenient in that respect. There are enough cafes 
and restaurants in the vicinity but the in-house restaurant at this hotel 
proved very handy; e"&amp;"specially when it was raining. There is also a bar area 
just off Reception and adjacent to the lifts and restaurant. My room was 
equipped with a tea &amp; coffee facility, an ironing board ( irons available 
from Reception) and towels were changed during my"&amp;" 3 night stay. The only 
small fault I found was in one of the ""public"" toilets on the ground floor 
where some paper had found its way onto the floor and the hand drier wasn't 
working - but that was fixed the next day. The decor throughout is plain 
a"&amp;"nd utilitarian but that suits the style of hotel.…Read moreReview 
collected in partnership with TravelodgeDate of stay: March 2020HelpfulShare")</f>
        <v>A good choiceThis branch of Travelodge is only a few hundred metres from Waterloo 
Railway station, so it's convenient in that respect. There are enough cafes 
and restaurants in the vicinity but the in-house restaurant at this hotel 
proved very handy; especially when it was raining. There is also a bar area 
just off Reception and adjacent to the lifts and restaurant. My room was 
equipped with a tea &amp; coffee facility, an ironing board ( irons available 
from Reception) and towels were changed during my 3 night stay. The only 
small fault I found was in one of the "public" toilets on the ground floor 
where some paper had found its way onto the floor and the hand drier wasn't 
working - but that was fixed the next day. The decor throughout is plain 
and utilitarian but that suits the style of hotel.…Read moreReview 
collected in partnership with TravelodgeDate of stay: March 2020HelpfulShare</v>
      </c>
      <c r="O4" s="21"/>
      <c r="P4" s="21" t="str">
        <f ca="1">IFERROR(__xludf.DUMMYFUNCTION("IMPORTXML(C4, $P$1)"),"adrianpreecejenkins wrote a review Mar 2020Bournemouth, United Kingdom1 
contribution")</f>
        <v>adrianpreecejenkins wrote a review Mar 2020Bournemouth, United Kingdom1 
contribution</v>
      </c>
      <c r="Q4" s="4" t="str">
        <f ca="1">IFERROR(__xludf.DUMMYFUNCTION("""COMPUTED_VALUE"""),"Weekend get awayGreat location Easy to reach from Waterloo so was able to drop off cases 
and enjoy London almost immediately on arrival --- no need to wait for 
check in time Location is great for easily exploring London and quite some 
nice pubs and pla"&amp;"ces to eat nearby Friendly helpful staff. Clean room Great 
valueRead moreReview collected in partnership with this hotelDate of stay: 
February 2020HelpfulShare")</f>
        <v>Weekend get awayGreat location Easy to reach from Waterloo so was able to drop off cases 
and enjoy London almost immediately on arrival --- no need to wait for 
check in time Location is great for easily exploring London and quite some 
nice pubs and places to eat nearby Friendly helpful staff. Clean room Great 
valueRead moreReview collected in partnership with this hotelDate of stay: 
February 2020HelpfulShare</v>
      </c>
      <c r="U4" s="4" t="str">
        <f ca="1">IFERROR(__xludf.DUMMYFUNCTION("IMPORTXML(C5,$U$1)"),"Loading...")</f>
        <v>Loading...</v>
      </c>
    </row>
    <row r="5" spans="1:21" ht="15">
      <c r="A5" s="19" t="s">
        <v>203</v>
      </c>
      <c r="B5" s="17" t="s">
        <v>126</v>
      </c>
      <c r="C5" s="23" t="str">
        <f t="shared" si="0"/>
        <v>https://www.tripadvisor.co.uk/Hotel_Review-g186338-d1812157-Reviews-or15-Travelodge_London_Waterloo_Hotel-London_England.html#REVIEWS</v>
      </c>
      <c r="D5" s="4" t="str">
        <f ca="1">IFERROR(__xludf.DUMMYFUNCTION("IMPORTXML(C5,$D$1)"),"Donna M wrote a review Mar 20201 contribution")</f>
        <v>Donna M wrote a review Mar 20201 contribution</v>
      </c>
      <c r="E5" s="4" t="str">
        <f ca="1">IFERROR(__xludf.DUMMYFUNCTION("""COMPUTED_VALUE"""),"Theatre tripGood room, did what it said it would, it was pleasant, it could have been a 
bit cleaner, but it was clean enough for one night. There was some outside 
noise, but that was expected. We would stay here again if we come 
again.Read moreReview c"&amp;"ollected in partnership with this hotelDate of stay: 
February 2020HelpfulShare")</f>
        <v>Theatre tripGood room, did what it said it would, it was pleasant, it could have been a 
bit cleaner, but it was clean enough for one night. There was some outside 
noise, but that was expected. We would stay here again if we come 
again.Read moreReview collected in partnership with this hotelDate of stay: 
February 2020HelpfulShare</v>
      </c>
      <c r="G5" s="24" t="str">
        <f ca="1">IFERROR(__xludf.DUMMYFUNCTION("IMPORTXML(C5, $G$1)"),"JayAngie2014 wrote a review Mar 2020Liverpool, United Kingdom33 
contributions11 helpful votes")</f>
        <v>JayAngie2014 wrote a review Mar 2020Liverpool, United Kingdom33 
contributions11 helpful votes</v>
      </c>
      <c r="H5" s="4" t="str">
        <f ca="1">IFERROR(__xludf.DUMMYFUNCTION("""COMPUTED_VALUE"""),"London Central Waterloo Travelodge - a superb experience!Everything was perfect, from the welcome at reception to the beautifully 
clean &amp; maintained room &amp; bathroom, to the hearty breakfast and the lovely 
bar staff with reasonable drinks prices for cent"&amp;"ral London. Wonderful, and 
thank you to all the staff!Read moreReview collected in partnership with 
TravelodgeDate of stay: March 2020HelpfulShare")</f>
        <v>London Central Waterloo Travelodge - a superb experience!Everything was perfect, from the welcome at reception to the beautifully 
clean &amp; maintained room &amp; bathroom, to the hearty breakfast and the lovely 
bar staff with reasonable drinks prices for central London. Wonderful, and 
thank you to all the staff!Read moreReview collected in partnership with 
TravelodgeDate of stay: March 2020HelpfulShare</v>
      </c>
      <c r="I5" s="21"/>
      <c r="J5" s="21" t="str">
        <f ca="1">IFERROR(__xludf.DUMMYFUNCTION("IMPORTXML(C5, $J$1)"),"IndianaBec wrote a review Mar 2020Peebles, United Kingdom9 contributions2 
helpful votes")</f>
        <v>IndianaBec wrote a review Mar 2020Peebles, United Kingdom9 contributions2 
helpful votes</v>
      </c>
      <c r="K5" s="4" t="str">
        <f ca="1">IFERROR(__xludf.DUMMYFUNCTION("""COMPUTED_VALUE"""),"Extremely convenient for Old Vic TheatreNice hotel, convenient location. Less than five minutes walk from the Old 
Vic Theatre and less than ten minutes from Waterloo station / tube. Quiet 
but with all necessary conveniences. We had a double room with an"&amp;" extra 
single bed - plenty of space in the room.Read moreReview collected in 
partnership with TravelodgeDate of stay: March 2020HelpfulShare")</f>
        <v>Extremely convenient for Old Vic TheatreNice hotel, convenient location. Less than five minutes walk from the Old 
Vic Theatre and less than ten minutes from Waterloo station / tube. Quiet 
but with all necessary conveniences. We had a double room with an extra 
single bed - plenty of space in the room.Read moreReview collected in 
partnership with TravelodgeDate of stay: March 2020HelpfulShare</v>
      </c>
      <c r="L5" s="21"/>
      <c r="M5" s="21" t="str">
        <f ca="1">IFERROR(__xludf.DUMMYFUNCTION("IMPORTXML(C5, $M$1)"),"faaarmerboy wrote a review Mar 2020Lechlade, United Kingdom30 
contributions12 helpful votes")</f>
        <v>faaarmerboy wrote a review Mar 2020Lechlade, United Kingdom30 
contributions12 helpful votes</v>
      </c>
      <c r="N5" s="4" t="str">
        <f ca="1">IFERROR(__xludf.DUMMYFUNCTION("""COMPUTED_VALUE"""),"Good Quality Budget HotelVery nice hotel, comfortable and clean throughout. Our room was in good 
order, with everything we needed for a couple of nights stay. Although a 
few extra clothes hangers wouldn't have gone amiss but we managed and lived 
out of"&amp;" the suitcase for the rest which was fine and anticipated. Good 
comfortable bed too. Tea and coffee is complimentary in the room and if you 
run out there was a basket at reception with additional supplies which you 
could help yourself to. Food was good"&amp;" quality in the dining area, a fairly 
basic lunch and dinner menu but good value, a two course deal for an 
evening meal cost £12.50, single courses were around the £10 mark. Although 
we didn't have lunch I think courses were roughly between £6-£8 and a"&amp;" 
little more for a full buffet breakfast. The staff were…Read moreDate of 
stay: March 2020HelpfulShare")</f>
        <v>Good Quality Budget HotelVery nice hotel, comfortable and clean throughout. Our room was in good 
order, with everything we needed for a couple of nights stay. Although a 
few extra clothes hangers wouldn't have gone amiss but we managed and lived 
out of the suitcase for the rest which was fine and anticipated. Good 
comfortable bed too. Tea and coffee is complimentary in the room and if you 
run out there was a basket at reception with additional supplies which you 
could help yourself to. Food was good quality in the dining area, a fairly 
basic lunch and dinner menu but good value, a two course deal for an 
evening meal cost £12.50, single courses were around the £10 mark. Although 
we didn't have lunch I think courses were roughly between £6-£8 and a 
little more for a full buffet breakfast. The staff were…Read moreDate of 
stay: March 2020HelpfulShare</v>
      </c>
      <c r="O5" s="21"/>
      <c r="P5" s="21" t="str">
        <f ca="1">IFERROR(__xludf.DUMMYFUNCTION("IMPORTXML(C5, $P$1)"),"Paul F wrote a review Mar 20205 contributions1 helpful vote")</f>
        <v>Paul F wrote a review Mar 20205 contributions1 helpful vote</v>
      </c>
      <c r="Q5" s="4" t="str">
        <f ca="1">IFERROR(__xludf.DUMMYFUNCTION("""COMPUTED_VALUE"""),"Night awayOvernight stay with early Check in and late Check Out. Great way to explore 
London Close to Waterloo station. Probably the best Travelodge we have 
stayed in. Quiet, Very friendly and accommodating. Great thanks go to all 
the staff especially "&amp;"Mel amd Lindsay for making it special. Full on 24hrs 
Theatre, Meals, Museum and gardens Southbank all within walking distance or 
cheap taxi / bus. Black cab driver said the Fish Bar next door was the best 
in London (next time). Our 3rd visit in 6 weeks"&amp;". Look out for deals.Read 
moreDate of stay: March 2020HelpfulShare")</f>
        <v>Night awayOvernight stay with early Check in and late Check Out. Great way to explore 
London Close to Waterloo station. Probably the best Travelodge we have 
stayed in. Quiet, Very friendly and accommodating. Great thanks go to all 
the staff especially Mel amd Lindsay for making it special. Full on 24hrs 
Theatre, Meals, Museum and gardens Southbank all within walking distance or 
cheap taxi / bus. Black cab driver said the Fish Bar next door was the best 
in London (next time). Our 3rd visit in 6 weeks. Look out for deals.Read 
moreDate of stay: March 2020HelpfulShare</v>
      </c>
      <c r="U5" s="4" t="str">
        <f ca="1">IFERROR(__xludf.DUMMYFUNCTION("IMPORTXML(C6,$U$1)"),"Loading...")</f>
        <v>Loading...</v>
      </c>
    </row>
    <row r="6" spans="1:21" ht="15">
      <c r="A6" s="19" t="s">
        <v>316</v>
      </c>
      <c r="B6" s="17" t="s">
        <v>126</v>
      </c>
      <c r="C6" s="23" t="str">
        <f t="shared" si="0"/>
        <v>https://www.tripadvisor.co.uk/Hotel_Review-g186338-d1812157-Reviews-or20-Travelodge_London_Waterloo_Hotel-London_England.html#REVIEWS</v>
      </c>
      <c r="D6" s="4" t="str">
        <f ca="1">IFERROR(__xludf.DUMMYFUNCTION("IMPORTXML(C6,$D$1)"),"#N/A")</f>
        <v>#N/A</v>
      </c>
      <c r="G6" s="24" t="str">
        <f ca="1">IFERROR(__xludf.DUMMYFUNCTION("IMPORTXML(C6, $G$1)"),"havingajoke wrote a review Mar 2020London, United Kingdom3 contributions3 
helpful votes")</f>
        <v>havingajoke wrote a review Mar 2020London, United Kingdom3 contributions3 
helpful votes</v>
      </c>
      <c r="H6" s="4" t="str">
        <f ca="1">IFERROR(__xludf.DUMMYFUNCTION("""COMPUTED_VALUE"""),"Small and friendlyOnly just arrived for two nights, but have had a really friendly welcome. 
Relaxing bar area then great service in the cafe/restaurant by Lindsay - 
she provided a warm welcome and 100% attention. Rooms are clean. Hot 
shower. A great st"&amp;"ay.Read moreDate of stay: March 2020HelpfulShare")</f>
        <v>Small and friendlyOnly just arrived for two nights, but have had a really friendly welcome. 
Relaxing bar area then great service in the cafe/restaurant by Lindsay - 
she provided a warm welcome and 100% attention. Rooms are clean. Hot 
shower. A great stay.Read moreDate of stay: March 2020HelpfulShare</v>
      </c>
      <c r="I6" s="21"/>
      <c r="J6" s="21" t="str">
        <f ca="1">IFERROR(__xludf.DUMMYFUNCTION("IMPORTXML(C6, $J$1)"),"munmunchowdhury wrote a review Mar 2020Dhaka City, Bangladesh1 contribution")</f>
        <v>munmunchowdhury wrote a review Mar 2020Dhaka City, Bangladesh1 contribution</v>
      </c>
      <c r="K6" s="4" t="str">
        <f ca="1">IFERROR(__xludf.DUMMYFUNCTION("""COMPUTED_VALUE"""),"Munmun Salma ChowdhuryI had an excellent stay at the travelodge waterloo hotel. It has an 
excellent location, The waterloo station is just 5 minutes walk. The 
breakfast is very good, with lots of choices and the service is also 
excellent.Read moreDate "&amp;"of stay: February 2020HelpfulShare")</f>
        <v>Munmun Salma ChowdhuryI had an excellent stay at the travelodge waterloo hotel. It has an 
excellent location, The waterloo station is just 5 minutes walk. The 
breakfast is very good, with lots of choices and the service is also 
excellent.Read moreDate of stay: February 2020HelpfulShare</v>
      </c>
      <c r="L6" s="21"/>
      <c r="M6" s="21" t="str">
        <f ca="1">IFERROR(__xludf.DUMMYFUNCTION("IMPORTXML(C6, $M$1)"),"Chris R wrote a review Mar 2020Wincanton, United Kingdom314 contributions54 
helpful votes")</f>
        <v>Chris R wrote a review Mar 2020Wincanton, United Kingdom314 contributions54 
helpful votes</v>
      </c>
      <c r="N6" s="4" t="str">
        <f ca="1">IFERROR(__xludf.DUMMYFUNCTION("""COMPUTED_VALUE"""),"Central London hotelThe hotel is in a great location, I had a super room, the room is very 
small, ok for a few days, had a desk and chair, 32 inch TV, good sized king 
sized bed. The hotel and room were very clean, the staff were so friendly, 
nothing wa"&amp;"s too much trouble for them. Good breakfast, the evening menu was 
a bit limited in truth. Overall a great place to stay, especially if you 
need to be close to the station and undergroundRead moreDate of stay: March 
2020HelpfulShare")</f>
        <v>Central London hotelThe hotel is in a great location, I had a super room, the room is very 
small, ok for a few days, had a desk and chair, 32 inch TV, good sized king 
sized bed. The hotel and room were very clean, the staff were so friendly, 
nothing was too much trouble for them. Good breakfast, the evening menu was 
a bit limited in truth. Overall a great place to stay, especially if you 
need to be close to the station and undergroundRead moreDate of stay: March 
2020HelpfulShare</v>
      </c>
      <c r="O6" s="21"/>
      <c r="P6" s="21" t="str">
        <f ca="1">IFERROR(__xludf.DUMMYFUNCTION("IMPORTXML(C6, $P$1)"),"Genghissian wrote a review Mar 2020London, United Kingdom102 
contributions45 helpful votes")</f>
        <v>Genghissian wrote a review Mar 2020London, United Kingdom102 
contributions45 helpful votes</v>
      </c>
      <c r="Q6" s="4" t="str">
        <f ca="1">IFERROR(__xludf.DUMMYFUNCTION("""COMPUTED_VALUE"""),"Great location and good pricesLovely friendly staff and a great location, especially if, like us, you 
arrive at Waterloo. We were able to drop bags and head off into London 
before check in time and pick them up at the end of the day after morning 
check"&amp;" out.Read moreReview collected in partnership with TravelodgeDate of 
stay: March 2020HelpfulShare")</f>
        <v>Great location and good pricesLovely friendly staff and a great location, especially if, like us, you 
arrive at Waterloo. We were able to drop bags and head off into London 
before check in time and pick them up at the end of the day after morning 
check out.Read moreReview collected in partnership with TravelodgeDate of 
stay: March 2020HelpfulShare</v>
      </c>
      <c r="U6" s="4" t="str">
        <f ca="1">IFERROR(__xludf.DUMMYFUNCTION("IMPORTXML(C7,$U$1)"),"Loading...")</f>
        <v>Loading...</v>
      </c>
    </row>
    <row r="7" spans="1:21" ht="15">
      <c r="A7" s="5" t="s">
        <v>455</v>
      </c>
      <c r="B7" s="17" t="s">
        <v>126</v>
      </c>
      <c r="C7" s="23" t="str">
        <f t="shared" si="0"/>
        <v>https://www.tripadvisor.co.uk/Hotel_Review-g186338-d1812157-Reviews-or25-Travelodge_London_Waterloo_Hotel-London_England.html#REVIEWS</v>
      </c>
      <c r="D7" s="4" t="str">
        <f ca="1">IFERROR(__xludf.DUMMYFUNCTION("IMPORTXML(C7,$D$1)"),"billyaylesbury wrote a review Mar 2020aylesbury169 contributions30 helpful 
votes")</f>
        <v>billyaylesbury wrote a review Mar 2020aylesbury169 contributions30 helpful 
votes</v>
      </c>
      <c r="E7" s="4" t="str">
        <f ca="1">IFERROR(__xludf.DUMMYFUNCTION("""COMPUTED_VALUE"""),"Does what it says on the labelStayed here 2 nights while walking the Thames Path . 5 minutes from 
Waterloo station with great bus ,train and tube connections. The room was 
clean and every member of the staff we encountered were happy and 
helpful.There "&amp;"are cafes and restaurants nearby and the area felt quite safe 
to walk around. When staying in Travelodge's we always takes a few extra 
tea bags with us as you only get a couple every ,milk sachets are available 
from reception.Read moreDate of stay: Mar"&amp;"ch 2020HelpfulShare")</f>
        <v>Does what it says on the labelStayed here 2 nights while walking the Thames Path . 5 minutes from 
Waterloo station with great bus ,train and tube connections. The room was 
clean and every member of the staff we encountered were happy and 
helpful.There are cafes and restaurants nearby and the area felt quite safe 
to walk around. When staying in Travelodge's we always takes a few extra 
tea bags with us as you only get a couple every ,milk sachets are available 
from reception.Read moreDate of stay: March 2020HelpfulShare</v>
      </c>
      <c r="G7" s="24" t="str">
        <f ca="1">IFERROR(__xludf.DUMMYFUNCTION("IMPORTXML(C7, $G$1)"),"#N/A")</f>
        <v>#N/A</v>
      </c>
      <c r="I7" s="21"/>
      <c r="J7" s="21" t="str">
        <f ca="1">IFERROR(__xludf.DUMMYFUNCTION("IMPORTXML(C7, $J$1)"),"michaeltwhelan wrote a review Mar 20201 contribution1 helpful vote")</f>
        <v>michaeltwhelan wrote a review Mar 20201 contribution1 helpful vote</v>
      </c>
      <c r="K7" s="4" t="str">
        <f ca="1">IFERROR(__xludf.DUMMYFUNCTION("""COMPUTED_VALUE"""),"Two night stayClean and central near to main train station and walking distance to most 
visitor attractions breakfast good paying for wifi poor and the curtains 
need to fit the windows better staff are friendly enjoy staying here.Read 
moreReview collec"&amp;"ted in partnership with this hotelDate of stay: March 
2020HelpfulShare")</f>
        <v>Two night stayClean and central near to main train station and walking distance to most 
visitor attractions breakfast good paying for wifi poor and the curtains 
need to fit the windows better staff are friendly enjoy staying here.Read 
moreReview collected in partnership with this hotelDate of stay: March 
2020HelpfulShare</v>
      </c>
      <c r="L7" s="21"/>
      <c r="M7" s="21" t="str">
        <f ca="1">IFERROR(__xludf.DUMMYFUNCTION("IMPORTXML(C7, $M$1)"),"sineadmason9 wrote a review Mar 2020County Limerick, Ireland1 contribution")</f>
        <v>sineadmason9 wrote a review Mar 2020County Limerick, Ireland1 contribution</v>
      </c>
      <c r="N7" s="4" t="str">
        <f ca="1">IFERROR(__xludf.DUMMYFUNCTION("""COMPUTED_VALUE"""),"Weekend awayThe reception staff were extremely friendly and helpful, they always had a 
smile on their face when they greeted you. The location of the hotel was 
excellent, walking distance to a lot of attractions Really enjoyed my 
stayRead moreReview co"&amp;"llected in partnership with TravelodgeDate of stay: 
February 2020HelpfulShare")</f>
        <v>Weekend awayThe reception staff were extremely friendly and helpful, they always had a 
smile on their face when they greeted you. The location of the hotel was 
excellent, walking distance to a lot of attractions Really enjoyed my 
stayRead moreReview collected in partnership with TravelodgeDate of stay: 
February 2020HelpfulShare</v>
      </c>
      <c r="O7" s="21"/>
      <c r="P7" s="21" t="str">
        <f ca="1">IFERROR(__xludf.DUMMYFUNCTION("IMPORTXML(C7, $P$1)"),"MeghanMcfarlan wrote a review Feb 20201 contribution")</f>
        <v>MeghanMcfarlan wrote a review Feb 20201 contribution</v>
      </c>
      <c r="Q7" s="4" t="str">
        <f ca="1">IFERROR(__xludf.DUMMYFUNCTION("""COMPUTED_VALUE"""),"MissI have stayed for 2 days in this hotel and the room was clean and spacious. 
The bed was comfy and very comfortable. The breakfast was delicious with 
plenty of choices. The staff were very friendly in special Tanzila. I would 
stay here again next ti"&amp;"me and I would definitely recommend this hotel to my 
family and friends.Read moreDate of stay: February 2020HelpfulShare")</f>
        <v>MissI have stayed for 2 days in this hotel and the room was clean and spacious. 
The bed was comfy and very comfortable. The breakfast was delicious with 
plenty of choices. The staff were very friendly in special Tanzila. I would 
stay here again next time and I would definitely recommend this hotel to my 
family and friends.Read moreDate of stay: February 2020HelpfulShare</v>
      </c>
      <c r="U7" s="4" t="str">
        <f ca="1">IFERROR(__xludf.DUMMYFUNCTION("IMPORTXML(C8,$U$1)"),"Loading...")</f>
        <v>Loading...</v>
      </c>
    </row>
    <row r="8" spans="1:21" ht="15">
      <c r="A8" s="25" t="s">
        <v>564</v>
      </c>
      <c r="B8" s="17" t="s">
        <v>126</v>
      </c>
      <c r="C8" s="23" t="str">
        <f t="shared" si="0"/>
        <v>https://www.tripadvisor.co.uk/Hotel_Review-g186338-d1812157-Reviews-or30-Travelodge_London_Waterloo_Hotel-London_England.html#REVIEWS</v>
      </c>
      <c r="D8" s="4" t="str">
        <f ca="1">IFERROR(__xludf.DUMMYFUNCTION("IMPORTXML(C8,$D$1)"),"#N/A")</f>
        <v>#N/A</v>
      </c>
      <c r="G8" s="24" t="str">
        <f ca="1">IFERROR(__xludf.DUMMYFUNCTION("IMPORTXML(C8, $G$1)"),"Rosalia23 wrote a review Feb 2020London, United Kingdom3 contributions")</f>
        <v>Rosalia23 wrote a review Feb 2020London, United Kingdom3 contributions</v>
      </c>
      <c r="H8" s="4" t="str">
        <f ca="1">IFERROR(__xludf.DUMMYFUNCTION("""COMPUTED_VALUE"""),"Wonderfully adorable place to stay!!I loved staying at this hotel. I had asked for the room to be decorated for 
my anniversary and what we got was absolutely perfect more than what we 
hoped for. I had to find out who was the person responsible for this "&amp;"and 
reception told me it was assistant manager Fatima. Thank you so much Fatima 
you made our stay that extra special!! The room was clean and smelled fresh 
and staff were all amazing. We will come back here again!!Read moreDate of 
stay: February 2020H"&amp;"elpfulShare")</f>
        <v>Wonderfully adorable place to stay!!I loved staying at this hotel. I had asked for the room to be decorated for 
my anniversary and what we got was absolutely perfect more than what we 
hoped for. I had to find out who was the person responsible for this and 
reception told me it was assistant manager Fatima. Thank you so much Fatima 
you made our stay that extra special!! The room was clean and smelled fresh 
and staff were all amazing. We will come back here again!!Read moreDate of 
stay: February 2020HelpfulShare</v>
      </c>
      <c r="I8" s="21"/>
      <c r="J8" s="21" t="str">
        <f ca="1">IFERROR(__xludf.DUMMYFUNCTION("IMPORTXML(C8, $J$1)"),"kscumbria wrote a review Feb 2020Kendal, United Kingdom112 contributions69 
helpful votes")</f>
        <v>kscumbria wrote a review Feb 2020Kendal, United Kingdom112 contributions69 
helpful votes</v>
      </c>
      <c r="K8" s="4" t="str">
        <f ca="1">IFERROR(__xludf.DUMMYFUNCTION("""COMPUTED_VALUE"""),"Close to Waterloo station and Old VicHotel was close to Waterloo station(exit 7) and The Old Vic. 10 minute walk 
to The Eye. The reception area was busy when we checked in the staff 
quickly got our room key. The room was clean as was the bathroom. Enoug"&amp;"h 
towels. Coffee and tea sparse had to go to reception to get more as only 
two coffees in a room with three. That led to a 5 minute wait while staff 
when to get milk. Just put more in the room to save customers having to 
trape to reception and waste t"&amp;"heir time. No hairdryer in room when went to 
reception to ask for one they told me none available. Again wasted trip to 
reception- if in the room no problems.Read moreReview collected in 
partnership with TravelodgeDate of stay: February 2020HelpfulShar"&amp;"e")</f>
        <v>Close to Waterloo station and Old VicHotel was close to Waterloo station(exit 7) and The Old Vic. 10 minute walk 
to The Eye. The reception area was busy when we checked in the staff 
quickly got our room key. The room was clean as was the bathroom. Enough 
towels. Coffee and tea sparse had to go to reception to get more as only 
two coffees in a room with three. That led to a 5 minute wait while staff 
when to get milk. Just put more in the room to save customers having to 
trape to reception and waste their time. No hairdryer in room when went to 
reception to ask for one they told me none available. Again wasted trip to 
reception- if in the room no problems.Read moreReview collected in 
partnership with TravelodgeDate of stay: February 2020HelpfulShare</v>
      </c>
      <c r="L8" s="21"/>
      <c r="M8" s="21" t="str">
        <f ca="1">IFERROR(__xludf.DUMMYFUNCTION("IMPORTXML(C8, $M$1)"),"cmckennan wrote a review Feb 20206 contributions")</f>
        <v>cmckennan wrote a review Feb 20206 contributions</v>
      </c>
      <c r="N8" s="4" t="str">
        <f ca="1">IFERROR(__xludf.DUMMYFUNCTION("""COMPUTED_VALUE"""),"fantastic place to stayI couldn't recommend this hotel enough, such a high standard from what 
Travelodge normally is the rooms were great and the staff were beyond 
amazing. such a prime location for a hotel as it was only a 2 minute walk 
from the subwa"&amp;"y and had some really great bars and restaurants around about 
it.Read moreReview collected in partnership with TravelodgeDate of stay: 
February 2020HelpfulShare")</f>
        <v>fantastic place to stayI couldn't recommend this hotel enough, such a high standard from what 
Travelodge normally is the rooms were great and the staff were beyond 
amazing. such a prime location for a hotel as it was only a 2 minute walk 
from the subway and had some really great bars and restaurants around about 
it.Read moreReview collected in partnership with TravelodgeDate of stay: 
February 2020HelpfulShare</v>
      </c>
      <c r="O8" s="21"/>
      <c r="P8" s="21" t="str">
        <f ca="1">IFERROR(__xludf.DUMMYFUNCTION("IMPORTXML(C8, $P$1)"),"John M wrote a review Feb 2020Enniskillen, United Kingdom853 
contributions319 helpful votes")</f>
        <v>John M wrote a review Feb 2020Enniskillen, United Kingdom853 
contributions319 helpful votes</v>
      </c>
      <c r="Q8" s="4" t="str">
        <f ca="1">IFERROR(__xludf.DUMMYFUNCTION("""COMPUTED_VALUE"""),"Always good value and good locationI attended a family wedding recently and stayed two nights here. As always, 
it was superbly located but at an excellent price. The staff were super 
efficient and the room was clean and very functional. Just what you ex"&amp;"pect 
from Travelodge.Read moreDate of stay: January 2020HelpfulShare")</f>
        <v>Always good value and good locationI attended a family wedding recently and stayed two nights here. As always, 
it was superbly located but at an excellent price. The staff were super 
efficient and the room was clean and very functional. Just what you expect 
from Travelodge.Read moreDate of stay: January 2020HelpfulShare</v>
      </c>
      <c r="U8" s="4" t="str">
        <f ca="1">IFERROR(__xludf.DUMMYFUNCTION("IMPORTXML(C9,$U$1)"),"Loading...")</f>
        <v>Loading...</v>
      </c>
    </row>
    <row r="9" spans="1:21" ht="15">
      <c r="A9" s="25" t="s">
        <v>678</v>
      </c>
      <c r="B9" s="17" t="s">
        <v>126</v>
      </c>
      <c r="C9" s="23" t="str">
        <f t="shared" si="0"/>
        <v>https://www.tripadvisor.co.uk/Hotel_Review-g186338-d1812157-Reviews-or35-Travelodge_London_Waterloo_Hotel-London_England.html#REVIEWS</v>
      </c>
      <c r="D9" s="4" t="str">
        <f ca="1">IFERROR(__xludf.DUMMYFUNCTION("IMPORTXML(C9,$D$1)"),"Frank F wrote a review Feb 20203 contributions2 helpful votes")</f>
        <v>Frank F wrote a review Feb 20203 contributions2 helpful votes</v>
      </c>
      <c r="E9" s="4" t="str">
        <f ca="1">IFERROR(__xludf.DUMMYFUNCTION("""COMPUTED_VALUE"""),"London in FebruaryWe stayed over at the Travelodge Waterloo for 3 nights during this February 
half term. Very well positioned for the central London sights, easy walking 
distance to the London Eye, a well appointed hotel in this price range. The 
room w"&amp;"as smart and modern, and included everything you would expect, 
including plenty of USB charging points. The food in the restaurant was 
good, and the All You Can Eat buffet breakfast was awesome. It was however 
the staff that made our stay great, and wh"&amp;"y we would stay here again. 
Lindsay in particular looked after us really well each evening for dinner, 
and was very friendly and welcoming. The team at Reception were most 
helpful, and were always on hand to answer questions or help us out with 
anythi"&amp;"ng we needed. A hotel is often just a hotel,…Read moreDate of stay: 
February 2020HelpfulShare")</f>
        <v>London in FebruaryWe stayed over at the Travelodge Waterloo for 3 nights during this February 
half term. Very well positioned for the central London sights, easy walking 
distance to the London Eye, a well appointed hotel in this price range. The 
room was smart and modern, and included everything you would expect, 
including plenty of USB charging points. The food in the restaurant was 
good, and the All You Can Eat buffet breakfast was awesome. It was however 
the staff that made our stay great, and why we would stay here again. 
Lindsay in particular looked after us really well each evening for dinner, 
and was very friendly and welcoming. The team at Reception were most 
helpful, and were always on hand to answer questions or help us out with 
anything we needed. A hotel is often just a hotel,…Read moreDate of stay: 
February 2020HelpfulShare</v>
      </c>
      <c r="G9" s="24" t="str">
        <f ca="1">IFERROR(__xludf.DUMMYFUNCTION("IMPORTXML(C9, $G$1)"),"reuven h wrote a review Feb 2020Tel Aviv4 contributions")</f>
        <v>reuven h wrote a review Feb 2020Tel Aviv4 contributions</v>
      </c>
      <c r="H9" s="4" t="str">
        <f ca="1">IFERROR(__xludf.DUMMYFUNCTION("""COMPUTED_VALUE"""),"Good Cost/performance hotel at the heart of London South bankGood and cosey hotel at the heart of the south bank near Old Vic Theater. 
minimal rooms however, large enough for couples w- well equipped and 
designed. Bar and dining room at the ground level"&amp;" are warm and inviting. 
Good atmosphere and nice people watching football drinking beers and wines 
having good time with friends and family.Read moreReview collected in 
partnership with TravelodgeDate of stay: February 2020HelpfulShare")</f>
        <v>Good Cost/performance hotel at the heart of London South bankGood and cosey hotel at the heart of the south bank near Old Vic Theater. 
minimal rooms however, large enough for couples w- well equipped and 
designed. Bar and dining room at the ground level are warm and inviting. 
Good atmosphere and nice people watching football drinking beers and wines 
having good time with friends and family.Read moreReview collected in 
partnership with TravelodgeDate of stay: February 2020HelpfulShare</v>
      </c>
      <c r="I9" s="21"/>
      <c r="J9" s="21" t="str">
        <f ca="1">IFERROR(__xludf.DUMMYFUNCTION("IMPORTXML(C9, $J$1)"),"Michele Davies wrote a review Feb 20202 contributions")</f>
        <v>Michele Davies wrote a review Feb 20202 contributions</v>
      </c>
      <c r="K9" s="4" t="str">
        <f ca="1">IFERROR(__xludf.DUMMYFUNCTION("""COMPUTED_VALUE"""),"Two night stayVery good hotel close to train station only a 4 min walk all on the flat . 
Rooms very clean and tidy all staff pleasant and helpful . Breakfast was 
super well stocked on all food . Was offered a room towards the back to 
have reduced noise"&amp;" from rd .Read moreDate of stay: February 2020HelpfulShare")</f>
        <v>Two night stayVery good hotel close to train station only a 4 min walk all on the flat . 
Rooms very clean and tidy all staff pleasant and helpful . Breakfast was 
super well stocked on all food . Was offered a room towards the back to 
have reduced noise from rd .Read moreDate of stay: February 2020HelpfulShare</v>
      </c>
      <c r="L9" s="21"/>
      <c r="M9" s="21" t="str">
        <f ca="1">IFERROR(__xludf.DUMMYFUNCTION("IMPORTXML(C9, $M$1)"),"Winifredmartha wrote a review Feb 2020Huntsham, United Kingdom7 
contributions8 helpful votes")</f>
        <v>Winifredmartha wrote a review Feb 2020Huntsham, United Kingdom7 
contributions8 helpful votes</v>
      </c>
      <c r="N9" s="4" t="str">
        <f ca="1">IFERROR(__xludf.DUMMYFUNCTION("""COMPUTED_VALUE"""),"Pleasant stayWe were pleasantly surprised with our overnight stay here. The hotel has 
been recently refurbished. The room was clean and we were able to enter our 
room early. The breakfast was very good with a wider than usual selection 
for a vegan diet"&amp;". The breakfast service was excellent. All in all better 
than a recent stay in the premier Inn. The only downside was the location, 
view of unattractive housing and lack of nearby parking. This hotel is 
quite a walk from Waterloo.Read moreDate of stay:"&amp;" February 2020HelpfulShare")</f>
        <v>Pleasant stayWe were pleasantly surprised with our overnight stay here. The hotel has 
been recently refurbished. The room was clean and we were able to enter our 
room early. The breakfast was very good with a wider than usual selection 
for a vegan diet. The breakfast service was excellent. All in all better 
than a recent stay in the premier Inn. The only downside was the location, 
view of unattractive housing and lack of nearby parking. This hotel is 
quite a walk from Waterloo.Read moreDate of stay: February 2020HelpfulShare</v>
      </c>
      <c r="O9" s="21"/>
      <c r="P9" s="21" t="str">
        <f ca="1">IFERROR(__xludf.DUMMYFUNCTION("IMPORTXML(C9, $P$1)"),"antonykillaspy wrote a review Feb 20201 contribution")</f>
        <v>antonykillaspy wrote a review Feb 20201 contribution</v>
      </c>
      <c r="Q9" s="4" t="str">
        <f ca="1">IFERROR(__xludf.DUMMYFUNCTION("""COMPUTED_VALUE"""),"My stay at Waterloo Travelodge.Well situated in Waterloo for visiting the surrounding area. The reception 
was well placed and the service was very good.The tariff for rooms was 
reasonable for central London. The facilities were good.Read moreReview 
col"&amp;"lected in partnership with this hotelDate of stay: February 
2020HelpfulShare")</f>
        <v>My stay at Waterloo Travelodge.Well situated in Waterloo for visiting the surrounding area. The reception 
was well placed and the service was very good.The tariff for rooms was 
reasonable for central London. The facilities were good.Read moreReview 
collected in partnership with this hotelDate of stay: February 
2020HelpfulShare</v>
      </c>
      <c r="U9" s="4" t="str">
        <f ca="1">IFERROR(__xludf.DUMMYFUNCTION("IMPORTXML(C10,$U$1)"),"Loading...")</f>
        <v>Loading...</v>
      </c>
    </row>
    <row r="10" spans="1:21" ht="15">
      <c r="A10" s="25" t="s">
        <v>780</v>
      </c>
      <c r="B10" s="17" t="s">
        <v>126</v>
      </c>
      <c r="C10" s="23" t="str">
        <f t="shared" si="0"/>
        <v>https://www.tripadvisor.co.uk/Hotel_Review-g186338-d1812157-Reviews-or40-Travelodge_London_Waterloo_Hotel-London_England.html#REVIEWS</v>
      </c>
      <c r="D10" s="4" t="str">
        <f ca="1">IFERROR(__xludf.DUMMYFUNCTION("IMPORTXML(C10,$D$1)"),"peterF433ZL wrote a review Feb 2020London, United Kingdom1 contribution")</f>
        <v>peterF433ZL wrote a review Feb 2020London, United Kingdom1 contribution</v>
      </c>
      <c r="E10" s="4" t="str">
        <f ca="1">IFERROR(__xludf.DUMMYFUNCTION("""COMPUTED_VALUE"""),"A good stopThe hotel is conveniently placed for the West-End. It offers well 
maintained basic facilities at a competitive price (Sunday night stay). 
Staff are very pleasant and helpful and the breakfast is good and value for 
money. Couldn't fault our s"&amp;"tay.Read moreReview collected in partnership 
with TravelodgeDate of stay: February 2020HelpfulShare")</f>
        <v>A good stopThe hotel is conveniently placed for the West-End. It offers well 
maintained basic facilities at a competitive price (Sunday night stay). 
Staff are very pleasant and helpful and the breakfast is good and value for 
money. Couldn't fault our stay.Read moreReview collected in partnership 
with TravelodgeDate of stay: February 2020HelpfulShare</v>
      </c>
      <c r="G10" s="24" t="str">
        <f ca="1">IFERROR(__xludf.DUMMYFUNCTION("IMPORTXML(C10, $G$1)"),"Nigel E wrote a review Feb 2020Penyffordd, United Kingdom29 contributions21 
helpful votes")</f>
        <v>Nigel E wrote a review Feb 2020Penyffordd, United Kingdom29 contributions21 
helpful votes</v>
      </c>
      <c r="H10" s="4" t="str">
        <f ca="1">IFERROR(__xludf.DUMMYFUNCTION("""COMPUTED_VALUE"""),"Could hardly be faulted, especially for the priceIt's a while since I've stayed in a Travelodge as the last one I stayed at 
felt a bit basic, tired, and was too hot. Not the case here though, perhaps 
it's the Travelodge Plus standard, and we also went f"&amp;"or a ""Superroom"", but 
it was all as good as many hotels costing a lot more. The £9.25 breakfasts 
were also as good as some upmarket hotels and well worth the price. And the 
hotel's location was good too, some of the main areas of central London are 
"&amp;"walk-able, but nothing was more than 5-10 minutes on a Tube.Read moreReview 
collected in partnership with TravelodgeDate of stay: February 
2020HelpfulShare")</f>
        <v>Could hardly be faulted, especially for the priceIt's a while since I've stayed in a Travelodge as the last one I stayed at 
felt a bit basic, tired, and was too hot. Not the case here though, perhaps 
it's the Travelodge Plus standard, and we also went for a "Superroom", but 
it was all as good as many hotels costing a lot more. The £9.25 breakfasts 
were also as good as some upmarket hotels and well worth the price. And the 
hotel's location was good too, some of the main areas of central London are 
walk-able, but nothing was more than 5-10 minutes on a Tube.Read moreReview 
collected in partnership with TravelodgeDate of stay: February 
2020HelpfulShare</v>
      </c>
      <c r="I10" s="21"/>
      <c r="J10" s="21" t="str">
        <f ca="1">IFERROR(__xludf.DUMMYFUNCTION("IMPORTXML(C10, $J$1)"),"Anon_Kent_11 wrote a review Feb 2020Sevenoaks, United Kingdom62 
contributions22 helpful votes")</f>
        <v>Anon_Kent_11 wrote a review Feb 2020Sevenoaks, United Kingdom62 
contributions22 helpful votes</v>
      </c>
      <c r="K10" s="4" t="str">
        <f ca="1">IFERROR(__xludf.DUMMYFUNCTION("""COMPUTED_VALUE"""),"Good centrally located hotelWe stayed here on Brexit Night! The room was very comfortable. There was a 
hairdryer in the room which some hotels in the Travelodge chain only have 
behind reception. The breakfast was good with a wide choice of hot and cold "&amp;"
food. It is a big hotel which perhaps explains why the catering and bar are 
better than others in the chain. It was quiet in the room. It is very near 
the Old Vic and Waterloo Station. The staff were very helpful and 
cheerful!Read moreDate of stay: Ja"&amp;"nuary 2020HelpfulShare")</f>
        <v>Good centrally located hotelWe stayed here on Brexit Night! The room was very comfortable. There was a 
hairdryer in the room which some hotels in the Travelodge chain only have 
behind reception. The breakfast was good with a wide choice of hot and cold 
food. It is a big hotel which perhaps explains why the catering and bar are 
better than others in the chain. It was quiet in the room. It is very near 
the Old Vic and Waterloo Station. The staff were very helpful and 
cheerful!Read moreDate of stay: January 2020HelpfulShare</v>
      </c>
      <c r="L10" s="21"/>
      <c r="M10" s="21" t="str">
        <f ca="1">IFERROR(__xludf.DUMMYFUNCTION("IMPORTXML(C10, $M$1)"),"#N/A")</f>
        <v>#N/A</v>
      </c>
      <c r="O10" s="21"/>
      <c r="P10" s="21" t="str">
        <f ca="1">IFERROR(__xludf.DUMMYFUNCTION("IMPORTXML(C10, $P$1)"),"campingguru2017 wrote a review Feb 2020Devon, United Kingdom4 
contributions1 helpful vote")</f>
        <v>campingguru2017 wrote a review Feb 2020Devon, United Kingdom4 
contributions1 helpful vote</v>
      </c>
      <c r="Q10" s="4" t="str">
        <f ca="1">IFERROR(__xludf.DUMMYFUNCTION("""COMPUTED_VALUE"""),"Best travelodge I've stayed in yet. Superb all roundSuperb value for central London. The room was really quiet at night with 
very little external noise which is great as I live in Devon which is 
always quiet. Slept like a log and for longer than I would"&amp;" do at home too. 
All the staff I interacted with where excellent and really helpful.I'll be 
booking again for a stay in June on business.Read moreDate of stay: 
February 2020HelpfulShare")</f>
        <v>Best travelodge I've stayed in yet. Superb all roundSuperb value for central London. The room was really quiet at night with 
very little external noise which is great as I live in Devon which is 
always quiet. Slept like a log and for longer than I would do at home too. 
All the staff I interacted with where excellent and really helpful.I'll be 
booking again for a stay in June on business.Read moreDate of stay: 
February 2020HelpfulShare</v>
      </c>
      <c r="U10" s="4" t="str">
        <f ca="1">IFERROR(__xludf.DUMMYFUNCTION("IMPORTXML(C11,$U$1)"),"Loading...")</f>
        <v>Loading...</v>
      </c>
    </row>
    <row r="11" spans="1:21" ht="15">
      <c r="A11" s="5" t="s">
        <v>868</v>
      </c>
      <c r="B11" s="17" t="s">
        <v>126</v>
      </c>
      <c r="C11" s="23" t="str">
        <f t="shared" si="0"/>
        <v>https://www.tripadvisor.co.uk/Hotel_Review-g186338-d1812157-Reviews-or45-Travelodge_London_Waterloo_Hotel-London_England.html#REVIEWS</v>
      </c>
      <c r="D11" s="4" t="str">
        <f ca="1">IFERROR(__xludf.DUMMYFUNCTION("IMPORTXML(C11,$D$1)"),"#N/A")</f>
        <v>#N/A</v>
      </c>
      <c r="G11" s="24" t="str">
        <f ca="1">IFERROR(__xludf.DUMMYFUNCTION("IMPORTXML(C11, $G$1)"),"natalierankin wrote a review Feb 2020Hastings, United Kingdom155 
contributions64 helpful votes")</f>
        <v>natalierankin wrote a review Feb 2020Hastings, United Kingdom155 
contributions64 helpful votes</v>
      </c>
      <c r="H11" s="4" t="str">
        <f ca="1">IFERROR(__xludf.DUMMYFUNCTION("""COMPUTED_VALUE"""),"Small Family RoomEnjoyed our one night stay here. All staff very friendly at checkin and at 
breakfast. # Atreyo was particularly chatty at the bar for a quick drink 
before bed. Room larger than we’d imagined, clean and bed very comfy. 
Didn’t realise ro"&amp;"om did not come with hair dryer but got one no fuss from 
the reception. Good location and tasty breakfast.Read moreDate of stay: 
February 2020HelpfulShare")</f>
        <v>Small Family RoomEnjoyed our one night stay here. All staff very friendly at checkin and at 
breakfast. # Atreyo was particularly chatty at the bar for a quick drink 
before bed. Room larger than we’d imagined, clean and bed very comfy. 
Didn’t realise room did not come with hair dryer but got one no fuss from 
the reception. Good location and tasty breakfast.Read moreDate of stay: 
February 2020HelpfulShare</v>
      </c>
      <c r="I11" s="21"/>
      <c r="J11" s="21" t="str">
        <f ca="1">IFERROR(__xludf.DUMMYFUNCTION("IMPORTXML(C11, $J$1)"),"Jamiecg wrote a review Feb 2020Manchester, United Kingdom31 contributions14 
helpful votes")</f>
        <v>Jamiecg wrote a review Feb 2020Manchester, United Kingdom31 contributions14 
helpful votes</v>
      </c>
      <c r="K11" s="4" t="str">
        <f ca="1">IFERROR(__xludf.DUMMYFUNCTION("""COMPUTED_VALUE"""),"UncleanI don’t usually give bad reviews so I was I disappointed by this hotel. The 
checking in process was quick and easy. When we got to our room we noticed 
a towel was dirty and the bin hadn’t been emptied so it was full from the 
previous customer. T"&amp;"he duvet cover had opened at the bottom so I went to 
fasten it, as I did this I noticed blood on the actual duvet and it was 
dirty-this was disgusting! The room was tidy and spacious but had a 
generally dirty feel about it (you felt unclean staying in "&amp;"it). This hotel 
was cheap compared to others but I still expect it to be clean. On the plus 
side we got a free chocolate bar when we checked in and the location was 
great. I probably wouldn’t stay here again.Read moreDate of stay: February 
2020Helpful"&amp;"ShareResponse from TravelodgeUK, James from the Social Media 
Team at Travelodge London Waterloo HotelResponded 19 Feb 2020Thank you for 
reviewing our Travelodge London Waterloo Hotel. We're so sorry to hear 
about your recent experience and would like t"&amp;"o hear more about your stay. 
May we kindly request you contact us with the link or a copy of your 
TripAdvisor review, via our website so our customer service team can 
investigate your visit with the hotel. Thank you again for posting your 
comments and"&amp;" we hope to hear from you soon.Read more")</f>
        <v>UncleanI don’t usually give bad reviews so I was I disappointed by this hotel. The 
checking in process was quick and easy. When we got to our room we noticed 
a towel was dirty and the bin hadn’t been emptied so it was full from the 
previous customer. The duvet cover had opened at the bottom so I went to 
fasten it, as I did this I noticed blood on the actual duvet and it was 
dirty-this was disgusting! The room was tidy and spacious but had a 
generally dirty feel about it (you felt unclean staying in it). This hotel 
was cheap compared to others but I still expect it to be clean. On the plus 
side we got a free chocolate bar when we checked in and the location was 
great. I probably wouldn’t stay here again.Read moreDate of stay: February 
2020HelpfulShareResponse from TravelodgeUK, James from the Social Media 
Team at Travelodge London Waterloo HotelResponded 19 Feb 2020Thank you for 
reviewing our Travelodge London Waterloo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v>
      </c>
      <c r="L11" s="21"/>
      <c r="M11" s="21" t="str">
        <f ca="1">IFERROR(__xludf.DUMMYFUNCTION("IMPORTXML(C11, $M$1)"),"Loading...")</f>
        <v>Loading...</v>
      </c>
      <c r="O11" s="21"/>
      <c r="P11" s="21" t="str">
        <f ca="1">IFERROR(__xludf.DUMMYFUNCTION("IMPORTXML(C11, $P$1)"),"purple005 wrote a review Feb 2020Gillingham, United Kingdom4 contributions")</f>
        <v>purple005 wrote a review Feb 2020Gillingham, United Kingdom4 contributions</v>
      </c>
      <c r="Q11" s="4" t="str">
        <f ca="1">IFERROR(__xludf.DUMMYFUNCTION("""COMPUTED_VALUE"""),"Friendly, helpful staff. Stay very good value for money.Good location for train and bus routes. All interactions from staff were 
very friendly and helpful. The room was clean and we found the bed 
comfortable. The bathroom was cramped, but the shower was"&amp;" good. We enjoyed 
the breakfast. Would definitely stay again.Read moreReview collected in 
partnership with this hotelDate of stay: February 2020HelpfulShare")</f>
        <v>Friendly, helpful staff. Stay very good value for money.Good location for train and bus routes. All interactions from staff were 
very friendly and helpful. The room was clean and we found the bed 
comfortable. The bathroom was cramped, but the shower was good. We enjoyed 
the breakfast. Would definitely stay again.Read moreReview collected in 
partnership with this hotelDate of stay: February 2020HelpfulShare</v>
      </c>
      <c r="U11" s="4" t="str">
        <f ca="1">IFERROR(__xludf.DUMMYFUNCTION("IMPORTXML(C12,$U$1)"),"Loading...")</f>
        <v>Loading...</v>
      </c>
    </row>
    <row r="12" spans="1:21" ht="15">
      <c r="A12" s="25" t="s">
        <v>943</v>
      </c>
      <c r="B12" s="17" t="s">
        <v>126</v>
      </c>
      <c r="C12" s="23" t="str">
        <f t="shared" si="0"/>
        <v>https://www.tripadvisor.co.uk/Hotel_Review-g186338-d1812157-Reviews-or50-Travelodge_London_Waterloo_Hotel-London_England.html#REVIEWS</v>
      </c>
      <c r="D12" s="4" t="str">
        <f ca="1">IFERROR(__xludf.DUMMYFUNCTION("IMPORTXML(C12,$D$1)"),"Will wrote a review Feb 20201 contribution")</f>
        <v>Will wrote a review Feb 20201 contribution</v>
      </c>
      <c r="E12" s="4" t="str">
        <f ca="1">IFERROR(__xludf.DUMMYFUNCTION("""COMPUTED_VALUE"""),"Great stay, brilliant staffArrived early afternoon and checked into our room, room was clean and tidy. 
We had a wander around London until returning and ordering food in the bar 
cafe. Sammi served us and was very polite and friendly. When leaving the 
b"&amp;"ar cafe we were introduced to Lindsay who sorted the bill for us. Lindsay 
was a very fun and enthusiastic character. Friday evening we returned to 
the hotel after having a Valentine’s Day meal. We stopped in the bar for a 
couple of drinks before headin"&amp;"g back to our room. We were once again 
greated with Sammi and Lindsay. Incredibly welcoming and making you feel 
welcome in the bar. Great fun at the bar.Read moreDate of stay: February 
2020HelpfulShare")</f>
        <v>Great stay, brilliant staffArrived early afternoon and checked into our room, room was clean and tidy. 
We had a wander around London until returning and ordering food in the bar 
cafe. Sammi served us and was very polite and friendly. When leaving the 
bar cafe we were introduced to Lindsay who sorted the bill for us. Lindsay 
was a very fun and enthusiastic character. Friday evening we returned to 
the hotel after having a Valentine’s Day meal. We stopped in the bar for a 
couple of drinks before heading back to our room. We were once again 
greated with Sammi and Lindsay. Incredibly welcoming and making you feel 
welcome in the bar. Great fun at the bar.Read moreDate of stay: February 
2020HelpfulShare</v>
      </c>
      <c r="G12" s="24" t="str">
        <f ca="1">IFERROR(__xludf.DUMMYFUNCTION("IMPORTXML(C12, $G$1)"),"NewYorkMiller wrote a review Feb 2020Doncaster, United Kingdom10 
contributions2 helpful votes")</f>
        <v>NewYorkMiller wrote a review Feb 2020Doncaster, United Kingdom10 
contributions2 helpful votes</v>
      </c>
      <c r="H12" s="4" t="str">
        <f ca="1">IFERROR(__xludf.DUMMYFUNCTION("""COMPUTED_VALUE"""),"Fantastic ValueWhen you pay £59.99 for a hotel room in a central London location you 
expect a significant number of flaws. Not so here. Room - clean, quiet, 
comfortable. Staff - great with a mention for Tanzila. Location - 
fantastic. Next time that we’"&amp;"re in London, this hotel will be the first one 
I try.Read moreDate of stay: February 2020HelpfulShare")</f>
        <v>Fantastic ValueWhen you pay £59.99 for a hotel room in a central London location you 
expect a significant number of flaws. Not so here. Room - clean, quiet, 
comfortable. Staff - great with a mention for Tanzila. Location - 
fantastic. Next time that we’re in London, this hotel will be the first one 
I try.Read moreDate of stay: February 2020HelpfulShare</v>
      </c>
      <c r="I12" s="21"/>
      <c r="J12" s="21" t="str">
        <f ca="1">IFERROR(__xludf.DUMMYFUNCTION("IMPORTXML(C12, $J$1)"),"CareyB68 wrote a review Feb 2020Manchester, United Kingdom4 contributions2 
helpful votes")</f>
        <v>CareyB68 wrote a review Feb 2020Manchester, United Kingdom4 contributions2 
helpful votes</v>
      </c>
      <c r="K12" s="4" t="str">
        <f ca="1">IFERROR(__xludf.DUMMYFUNCTION("""COMPUTED_VALUE"""),"Great staffI stay here regularly for work, and it is the best of the Travelodges in my 
experience. Shout out to the fantastic Lindsay in the restaurant who is 
always so helpful and friendly! Everyone is welcoming and service is 
good.Read moreDate of st"&amp;"ay: February 2020HelpfulShare")</f>
        <v>Great staffI stay here regularly for work, and it is the best of the Travelodges in my 
experience. Shout out to the fantastic Lindsay in the restaurant who is 
always so helpful and friendly! Everyone is welcoming and service is 
good.Read moreDate of stay: February 2020HelpfulShare</v>
      </c>
      <c r="L12" s="21"/>
      <c r="M12" s="21" t="str">
        <f ca="1">IFERROR(__xludf.DUMMYFUNCTION("IMPORTXML(C12, $M$1)"),"#N/A")</f>
        <v>#N/A</v>
      </c>
      <c r="O12" s="21"/>
      <c r="P12" s="21" t="str">
        <f ca="1">IFERROR(__xludf.DUMMYFUNCTION("IMPORTXML(C12, $P$1)"),"Jo M wrote a review Feb 2020Holland-on-Sea, United Kingdom17 contributions2 
helpful votes")</f>
        <v>Jo M wrote a review Feb 2020Holland-on-Sea, United Kingdom17 contributions2 
helpful votes</v>
      </c>
      <c r="Q12" s="4" t="str">
        <f ca="1">IFERROR(__xludf.DUMMYFUNCTION("""COMPUTED_VALUE"""),"Soap please!The bed is like sleeping on a box, the pillows don’t give you an option of 
firm or soft And the duvet was very thin bearing in mind we’re in February, 
no extra blanket already in the room, yes there is a heater in the room but 
it’s the kind"&amp;" that if I left it on it would have given me a headache. But 
the worst bit was the soap. Or lack thereof. The hand soap looked like it 
was filled but didn’t give any out. When I was checking underneath the 
dispenser I was disgusted at the ‘dirt’ on it."&amp;" Ewww. The tiny bit of soap 
in the shower dispenser had water added to it so it was just like slightly 
bubbly water. You couldn’t lather It up enough to use, you could barely 
hold it in your hand because it was more water than soap. And by the time I 
"&amp;"used the shower I’d used most of it for…Read moreDate of stay: February 
2020HelpfulShareResponse from TravelodgeUK, Zack from The Social Media Team 
at Travelodge London Waterloo HotelResponded 13 Feb 2020Thank you for 
leaving your review of our London "&amp;"Waterloo hotel. We are sorry to hear of 
your disappointment with the bed and pillows provided in the hotel, and we 
are sorry to hear of your disappointment with the supply of our soap in 
your room. We will be sure to provide your feedback to the hotel "&amp;"management 
team so we are able to improve the service we offer to our guests. Thank 
you again for leaving your review of our hotel and we do hope that you 
choose to stay with us again in the future.Read more")</f>
        <v>Soap please!The bed is like sleeping on a box, the pillows don’t give you an option of 
firm or soft And the duvet was very thin bearing in mind we’re in February, 
no extra blanket already in the room, yes there is a heater in the room but 
it’s the kind that if I left it on it would have given me a headache. But 
the worst bit was the soap. Or lack thereof. The hand soap looked like it 
was filled but didn’t give any out. When I was checking underneath the 
dispenser I was disgusted at the ‘dirt’ on it. Ewww. The tiny bit of soap 
in the shower dispenser had water added to it so it was just like slightly 
bubbly water. You couldn’t lather It up enough to use, you could barely 
hold it in your hand because it was more water than soap. And by the time I 
used the shower I’d used most of it for…Read moreDate of stay: February 
2020HelpfulShareResponse from TravelodgeUK, Zack from The Social Media Team 
at Travelodge London Waterloo HotelResponded 13 Feb 2020Thank you for 
leaving your review of our London Waterloo hotel. We are sorry to hear of 
your disappointment with the bed and pillows provided in the hotel, and we 
are sorry to hear of your disappointment with the supply of our soap in 
your room. We will be sure to provide your feedback to the hotel management 
team so we are able to improve the service we offer to our guests. Thank 
you again for leaving your review of our hotel and we do hope that you 
choose to stay with us again in the future.Read more</v>
      </c>
      <c r="U12" s="4" t="str">
        <f ca="1">IFERROR(__xludf.DUMMYFUNCTION("IMPORTXML(C13,$U$1)"),"Loading...")</f>
        <v>Loading...</v>
      </c>
    </row>
    <row r="13" spans="1:21" ht="15">
      <c r="A13" s="25" t="s">
        <v>1033</v>
      </c>
      <c r="B13" s="17" t="s">
        <v>126</v>
      </c>
      <c r="C13" s="23" t="str">
        <f t="shared" si="0"/>
        <v>https://www.tripadvisor.co.uk/Hotel_Review-g186338-d1812157-Reviews-or55-Travelodge_London_Waterloo_Hotel-London_England.html#REVIEWS</v>
      </c>
      <c r="D13" s="4" t="str">
        <f ca="1">IFERROR(__xludf.DUMMYFUNCTION("IMPORTXML(C13,$D$1)"),"Loading...")</f>
        <v>Loading...</v>
      </c>
      <c r="G13" s="24" t="str">
        <f ca="1">IFERROR(__xludf.DUMMYFUNCTION("IMPORTXML(C13, $G$1)"),"Sam B wrote a review Feb 2020Kettering, United Kingdom1 contribution")</f>
        <v>Sam B wrote a review Feb 2020Kettering, United Kingdom1 contribution</v>
      </c>
      <c r="H13" s="4" t="str">
        <f ca="1">IFERROR(__xludf.DUMMYFUNCTION("""COMPUTED_VALUE"""),"Great Location and HotelLovely comfortable room. All areas of the hotel were clean and tidy. Great 
location just 10 minutes walk from Waterloo station. Stayed on third floor, 
very quiet. Only downside was the shower curtain not long enough and the 
floo"&amp;"r got very wet!Read moreReview collected in partnership with 
TravelodgeDate of stay: February 2020HelpfulShare")</f>
        <v>Great Location and HotelLovely comfortable room. All areas of the hotel were clean and tidy. Great 
location just 10 minutes walk from Waterloo station. Stayed on third floor, 
very quiet. Only downside was the shower curtain not long enough and the 
floor got very wet!Read moreReview collected in partnership with 
TravelodgeDate of stay: February 2020HelpfulShare</v>
      </c>
      <c r="I13" s="21"/>
      <c r="J13" s="21" t="str">
        <f ca="1">IFERROR(__xludf.DUMMYFUNCTION("IMPORTXML(C13, $J$1)"),"#N/A")</f>
        <v>#N/A</v>
      </c>
      <c r="L13" s="21"/>
      <c r="M13" s="21" t="str">
        <f ca="1">IFERROR(__xludf.DUMMYFUNCTION("IMPORTXML(C13, $M$1)"),"Lozza wrote a review Feb 20203 contributions5 helpful votes")</f>
        <v>Lozza wrote a review Feb 20203 contributions5 helpful votes</v>
      </c>
      <c r="N13" s="4" t="str">
        <f ca="1">IFERROR(__xludf.DUMMYFUNCTION("""COMPUTED_VALUE"""),"Excellent stayGreat location for what we needed, we had a room facing the road but it was 
very quiet. We had a corner room which meant the room was a bit smaller but 
this was no issue. The room was very modern. Hotel was clean and quiet all 
round. Stay"&amp;" were very friendly. We didn't have breakfast but did have 
evening meal in the bar. Reasonable prices and good choices. Staff were 
great here and gave us a complimentary drink due to an error with our food. 
In all a great stay! One of the top travelodg"&amp;"es I have stayed in!Read 
moreDate of stay: February 2020HelpfulShare")</f>
        <v>Excellent stayGreat location for what we needed, we had a room facing the road but it was 
very quiet. We had a corner room which meant the room was a bit smaller but 
this was no issue. The room was very modern. Hotel was clean and quiet all 
round. Stay were very friendly. We didn't have breakfast but did have 
evening meal in the bar. Reasonable prices and good choices. Staff were 
great here and gave us a complimentary drink due to an error with our food. 
In all a great stay! One of the top travelodges I have stayed in!Read 
moreDate of stay: February 2020HelpfulShare</v>
      </c>
      <c r="O13" s="21"/>
      <c r="P13" s="21" t="str">
        <f ca="1">IFERROR(__xludf.DUMMYFUNCTION("IMPORTXML(C13, $P$1)"),"GoPlaces506166 wrote a review Feb 20201 contribution")</f>
        <v>GoPlaces506166 wrote a review Feb 20201 contribution</v>
      </c>
      <c r="Q13" s="4" t="str">
        <f ca="1">IFERROR(__xludf.DUMMYFUNCTION("""COMPUTED_VALUE"""),"Stop over near to Waterloo stationArrived at Waterloo station at 22.00 and a short 8 mins walk to hotel and 
check in . 24 hour bar and restaurant so ordered a pizza to share and wine 
. Good quiet nights sleep . Left at 9 in the morning didn’t have break"&amp;"fast. 
Good value for money for an overnight stay .Read moreReview collected in 
partnership with this hotelDate of stay: January 2020HelpfulShare")</f>
        <v>Stop over near to Waterloo stationArrived at Waterloo station at 22.00 and a short 8 mins walk to hotel and 
check in . 24 hour bar and restaurant so ordered a pizza to share and wine 
. Good quiet nights sleep . Left at 9 in the morning didn’t have breakfast. 
Good value for money for an overnight stay .Read moreReview collected in 
partnership with this hotelDate of stay: January 2020HelpfulShare</v>
      </c>
      <c r="U13" s="4" t="str">
        <f ca="1">IFERROR(__xludf.DUMMYFUNCTION("IMPORTXML(C14,$U$1)"),"Loading...")</f>
        <v>Loading...</v>
      </c>
    </row>
    <row r="14" spans="1:21" ht="12" customHeight="1">
      <c r="A14" s="25" t="s">
        <v>1121</v>
      </c>
      <c r="B14" s="17" t="s">
        <v>126</v>
      </c>
      <c r="C14" s="23" t="str">
        <f t="shared" si="0"/>
        <v>https://www.tripadvisor.co.uk/Hotel_Review-g186338-d1812157-Reviews-or60-Travelodge_London_Waterloo_Hotel-London_England.html#REVIEWS</v>
      </c>
      <c r="D14" s="4" t="str">
        <f ca="1">IFERROR(__xludf.DUMMYFUNCTION("IMPORTXML(C14,$D$1)"),"John W wrote a review Feb 20202 contributions")</f>
        <v>John W wrote a review Feb 20202 contributions</v>
      </c>
      <c r="E14" s="4" t="str">
        <f ca="1">IFERROR(__xludf.DUMMYFUNCTION("""COMPUTED_VALUE"""),"Comfortable HotelThis Travelodge Hotel is very convenient being close to Waterloo Station 
and our room was very clean and comfortable.Breakfast was brilliant and 
staff were friendly. The hotel was well maintained throughout.Read 
moreReview collected in"&amp;" partnership with this hotelDate of stay: January 
2020HelpfulShare")</f>
        <v>Comfortable HotelThis Travelodge Hotel is very convenient being close to Waterloo Station 
and our room was very clean and comfortable.Breakfast was brilliant and 
staff were friendly. The hotel was well maintained throughout.Read 
moreReview collected in partnership with this hotelDate of stay: January 
2020HelpfulShare</v>
      </c>
      <c r="G14" s="24" t="str">
        <f ca="1">IFERROR(__xludf.DUMMYFUNCTION("IMPORTXML(C14, $G$1)"),"#N/A")</f>
        <v>#N/A</v>
      </c>
      <c r="I14" s="21"/>
      <c r="J14" s="21" t="str">
        <f ca="1">IFERROR(__xludf.DUMMYFUNCTION("IMPORTXML(C14, $J$1)"),"Sarah S wrote a review Feb 2020Toronto, Canada187 contributions58 helpful 
votes")</f>
        <v>Sarah S wrote a review Feb 2020Toronto, Canada187 contributions58 helpful 
votes</v>
      </c>
      <c r="K14" s="4" t="str">
        <f ca="1">IFERROR(__xludf.DUMMYFUNCTION("""COMPUTED_VALUE"""),"Fairly goodPretty much what to expect of a Travelodge - mostly clean, economic rooms. 
Mine had a horrible damp mouldy smell that penetrated all of my belongings 
sadly. Even my suitcase stinks days later. Weird that there is next to no 
room to put anyth"&amp;"ing away. 5 hangers is nice, but a single drawer would be 
super helpful Resto/Bar was great and we spent lots of time there. All the 
staff I interacted with were friendly and helpful. Not certain of the 
price, but feel we go what we paid for. Good nigh"&amp;"ts sleep, zero frills. If 
it wasn't for the damp mouldy smell it would have been perfect for what I 
needed.Read moreDate of stay: January 2020HelpfulShareResponse from 
TravelodgeUK, James from the Social Media Team at Travelodge London 
Waterloo HotelR"&amp;"esponded 6 Feb 2020Thank you for reviewing our Travelodge 
London Waterloo Hotel. We're happy to hear you were pleased with the 
cleanliness of the hotel during this stay but we're very sorry to hear of 
the issues experienced with room cleanliness and th"&amp;"e facilities of your 
room. Please rest assured the hotel managers check Tripadvisor reviews of 
their hotels so your comments will be reviewed by the hotel's team. Thank 
you again for leaving this review and we do hope that you choose to stay 
with us a"&amp;"gain in the future.Read more")</f>
        <v>Fairly goodPretty much what to expect of a Travelodge - mostly clean, economic rooms. 
Mine had a horrible damp mouldy smell that penetrated all of my belongings 
sadly. Even my suitcase stinks days later. Weird that there is next to no 
room to put anything away. 5 hangers is nice, but a single drawer would be 
super helpful Resto/Bar was great and we spent lots of time there. All the 
staff I interacted with were friendly and helpful. Not certain of the 
price, but feel we go what we paid for. Good nights sleep, zero frills. If 
it wasn't for the damp mouldy smell it would have been perfect for what I 
needed.Read moreDate of stay: January 2020HelpfulShareResponse from 
TravelodgeUK, James from the Social Media Team at Travelodge London 
Waterloo HotelResponded 6 Feb 2020Thank you for reviewing our Travelodge 
London Waterloo Hotel. We're happy to hear you were pleased with the 
cleanliness of the hotel during this stay but we're very sorry to hear of 
the issues experienced with room cleanliness and the facilities of your 
room. Please rest assured the hotel managers check Tripadvisor reviews of 
their hotels so your comments will be reviewed by the hotel's team. Thank 
you again for leaving this review and we do hope that you choose to stay 
with us again in the future.Read more</v>
      </c>
      <c r="L14" s="21"/>
      <c r="M14" s="21" t="str">
        <f ca="1">IFERROR(__xludf.DUMMYFUNCTION("IMPORTXML(C14, $M$1)"),"#N/A")</f>
        <v>#N/A</v>
      </c>
      <c r="O14" s="21"/>
      <c r="P14" s="21" t="str">
        <f ca="1">IFERROR(__xludf.DUMMYFUNCTION("IMPORTXML(C14, $P$1)"),"jacquiellewellyn wrote a review Feb 20201 contribution")</f>
        <v>jacquiellewellyn wrote a review Feb 20201 contribution</v>
      </c>
      <c r="Q14" s="4" t="str">
        <f ca="1">IFERROR(__xludf.DUMMYFUNCTION("""COMPUTED_VALUE"""),"Perfect Stop OverThe hotel location was perfect, just a short walk from Waterloo Station and 
the underground. Did not try the restaurant so unable to comment. Staff 
friendly, welcoming and helpful. Definitely one to choose againRead 
moreReview collecte"&amp;"d in partnership with TravelodgeDate of stay: February 
2020HelpfulShare")</f>
        <v>Perfect Stop OverThe hotel location was perfect, just a short walk from Waterloo Station and 
the underground. Did not try the restaurant so unable to comment. Staff 
friendly, welcoming and helpful. Definitely one to choose againRead 
moreReview collected in partnership with TravelodgeDate of stay: February 
2020HelpfulShare</v>
      </c>
      <c r="U14" s="4" t="str">
        <f ca="1">IFERROR(__xludf.DUMMYFUNCTION("IMPORTXML(C15,$U$1)"),"Loading...")</f>
        <v>Loading...</v>
      </c>
    </row>
    <row r="15" spans="1:21" ht="15">
      <c r="A15" s="5" t="s">
        <v>1212</v>
      </c>
      <c r="B15" s="17" t="s">
        <v>126</v>
      </c>
      <c r="C15" s="23" t="str">
        <f t="shared" si="0"/>
        <v>https://www.tripadvisor.co.uk/Hotel_Review-g186338-d1812157-Reviews-or65-Travelodge_London_Waterloo_Hotel-London_England.html#REVIEWS</v>
      </c>
      <c r="D15" s="4" t="str">
        <f ca="1">IFERROR(__xludf.DUMMYFUNCTION("IMPORTXML(C15,$D$1)"),"#N/A")</f>
        <v>#N/A</v>
      </c>
      <c r="G15" s="24" t="str">
        <f ca="1">IFERROR(__xludf.DUMMYFUNCTION("IMPORTXML(C15, $G$1)"),"Cheshirereview wrote a review Feb 2020Warrington, United Kingdom30 
contributions9 helpful votes")</f>
        <v>Cheshirereview wrote a review Feb 2020Warrington, United Kingdom30 
contributions9 helpful votes</v>
      </c>
      <c r="H15" s="4" t="str">
        <f ca="1">IFERROR(__xludf.DUMMYFUNCTION("""COMPUTED_VALUE"""),"Enjoyable stayStayed on my own for London event. Paid just over £100 but that was for a 
superior room, WiFi and breakfast and the ability to cancel up until the 
same day. Greeted by friendly staff. Room good with well placed 
mirror/hairdryer and comfy "&amp;"bed. Enjoyed a drink in the bar on my return at 
11.45 in a nice sociable area. Slept like a log with no noise on the 7th 
floor and enjoyed a very nice breakfast the next day. What’s not to love! 
We have stayed in some smart places in London but if you’"&amp;"re out all day, 
it’s not necessary to pay those prices and this was more than adequate.Read 
moreDate of stay: February 2020HelpfulShare")</f>
        <v>Enjoyable stayStayed on my own for London event. Paid just over £100 but that was for a 
superior room, WiFi and breakfast and the ability to cancel up until the 
same day. Greeted by friendly staff. Room good with well placed 
mirror/hairdryer and comfy bed. Enjoyed a drink in the bar on my return at 
11.45 in a nice sociable area. Slept like a log with no noise on the 7th 
floor and enjoyed a very nice breakfast the next day. What’s not to love! 
We have stayed in some smart places in London but if you’re out all day, 
it’s not necessary to pay those prices and this was more than adequate.Read 
moreDate of stay: February 2020HelpfulShare</v>
      </c>
      <c r="I15" s="21"/>
      <c r="J15" s="21" t="str">
        <f ca="1">IFERROR(__xludf.DUMMYFUNCTION("IMPORTXML(C15, $J$1)"),"45Typevysr54 wrote a review Feb 2020Portsmouth, United Kingdom476 
contributions22 helpful votes")</f>
        <v>45Typevysr54 wrote a review Feb 2020Portsmouth, United Kingdom476 
contributions22 helpful votes</v>
      </c>
      <c r="K15" s="4" t="str">
        <f ca="1">IFERROR(__xludf.DUMMYFUNCTION("""COMPUTED_VALUE"""),"100% ExcellentWarm welcome with smiling staff spotless clean room and bathroom- nice bar 
area with reasonable priced drinks - did not eat the obviously excellent 
value breakfast which we usually do take advantage of, due to commitments 
outside. Booked "&amp;"in Friday approx 2/3 pm really nice staff-thank you.Read 
moreDate of stay: February 2020HelpfulShare")</f>
        <v>100% ExcellentWarm welcome with smiling staff spotless clean room and bathroom- nice bar 
area with reasonable priced drinks - did not eat the obviously excellent 
value breakfast which we usually do take advantage of, due to commitments 
outside. Booked in Friday approx 2/3 pm really nice staff-thank you.Read 
moreDate of stay: February 2020HelpfulShare</v>
      </c>
      <c r="L15" s="21"/>
      <c r="M15" s="21" t="str">
        <f ca="1">IFERROR(__xludf.DUMMYFUNCTION("IMPORTXML(C15, $M$1)"),"Andy G wrote a review Feb 2020Coventry, United Kingdom20 contributions2 
helpful votes")</f>
        <v>Andy G wrote a review Feb 2020Coventry, United Kingdom20 contributions2 
helpful votes</v>
      </c>
      <c r="N15" s="4" t="str">
        <f ca="1">IFERROR(__xludf.DUMMYFUNCTION("""COMPUTED_VALUE"""),"Staying over after meeting friendsI’ve stayed at this Travelodge a few times now, and will continue to do so. 
At just over £63 for a double room including a varied buffet-style 
breakfast, this is great value for accommodation in this part of London. 
Th"&amp;"e staff in the restaurant at breakfast deserve a special mention; all 
were friendly and helpful. Real ‘service with a smile’. A very enjoyable 
stay, and I look forward to returning soon.Read moreDate of stay: February 
2020HelpfulShare")</f>
        <v>Staying over after meeting friendsI’ve stayed at this Travelodge a few times now, and will continue to do so. 
At just over £63 for a double room including a varied buffet-style 
breakfast, this is great value for accommodation in this part of London. 
The staff in the restaurant at breakfast deserve a special mention; all 
were friendly and helpful. Real ‘service with a smile’. A very enjoyable 
stay, and I look forward to returning soon.Read moreDate of stay: February 
2020HelpfulShare</v>
      </c>
      <c r="O15" s="21"/>
      <c r="P15" s="21" t="str">
        <f ca="1">IFERROR(__xludf.DUMMYFUNCTION("IMPORTXML(C15, $P$1)"),"wings903 wrote a review Feb 20201 contribution")</f>
        <v>wings903 wrote a review Feb 20201 contribution</v>
      </c>
      <c r="Q15" s="4" t="str">
        <f ca="1">IFERROR(__xludf.DUMMYFUNCTION("""COMPUTED_VALUE"""),"Base to catch a showA quite central lodge, walking distance to central London or train station. 
Perfect as a base to explore all day and see shows in the evening. Room 
comfortable, Breakfast very filling ( all you can eat!) What's not to love! 
Thank yo"&amp;"u.Read moreReview collected in partnership with TravelodgeDate of 
stay: January 2020HelpfulShareResponse from TravelodgeUK, James from the 
Social Media Team at Travelodge London Waterloo HotelResponded 3 Feb 
2020Thank you for reviewing our Travelodge L"&amp;"ondon Waterloo Hotel. We are 
very happy to hear that you enjoyed this stay with us. Please rest assured 
that the hotel's management team do check up on reviews of their hotels so 
your comments have been passed on. Once again we'd like to thank you for "&amp;"
leaving this lovely review and we do hope that you stay with us again!Read 
more")</f>
        <v>Base to catch a showA quite central lodge, walking distance to central London or train station. 
Perfect as a base to explore all day and see shows in the evening. Room 
comfortable, Breakfast very filling ( all you can eat!) What's not to love! 
Thank you.Read moreReview collected in partnership with TravelodgeDate of 
stay: January 2020HelpfulShareResponse from TravelodgeUK, James from the 
Social Media Team at Travelodge London Waterloo HotelResponded 3 Feb 
2020Thank you for reviewing our Travelodge London Waterloo Hotel. We are 
very happy to hear that you enjoyed this stay with us. Please rest assured 
that the hotel's management team do check up on reviews of their hotels so 
your comments have been passed on. Once again we'd like to thank you for 
leaving this lovely review and we do hope that you stay with us again!Read 
more</v>
      </c>
      <c r="U15" s="4" t="str">
        <f ca="1">IFERROR(__xludf.DUMMYFUNCTION("IMPORTXML(C16,$U$1)"),"Loading...")</f>
        <v>Loading...</v>
      </c>
    </row>
    <row r="16" spans="1:21" ht="15">
      <c r="A16" s="25" t="s">
        <v>1326</v>
      </c>
      <c r="B16" s="17" t="s">
        <v>126</v>
      </c>
      <c r="C16" s="23" t="str">
        <f t="shared" si="0"/>
        <v>https://www.tripadvisor.co.uk/Hotel_Review-g186338-d1812157-Reviews-or70-Travelodge_London_Waterloo_Hotel-London_England.html#REVIEWS</v>
      </c>
      <c r="D16" s="4" t="str">
        <f ca="1">IFERROR(__xludf.DUMMYFUNCTION("IMPORTXML(C16,$D$1)"),"colingilham wrote a review Jan 2020Stevenage, United Kingdom1 contribution")</f>
        <v>colingilham wrote a review Jan 2020Stevenage, United Kingdom1 contribution</v>
      </c>
      <c r="E16" s="4" t="str">
        <f ca="1">IFERROR(__xludf.DUMMYFUNCTION("""COMPUTED_VALUE"""),"Excellent stayNice clean hotel. Breakfast was lovely. Had evening meal the night before 
nice menu. Staff were polite and very helpful. Not too far from Waterloo 
station but the directions to get there on the website were a bit 
misleading.Read moreRevie"&amp;"w collected in partnership with this hotelDate of 
stay: January 2020HelpfulShare")</f>
        <v>Excellent stayNice clean hotel. Breakfast was lovely. Had evening meal the night before 
nice menu. Staff were polite and very helpful. Not too far from Waterloo 
station but the directions to get there on the website were a bit 
misleading.Read moreReview collected in partnership with this hotelDate of 
stay: January 2020HelpfulShare</v>
      </c>
      <c r="G16" s="24" t="str">
        <f ca="1">IFERROR(__xludf.DUMMYFUNCTION("IMPORTXML(C16, $G$1)"),"SeasiderGed wrote a review Jan 2020Portsmouth, United Kingdom4 
contributions2 helpful votes")</f>
        <v>SeasiderGed wrote a review Jan 2020Portsmouth, United Kingdom4 
contributions2 helpful votes</v>
      </c>
      <c r="H16" s="4" t="str">
        <f ca="1">IFERROR(__xludf.DUMMYFUNCTION("""COMPUTED_VALUE"""),"Friendly &amp; HelpfulA good location close to Waterloo Station with friendly staff that were 
happy to help with any queries. The room was clean and comfortable - Good 
value for a London stopover and with a good level of security.Read 
moreReview collected "&amp;"in partnership with TravelodgeDate of stay: January 
2020HelpfulShare")</f>
        <v>Friendly &amp; HelpfulA good location close to Waterloo Station with friendly staff that were 
happy to help with any queries. The room was clean and comfortable - Good 
value for a London stopover and with a good level of security.Read 
moreReview collected in partnership with TravelodgeDate of stay: January 
2020HelpfulShare</v>
      </c>
      <c r="I16" s="21"/>
      <c r="J16" s="21" t="str">
        <f ca="1">IFERROR(__xludf.DUMMYFUNCTION("IMPORTXML(C16, $J$1)"),"Loading...")</f>
        <v>Loading...</v>
      </c>
      <c r="L16" s="21"/>
      <c r="M16" s="21" t="str">
        <f ca="1">IFERROR(__xludf.DUMMYFUNCTION("IMPORTXML(C16, $M$1)"),"rachelmbailey wrote a review Jan 2020Romsey, United Kingdom7 contributions2 
helpful votes")</f>
        <v>rachelmbailey wrote a review Jan 2020Romsey, United Kingdom7 contributions2 
helpful votes</v>
      </c>
      <c r="N16" s="4" t="str">
        <f ca="1">IFERROR(__xludf.DUMMYFUNCTION("""COMPUTED_VALUE"""),"Family trip to londonFab base 5 mins from waterloo train station. Staff were so helpful and room 
neatly and cleanly presented with everything that we needed for my 
daughters first sight seeing trip to London. Breakfast very ample and 
kettle etc in room"&amp;". We were allowed to leave baggage for the day for free 
and pick it up again on the way to the train.Read moreDate of stay: January 
2020HelpfulShare")</f>
        <v>Family trip to londonFab base 5 mins from waterloo train station. Staff were so helpful and room 
neatly and cleanly presented with everything that we needed for my 
daughters first sight seeing trip to London. Breakfast very ample and 
kettle etc in room. We were allowed to leave baggage for the day for free 
and pick it up again on the way to the train.Read moreDate of stay: January 
2020HelpfulShare</v>
      </c>
      <c r="O16" s="21"/>
      <c r="P16" s="21" t="str">
        <f ca="1">IFERROR(__xludf.DUMMYFUNCTION("IMPORTXML(C16, $P$1)"),"Brillat-Saverin wrote a review Jan 202019 contributions7 helpful votes")</f>
        <v>Brillat-Saverin wrote a review Jan 202019 contributions7 helpful votes</v>
      </c>
      <c r="Q16" s="4" t="str">
        <f ca="1">IFERROR(__xludf.DUMMYFUNCTION("""COMPUTED_VALUE"""),"Excellent once moreVery clean and well maintained hotel. This is in a very accessible location 
and convenient for the tube and main line station. The staff are very 
friendly and helpful. The bar area is attractive. The QE Hall is very near 
byRead moreR"&amp;"eview collected in partnership with TravelodgeDate of stay: 
January 2020HelpfulShare")</f>
        <v>Excellent once moreVery clean and well maintained hotel. This is in a very accessible location 
and convenient for the tube and main line station. The staff are very 
friendly and helpful. The bar area is attractive. The QE Hall is very near 
byRead moreReview collected in partnership with TravelodgeDate of stay: 
January 2020HelpfulShare</v>
      </c>
      <c r="U16" s="4" t="str">
        <f ca="1">IFERROR(__xludf.DUMMYFUNCTION("IMPORTXML(C17,$U$1)"),"Loading...")</f>
        <v>Loading...</v>
      </c>
    </row>
    <row r="17" spans="1:21" ht="15">
      <c r="A17" s="25" t="s">
        <v>1428</v>
      </c>
      <c r="B17" s="17" t="s">
        <v>126</v>
      </c>
      <c r="C17" s="23" t="str">
        <f t="shared" si="0"/>
        <v>https://www.tripadvisor.co.uk/Hotel_Review-g186338-d1812157-Reviews-or75-Travelodge_London_Waterloo_Hotel-London_England.html#REVIEWS</v>
      </c>
      <c r="D17" s="4" t="str">
        <f ca="1">IFERROR(__xludf.DUMMYFUNCTION("IMPORTXML(C17,$D$1)"),"LisaVisitsPlaces wrote a review Jan 2020Leicester, United Kingdom1 
contribution")</f>
        <v>LisaVisitsPlaces wrote a review Jan 2020Leicester, United Kingdom1 
contribution</v>
      </c>
      <c r="E17" s="4" t="str">
        <f ca="1">IFERROR(__xludf.DUMMYFUNCTION("""COMPUTED_VALUE"""),"Great service and nice room for the price!Reception staff were very friendly and helpful. There wasn’t an iron or 
hairdryer in the room but they gave us these when requested. Room was 
spacious for the price paid. It wasn’t big, but I have certainly seen"&amp;" 
smaller rooms for hotels around this price. The room was fairly basic, 
though was clean and great for the price paid. The train station (including 
underground) was only a few minutes walk away on the same road. I’d 
certainly stay here again if you’re"&amp;" looking for somewhere clean and 
convenient to stay in central London, with friendly staff.Read moreReview 
collected in partnership with this hotelDate of stay: January 
2020HelpfulShare")</f>
        <v>Great service and nice room for the price!Reception staff were very friendly and helpful. There wasn’t an iron or 
hairdryer in the room but they gave us these when requested. Room was 
spacious for the price paid. It wasn’t big, but I have certainly seen 
smaller rooms for hotels around this price. The room was fairly basic, 
though was clean and great for the price paid. The train station (including 
underground) was only a few minutes walk away on the same road. I’d 
certainly stay here again if you’re looking for somewhere clean and 
convenient to stay in central London, with friendly staff.Read moreReview 
collected in partnership with this hotelDate of stay: January 
2020HelpfulShare</v>
      </c>
      <c r="G17" s="24" t="str">
        <f ca="1">IFERROR(__xludf.DUMMYFUNCTION("IMPORTXML(C17, $G$1)"),"chrisd862020 wrote a review Jan 2020Andover, United Kingdom1 contribution")</f>
        <v>chrisd862020 wrote a review Jan 2020Andover, United Kingdom1 contribution</v>
      </c>
      <c r="H17" s="4" t="str">
        <f ca="1">IFERROR(__xludf.DUMMYFUNCTION("""COMPUTED_VALUE"""),"Well positioned great value hotelStayed here when I took my fiancee for a 30th birthday weekend in London. 
Lovely hotel, very friendly and helpful staff, probably the best travelodge 
we have stayed at. We even had a view of the shard from our hotel room"&amp;". 
Would recommend highly to anybodyRead moreDate of stay: January 
2020HelpfulShare")</f>
        <v>Well positioned great value hotelStayed here when I took my fiancee for a 30th birthday weekend in London. 
Lovely hotel, very friendly and helpful staff, probably the best travelodge 
we have stayed at. We even had a view of the shard from our hotel room. 
Would recommend highly to anybodyRead moreDate of stay: January 
2020HelpfulShare</v>
      </c>
      <c r="I17" s="21"/>
      <c r="J17" s="21" t="str">
        <f ca="1">IFERROR(__xludf.DUMMYFUNCTION("IMPORTXML(C17, $J$1)"),"206sviken wrote a review Jan 20201 contribution")</f>
        <v>206sviken wrote a review Jan 20201 contribution</v>
      </c>
      <c r="K17" s="4" t="str">
        <f ca="1">IFERROR(__xludf.DUMMYFUNCTION("""COMPUTED_VALUE"""),"Clean and friendlyClean rooms with good standard and enough space, Very friendly and service 
minded staff, Good breakfast and a comfortable little bar welcome you in 
the evening. Perfect located with access to Waterloo station. This was our 
second stay"&amp;" and the standard had improved since last time. We will be 
back!Read moreReview collected in partnership with this hotelDate of stay: 
January 2020HelpfulShare")</f>
        <v>Clean and friendlyClean rooms with good standard and enough space, Very friendly and service 
minded staff, Good breakfast and a comfortable little bar welcome you in 
the evening. Perfect located with access to Waterloo station. This was our 
second stay and the standard had improved since last time. We will be 
back!Read moreReview collected in partnership with this hotelDate of stay: 
January 2020HelpfulShare</v>
      </c>
      <c r="L17" s="21"/>
      <c r="M17" s="21" t="str">
        <f ca="1">IFERROR(__xludf.DUMMYFUNCTION("IMPORTXML(C17, $M$1)"),"brickie_12 wrote a review Jan 2020Gloucester, United Kingdom10 
contributions11 helpful votes")</f>
        <v>brickie_12 wrote a review Jan 2020Gloucester, United Kingdom10 
contributions11 helpful votes</v>
      </c>
      <c r="N17" s="4" t="str">
        <f ca="1">IFERROR(__xludf.DUMMYFUNCTION("""COMPUTED_VALUE"""),"Great stayFor the price can’t beat this hotel ,very clean room , soft towels , 
friendly staff ,good value breakfast , Waterloo very handy for visiting 
around London , train station 10 minutes walk away, parking not to bad,Read 
moreDate of stay: January"&amp;" 2020HelpfulShare")</f>
        <v>Great stayFor the price can’t beat this hotel ,very clean room , soft towels , 
friendly staff ,good value breakfast , Waterloo very handy for visiting 
around London , train station 10 minutes walk away, parking not to bad,Read 
moreDate of stay: January 2020HelpfulShare</v>
      </c>
      <c r="O17" s="21"/>
      <c r="P17" s="21" t="str">
        <f ca="1">IFERROR(__xludf.DUMMYFUNCTION("IMPORTXML(C17, $P$1)"),"Ruth M wrote a review Jan 2020Salford, United Kingdom5 contributions2 
helpful votes")</f>
        <v>Ruth M wrote a review Jan 2020Salford, United Kingdom5 contributions2 
helpful votes</v>
      </c>
      <c r="Q17" s="4" t="str">
        <f ca="1">IFERROR(__xludf.DUMMYFUNCTION("""COMPUTED_VALUE"""),"Great locationCentrally placed, 5 mins walk from Waterloo Station and Underground. Clean 
and modern hotel which meets standard Travelodge standards. Good choice of 
drinks at bar. Breakfast was ok, chosen for convenience.Read moreReview 
collected in par"&amp;"tnership with TravelodgeDate of stay: January 
2020HelpfulShare")</f>
        <v>Great locationCentrally placed, 5 mins walk from Waterloo Station and Underground. Clean 
and modern hotel which meets standard Travelodge standards. Good choice of 
drinks at bar. Breakfast was ok, chosen for convenience.Read moreReview 
collected in partnership with TravelodgeDate of stay: January 
2020HelpfulShare</v>
      </c>
      <c r="U17" s="4" t="str">
        <f ca="1">IFERROR(__xludf.DUMMYFUNCTION("IMPORTXML(C18,$U$1)"),"Loading...")</f>
        <v>Loading...</v>
      </c>
    </row>
    <row r="18" spans="1:21" ht="15">
      <c r="A18" s="25" t="s">
        <v>1535</v>
      </c>
      <c r="B18" s="17" t="s">
        <v>126</v>
      </c>
      <c r="C18" s="23" t="str">
        <f t="shared" si="0"/>
        <v>https://www.tripadvisor.co.uk/Hotel_Review-g186338-d1812157-Reviews-or80-Travelodge_London_Waterloo_Hotel-London_England.html#REVIEWS</v>
      </c>
      <c r="D18" s="4" t="str">
        <f ca="1">IFERROR(__xludf.DUMMYFUNCTION("IMPORTXML(C18,$D$1)"),"JWMW wrote a review Jan 2020Sutton Coldfield, West Midlands42 
contributions7 helpful votes")</f>
        <v>JWMW wrote a review Jan 2020Sutton Coldfield, West Midlands42 
contributions7 helpful votes</v>
      </c>
      <c r="E18" s="4" t="str">
        <f ca="1">IFERROR(__xludf.DUMMYFUNCTION("""COMPUTED_VALUE"""),"Great, friendly staffI stay at this hotel regularly while working in London during the week. The 
staff are always efficient and friendly. This week, Wasim went out of his 
way to help me when I realised I had forgotten to pack my mobile phone 
charger. M"&amp;"y phone was dead and, without his help, I would not have been 
able to phone home. I'm really grateful to Wasim for his help - thanks 
Wasim!Read moreDate of stay: January 2020HelpfulShare")</f>
        <v>Great, friendly staffI stay at this hotel regularly while working in London during the week. The 
staff are always efficient and friendly. This week, Wasim went out of his 
way to help me when I realised I had forgotten to pack my mobile phone 
charger. My phone was dead and, without his help, I would not have been 
able to phone home. I'm really grateful to Wasim for his help - thanks 
Wasim!Read moreDate of stay: January 2020HelpfulShare</v>
      </c>
      <c r="G18" s="24" t="str">
        <f ca="1">IFERROR(__xludf.DUMMYFUNCTION("IMPORTXML(C18, $G$1)"),"Camper647045 wrote a review Jan 20201 contribution")</f>
        <v>Camper647045 wrote a review Jan 20201 contribution</v>
      </c>
      <c r="H18" s="4" t="str">
        <f ca="1">IFERROR(__xludf.DUMMYFUNCTION("""COMPUTED_VALUE"""),"Perfect for Families!We have had an amazing stay in Travelodge Waterloo. The facilities at this 
Travelodge are perfect and the STAFF is just amazing!!! Way better than any 
5 star hotels I have stayed. Thank You Travelodge for a fantastic stay. We 
will "&amp;"be back on Easter Break!Read moreDate of stay: January 2020HelpfulShare")</f>
        <v>Perfect for Families!We have had an amazing stay in Travelodge Waterloo. The facilities at this 
Travelodge are perfect and the STAFF is just amazing!!! Way better than any 
5 star hotels I have stayed. Thank You Travelodge for a fantastic stay. We 
will be back on Easter Break!Read moreDate of stay: January 2020HelpfulShare</v>
      </c>
      <c r="I18" s="21"/>
      <c r="J18" s="21" t="str">
        <f ca="1">IFERROR(__xludf.DUMMYFUNCTION("IMPORTXML(C18, $J$1)"),"E Franklin wrote a review Jan 2020Dewsbury, United Kingdom15 contributions4 
helpful votes")</f>
        <v>E Franklin wrote a review Jan 2020Dewsbury, United Kingdom15 contributions4 
helpful votes</v>
      </c>
      <c r="K18" s="4" t="str">
        <f ca="1">IFERROR(__xludf.DUMMYFUNCTION("""COMPUTED_VALUE"""),"Very cleanThe hotel was very clean from when you walked in to the rooms themselves. 
The beds were comfy and relaxing. The staff were helpful with directions 
and helpful with amenities for the rooms. Hairdryers and irons were 
available from reception. T"&amp;"he bar had a good choice of drinks and the bar 
staff were friendly and polite. Overall, lovely experience.Read moreDate of 
stay: January 2020HelpfulShare")</f>
        <v>Very cleanThe hotel was very clean from when you walked in to the rooms themselves. 
The beds were comfy and relaxing. The staff were helpful with directions 
and helpful with amenities for the rooms. Hairdryers and irons were 
available from reception. The bar had a good choice of drinks and the bar 
staff were friendly and polite. Overall, lovely experience.Read moreDate of 
stay: January 2020HelpfulShare</v>
      </c>
      <c r="L18" s="21"/>
      <c r="M18" s="21" t="str">
        <f ca="1">IFERROR(__xludf.DUMMYFUNCTION("IMPORTXML(C18, $M$1)"),"#N/A")</f>
        <v>#N/A</v>
      </c>
      <c r="O18" s="21"/>
      <c r="P18" s="21" t="str">
        <f ca="1">IFERROR(__xludf.DUMMYFUNCTION("IMPORTXML(C18, $P$1)"),"andreakwillson wrote a review Jan 20201 contribution")</f>
        <v>andreakwillson wrote a review Jan 20201 contribution</v>
      </c>
      <c r="Q18" s="4" t="str">
        <f ca="1">IFERROR(__xludf.DUMMYFUNCTION("""COMPUTED_VALUE"""),"Travelodge WaterlooWe stayed in a ‘SuoerRoom’ which comes with hairdryer, iron and ironing 
board, coffee machine and phone charging sockets as standard. The bed was 
comfortable, the shower was powerful and the room was quiet. Well worth the 
upgrade. St"&amp;"aff were very friendly and helpful, they held onto our case 
after checkout so we didn’t have to carry it round London with us. Would 
definitely stay againRead moreReview collected in partnership with this 
hotelDate of stay: January 2020HelpfulShare")</f>
        <v>Travelodge WaterlooWe stayed in a ‘SuoerRoom’ which comes with hairdryer, iron and ironing 
board, coffee machine and phone charging sockets as standard. The bed was 
comfortable, the shower was powerful and the room was quiet. Well worth the 
upgrade. Staff were very friendly and helpful, they held onto our case 
after checkout so we didn’t have to carry it round London with us. Would 
definitely stay againRead moreReview collected in partnership with this 
hotelDate of stay: January 2020HelpfulShare</v>
      </c>
      <c r="U18" s="4" t="str">
        <f ca="1">IFERROR(__xludf.DUMMYFUNCTION("IMPORTXML(C19,$U$1)"),"Loading...")</f>
        <v>Loading...</v>
      </c>
    </row>
    <row r="19" spans="1:21" ht="15">
      <c r="A19" s="5" t="s">
        <v>1633</v>
      </c>
      <c r="B19" s="17" t="s">
        <v>126</v>
      </c>
      <c r="C19" s="23" t="str">
        <f t="shared" si="0"/>
        <v>https://www.tripadvisor.co.uk/Hotel_Review-g186338-d1812157-Reviews-or85-Travelodge_London_Waterloo_Hotel-London_England.html#REVIEWS</v>
      </c>
      <c r="D19" s="4" t="str">
        <f ca="1">IFERROR(__xludf.DUMMYFUNCTION("IMPORTXML(C19,$D$1)"),"#N/A")</f>
        <v>#N/A</v>
      </c>
      <c r="G19" s="24" t="str">
        <f ca="1">IFERROR(__xludf.DUMMYFUNCTION("IMPORTXML(C19, $G$1)"),"Paul B wrote a review Jan 20201 contribution")</f>
        <v>Paul B wrote a review Jan 20201 contribution</v>
      </c>
      <c r="H19" s="4" t="str">
        <f ca="1">IFERROR(__xludf.DUMMYFUNCTION("""COMPUTED_VALUE"""),"Theatre break in LondonGreat location for Central London. We found the hotel clean and quiet, only 
a couple of minor issues, the shower was lack luster in power and heating 
was not as controllable as I'd of liked. Staff were polite and helpful.Read 
mor"&amp;"eReview collected in partnership with TravelodgeDate of stay: January 
2020HelpfulShare")</f>
        <v>Theatre break in LondonGreat location for Central London. We found the hotel clean and quiet, only 
a couple of minor issues, the shower was lack luster in power and heating 
was not as controllable as I'd of liked. Staff were polite and helpful.Read 
moreReview collected in partnership with TravelodgeDate of stay: January 
2020HelpfulShare</v>
      </c>
      <c r="I19" s="21"/>
      <c r="J19" s="21" t="str">
        <f ca="1">IFERROR(__xludf.DUMMYFUNCTION("IMPORTXML(C19, $J$1)"),"Kirsty H wrote a review Jan 20201 contribution")</f>
        <v>Kirsty H wrote a review Jan 20201 contribution</v>
      </c>
      <c r="K19" s="4" t="str">
        <f ca="1">IFERROR(__xludf.DUMMYFUNCTION("""COMPUTED_VALUE"""),"Lovely hotelLovely clean room and clean hotel, lovely buffet food the next morning for 
breakfast lots of choice. Staff were friendly and helpful Would highly 
recommend this hotel and would stay here in the futureRead moreReview 
collected in partnership"&amp;" with TravelodgeDate of stay: January 
2020HelpfulShare")</f>
        <v>Lovely hotelLovely clean room and clean hotel, lovely buffet food the next morning for 
breakfast lots of choice. Staff were friendly and helpful Would highly 
recommend this hotel and would stay here in the futureRead moreReview 
collected in partnership with TravelodgeDate of stay: January 
2020HelpfulShare</v>
      </c>
      <c r="L19" s="21"/>
      <c r="M19" s="21" t="str">
        <f ca="1">IFERROR(__xludf.DUMMYFUNCTION("IMPORTXML(C19, $M$1)"),"ljakubkova wrote a review Jan 20201 contribution")</f>
        <v>ljakubkova wrote a review Jan 20201 contribution</v>
      </c>
      <c r="N19" s="4" t="str">
        <f ca="1">IFERROR(__xludf.DUMMYFUNCTION("""COMPUTED_VALUE"""),"excelenteverythink excelent, perfect room, clean room good brekfast, bif brekfast 
near centrum, near underground very kind staff I would like to recomend 
this accomodation. I was with my son and we enjoyed very much.Read 
moreReview collected in partner"&amp;"ship with this hotelDate of stay: January 
2020HelpfulShare")</f>
        <v>excelenteverythink excelent, perfect room, clean room good brekfast, bif brekfast 
near centrum, near underground very kind staff I would like to recomend 
this accomodation. I was with my son and we enjoyed very much.Read 
moreReview collected in partnership with this hotelDate of stay: January 
2020HelpfulShare</v>
      </c>
      <c r="O19" s="21"/>
      <c r="P19" s="21" t="str">
        <f ca="1">IFERROR(__xludf.DUMMYFUNCTION("IMPORTXML(C19, $P$1)"),"Elinor E wrote a review Jan 2020Llanelli, United Kingdom4 contributions")</f>
        <v>Elinor E wrote a review Jan 2020Llanelli, United Kingdom4 contributions</v>
      </c>
      <c r="Q19" s="4" t="str">
        <f ca="1">IFERROR(__xludf.DUMMYFUNCTION("""COMPUTED_VALUE"""),"Great value for moneyExcellent value for money. Just a short walk to Waterloo train and 
underground station. We had a huge room, double bed and 2 singles. Would 
definitely stay here again. Staff were fantastic and very helpful.Read 
moreDate of stay: Ja"&amp;"nuary 2020HelpfulShare")</f>
        <v>Great value for moneyExcellent value for money. Just a short walk to Waterloo train and 
underground station. We had a huge room, double bed and 2 singles. Would 
definitely stay here again. Staff were fantastic and very helpful.Read 
moreDate of stay: January 2020HelpfulShare</v>
      </c>
      <c r="U19" s="4" t="str">
        <f ca="1">IFERROR(__xludf.DUMMYFUNCTION("IMPORTXML(C20,$U$1)"),"Loading...")</f>
        <v>Loading...</v>
      </c>
    </row>
    <row r="20" spans="1:21" ht="15">
      <c r="A20" s="25" t="s">
        <v>1744</v>
      </c>
      <c r="B20" s="17" t="s">
        <v>126</v>
      </c>
      <c r="C20" s="23" t="str">
        <f t="shared" si="0"/>
        <v>https://www.tripadvisor.co.uk/Hotel_Review-g186338-d1812157-Reviews-or90-Travelodge_London_Waterloo_Hotel-London_England.html#REVIEWS</v>
      </c>
      <c r="D20" s="4" t="str">
        <f ca="1">IFERROR(__xludf.DUMMYFUNCTION("IMPORTXML(C20,$D$1)"),"BILL H wrote a review Jan 2020Leeds, United Kingdom69 contributions43 
helpful votes")</f>
        <v>BILL H wrote a review Jan 2020Leeds, United Kingdom69 contributions43 
helpful votes</v>
      </c>
      <c r="E20" s="4" t="str">
        <f ca="1">IFERROR(__xludf.DUMMYFUNCTION("""COMPUTED_VALUE"""),"Basic but good value, staff are excellentYou get everything you would expect from a Travel Lodge. Rooms are basic. 
Breakfast was OK. Staff were polite and efficient especially Lindsay in the 
bar who was always smiling and really helpful. I arrived 10 mi"&amp;"nutes before 
check-in and was told I'd have to pay a £10 charge if I wanted to check-in 
'early.' I declined! It is little things like that which you wouldn't get 
in more up market hotels but the receptionist was only following company 
rules and was ab"&amp;"solutely charming about it.Read moreReview collected in 
partnership with this hotelDate of stay: January 2020HelpfulShare")</f>
        <v>Basic but good value, staff are excellentYou get everything you would expect from a Travel Lodge. Rooms are basic. 
Breakfast was OK. Staff were polite and efficient especially Lindsay in the 
bar who was always smiling and really helpful. I arrived 10 minutes before 
check-in and was told I'd have to pay a £10 charge if I wanted to check-in 
'early.' I declined! It is little things like that which you wouldn't get 
in more up market hotels but the receptionist was only following company 
rules and was absolutely charming about it.Read moreReview collected in 
partnership with this hotelDate of stay: January 2020HelpfulShare</v>
      </c>
      <c r="G20" s="24" t="str">
        <f ca="1">IFERROR(__xludf.DUMMYFUNCTION("IMPORTXML(C20, $G$1)"),"Karen V wrote a review Jan 20201 contribution")</f>
        <v>Karen V wrote a review Jan 20201 contribution</v>
      </c>
      <c r="H20" s="4" t="str">
        <f ca="1">IFERROR(__xludf.DUMMYFUNCTION("""COMPUTED_VALUE"""),"Recent staygreat location and great staff especially Lyndsey and Hashim so helpful and 
customer focused. Clean room great shower and good breakfast offering. 
Location is good to use as a base for exploring London as so close to 
underground and bus link"&amp;"sRead moreReview collected in partnership with 
TravelodgeDate of stay: January 2020HelpfulShare")</f>
        <v>Recent staygreat location and great staff especially Lyndsey and Hashim so helpful and 
customer focused. Clean room great shower and good breakfast offering. 
Location is good to use as a base for exploring London as so close to 
underground and bus linksRead moreReview collected in partnership with 
TravelodgeDate of stay: January 2020HelpfulShare</v>
      </c>
      <c r="I20" s="21"/>
      <c r="J20" s="21" t="str">
        <f ca="1">IFERROR(__xludf.DUMMYFUNCTION("IMPORTXML(C20, $J$1)"),"Jenny B wrote a review Jan 2020Bristol, United Kingdom23 contributions18 
helpful votes")</f>
        <v>Jenny B wrote a review Jan 2020Bristol, United Kingdom23 contributions18 
helpful votes</v>
      </c>
      <c r="K20" s="4" t="str">
        <f ca="1">IFERROR(__xludf.DUMMYFUNCTION("""COMPUTED_VALUE"""),"Comfortable and excellent location for Fireworks at New YearHotel easy to find. Located by nice restaurant and small supermarket. We 
travelled to the New Year fireworks and easy to find. Breakfast was good, a 
little busy, but it was New Year! First hote"&amp;"l I have stayed in for a while 
where the window actually opens! Loved fresh air!Read moreReview collected 
in partnership with TravelodgeDate of stay: December 2019HelpfulShare")</f>
        <v>Comfortable and excellent location for Fireworks at New YearHotel easy to find. Located by nice restaurant and small supermarket. We 
travelled to the New Year fireworks and easy to find. Breakfast was good, a 
little busy, but it was New Year! First hotel I have stayed in for a while 
where the window actually opens! Loved fresh air!Read moreReview collected 
in partnership with TravelodgeDate of stay: December 2019HelpfulShare</v>
      </c>
      <c r="L20" s="21"/>
      <c r="M20" s="21" t="str">
        <f ca="1">IFERROR(__xludf.DUMMYFUNCTION("IMPORTXML(C20, $M$1)"),"Blackbird316 wrote a review Jan 20201 contribution")</f>
        <v>Blackbird316 wrote a review Jan 20201 contribution</v>
      </c>
      <c r="N20" s="4" t="str">
        <f ca="1">IFERROR(__xludf.DUMMYFUNCTION("""COMPUTED_VALUE"""),"Pretty goodThe room was pretty good, this is a good place for value over money. Two 
points I think could be improved is the breakfast which was very dull 
(taste wise) every morning and the paid WiFi which other hotels supply for 
free and not only 30 mi"&amp;"nutes.Read moreReview collected in partnership with 
this hotelDate of stay: December 2019HelpfulShare")</f>
        <v>Pretty goodThe room was pretty good, this is a good place for value over money. Two 
points I think could be improved is the breakfast which was very dull 
(taste wise) every morning and the paid WiFi which other hotels supply for 
free and not only 30 minutes.Read moreReview collected in partnership with 
this hotelDate of stay: December 2019HelpfulShare</v>
      </c>
      <c r="O20" s="21"/>
      <c r="P20" s="21" t="str">
        <f ca="1">IFERROR(__xludf.DUMMYFUNCTION("IMPORTXML(C20, $P$1)"),"Kelly C wrote a review Jan 2020Isle of Wight, United Kingdom2 
contributions14 helpful votes")</f>
        <v>Kelly C wrote a review Jan 2020Isle of Wight, United Kingdom2 
contributions14 helpful votes</v>
      </c>
      <c r="Q20" s="4" t="str">
        <f ca="1">IFERROR(__xludf.DUMMYFUNCTION("""COMPUTED_VALUE"""),"Brilliant StayThis hotel is perfectly situated. You can see the london eye from it! 
Plenty of restaurants in the area. I say this because I have never been a 
fan of Travelodge food (no offence), the room was really clean. Every 
member of staff I came a"&amp;"cross was friendly and greeted you. I will 100% use 
this hotel again. I would like to say a special thanks to Lindsay on the 
bar, you are fantastic, I use to run a hote myself and I would of loved 
someone like you on my team! I hope your managers read "&amp;"this and know you 
are a credit to them. From the sister of the poorly birthday boy! LolRead 
moreDate of stay: January 2020HelpfulShare")</f>
        <v>Brilliant StayThis hotel is perfectly situated. You can see the london eye from it! 
Plenty of restaurants in the area. I say this because I have never been a 
fan of Travelodge food (no offence), the room was really clean. Every 
member of staff I came across was friendly and greeted you. I will 100% use 
this hotel again. I would like to say a special thanks to Lindsay on the 
bar, you are fantastic, I use to run a hote myself and I would of loved 
someone like you on my team! I hope your managers read this and know you 
are a credit to them. From the sister of the poorly birthday boy! LolRead 
moreDate of stay: January 2020HelpfulShare</v>
      </c>
      <c r="U20" s="4" t="str">
        <f ca="1">IFERROR(__xludf.DUMMYFUNCTION("IMPORTXML(C21,$U$1)"),"Loading...")</f>
        <v>Loading...</v>
      </c>
    </row>
    <row r="21" spans="1:21" ht="15">
      <c r="A21" s="25" t="s">
        <v>1864</v>
      </c>
      <c r="B21" s="17" t="s">
        <v>126</v>
      </c>
      <c r="C21" s="23" t="str">
        <f t="shared" si="0"/>
        <v>https://www.tripadvisor.co.uk/Hotel_Review-g186338-d1812157-Reviews-or95-Travelodge_London_Waterloo_Hotel-London_England.html#REVIEWS</v>
      </c>
      <c r="D21" s="4" t="str">
        <f ca="1">IFERROR(__xludf.DUMMYFUNCTION("IMPORTXML(C21,$D$1)"),"missr200 wrote a review Jan 2020Cardiff, United Kingdom14 contributions9 
helpful votes")</f>
        <v>missr200 wrote a review Jan 2020Cardiff, United Kingdom14 contributions9 
helpful votes</v>
      </c>
      <c r="E21" s="4" t="str">
        <f ca="1">IFERROR(__xludf.DUMMYFUNCTION("""COMPUTED_VALUE"""),"Air con had mind of its ownEverything great at this hotel except for loud air con gurgling and 
powering up a night even when switched off at the mains. Terrible night's 
sleep if you're a light sleeper. Not isolated to one room - have stayed in 
three di"&amp;"fferent rooms and they were all the same - reception staff 
confirmed that even when switched off the air con is like a fridge that 
will loudly power up even when turned off.Read moreDate of stay: January 
2020HelpfulShare")</f>
        <v>Air con had mind of its ownEverything great at this hotel except for loud air con gurgling and 
powering up a night even when switched off at the mains. Terrible night's 
sleep if you're a light sleeper. Not isolated to one room - have stayed in 
three different rooms and they were all the same - reception staff 
confirmed that even when switched off the air con is like a fridge that 
will loudly power up even when turned off.Read moreDate of stay: January 
2020HelpfulShare</v>
      </c>
      <c r="G21" s="24" t="str">
        <f ca="1">IFERROR(__xludf.DUMMYFUNCTION("IMPORTXML(C21, $G$1)"),"smellafrica wrote a review Jan 20201 contribution")</f>
        <v>smellafrica wrote a review Jan 20201 contribution</v>
      </c>
      <c r="H21" s="4" t="str">
        <f ca="1">IFERROR(__xludf.DUMMYFUNCTION("""COMPUTED_VALUE"""),"surpringly goodStayed for two nights at Travelodge Waterloo. Having stayed at other 
Travelodges which were basic and passable our expectations were not high 
for this stay.. How wrong we could be. This Travelodge, a Travelodge Plus 
was brigh,t airy extr"&amp;"emely well run, clean , with friendly proactive staff 
and as much as you can eat breakfast. Great value for money and perfectly 
located in Waterloo for the sights of London .Let' s hope other Travelodges 
follow the model of this one.Read moreDate of st"&amp;"ay: January 2020HelpfulShare")</f>
        <v>surpringly goodStayed for two nights at Travelodge Waterloo. Having stayed at other 
Travelodges which were basic and passable our expectations were not high 
for this stay.. How wrong we could be. This Travelodge, a Travelodge Plus 
was brigh,t airy extremely well run, clean , with friendly proactive staff 
and as much as you can eat breakfast. Great value for money and perfectly 
located in Waterloo for the sights of London .Let' s hope other Travelodges 
follow the model of this one.Read moreDate of stay: January 2020HelpfulShare</v>
      </c>
      <c r="I21" s="21"/>
      <c r="J21" s="21" t="str">
        <f ca="1">IFERROR(__xludf.DUMMYFUNCTION("IMPORTXML(C21, $J$1)"),"Fabrice D wrote a review Jan 2020Paris, France5 contributions1 helpful vote")</f>
        <v>Fabrice D wrote a review Jan 2020Paris, France5 contributions1 helpful vote</v>
      </c>
      <c r="K21" s="4" t="str">
        <f ca="1">IFERROR(__xludf.DUMMYFUNCTION("""COMPUTED_VALUE"""),"Very nice !The stay was very nice in this hotel. The hotel is very affordable for 
london, and is in a good place, near to the london eye, wesminster(Palace , 
and abbey), Big ben, victoria. According to our room, it was nice, small, 
the good necessary t"&amp;"o have some days. The only issue was the noise some 
times we can hear in the hallway. Also we had a room in the ground floor, 
but didn't really suffered about it. In conclusion, i highly recommend, 
especially when you are low budget.Read moreDate of st"&amp;"ay: January 
2020HelpfulShare")</f>
        <v>Very nice !The stay was very nice in this hotel. The hotel is very affordable for 
london, and is in a good place, near to the london eye, wesminster(Palace , 
and abbey), Big ben, victoria. According to our room, it was nice, small, 
the good necessary to have some days. The only issue was the noise some 
times we can hear in the hallway. Also we had a room in the ground floor, 
but didn't really suffered about it. In conclusion, i highly recommend, 
especially when you are low budget.Read moreDate of stay: January 
2020HelpfulShare</v>
      </c>
      <c r="L21" s="21"/>
      <c r="M21" s="21" t="str">
        <f ca="1">IFERROR(__xludf.DUMMYFUNCTION("IMPORTXML(C21, $M$1)"),"Isabel wrote a review Jan 20202 contributions")</f>
        <v>Isabel wrote a review Jan 20202 contributions</v>
      </c>
      <c r="N21" s="4" t="str">
        <f ca="1">IFERROR(__xludf.DUMMYFUNCTION("""COMPUTED_VALUE"""),"Great little travelodgeStayed here for a weekend trip to London, hotel is located a few minutes 
walk from Waterloo train and underground station, and is only a 5 minute 
walk to the London eye and Thames. We stayed here once before about 5 years 
ago so "&amp;"decided to come back this time. Our room was a bit smaller and the 
bathroom was very compact but it did the job and for the price we paid it 
was more than enough. We had the buffet breakfast which was also great for 
the price paid, lots of hot food of "&amp;"a good quality, and nice fresh fruit 
also available. Would definitely come back again when I next visit 
London.Read moreReview collected in partnership with this hotelDate of 
stay: January 2020HelpfulShare")</f>
        <v>Great little travelodgeStayed here for a weekend trip to London, hotel is located a few minutes 
walk from Waterloo train and underground station, and is only a 5 minute 
walk to the London eye and Thames. We stayed here once before about 5 years 
ago so decided to come back this time. Our room was a bit smaller and the 
bathroom was very compact but it did the job and for the price we paid it 
was more than enough. We had the buffet breakfast which was also great for 
the price paid, lots of hot food of a good quality, and nice fresh fruit 
also available. Would definitely come back again when I next visit 
London.Read moreReview collected in partnership with this hotelDate of 
stay: January 2020HelpfulShare</v>
      </c>
      <c r="O21" s="21"/>
      <c r="P21" s="21" t="str">
        <f ca="1">IFERROR(__xludf.DUMMYFUNCTION("IMPORTXML(C21, $P$1)"),"Niall M wrote a review Jan 2020Southampton, United Kingdom1 contribution")</f>
        <v>Niall M wrote a review Jan 2020Southampton, United Kingdom1 contribution</v>
      </c>
      <c r="Q21" s="4" t="str">
        <f ca="1">IFERROR(__xludf.DUMMYFUNCTION("""COMPUTED_VALUE"""),"Great rooms, friendly and helpful staffExcellent location for getting to most places. Perfect if you’re arriving 
at Waterloo. Only a 10 minute walk. Have stayed here before this visit and 
will be back again. Variety a places to eat within 10 minute walk"&amp;" also.Read 
moreReview collected in partnership with this hotelDate of stay: January 
2020HelpfulShare")</f>
        <v>Great rooms, friendly and helpful staffExcellent location for getting to most places. Perfect if you’re arriving 
at Waterloo. Only a 10 minute walk. Have stayed here before this visit and 
will be back again. Variety a places to eat within 10 minute walk also.Read 
moreReview collected in partnership with this hotelDate of stay: January 
2020HelpfulShare</v>
      </c>
      <c r="U21" s="4" t="str">
        <f ca="1">IFERROR(__xludf.DUMMYFUNCTION("IMPORTXML(C22,$U$1)"),"Loading...")</f>
        <v>Loading...</v>
      </c>
    </row>
    <row r="22" spans="1:21" ht="15">
      <c r="A22" s="25" t="s">
        <v>1982</v>
      </c>
      <c r="B22" s="17" t="s">
        <v>126</v>
      </c>
      <c r="C22" s="23" t="str">
        <f t="shared" si="0"/>
        <v>https://www.tripadvisor.co.uk/Hotel_Review-g186338-d1812157-Reviews-or100-Travelodge_London_Waterloo_Hotel-London_England.html#REVIEWS</v>
      </c>
      <c r="D22" s="4" t="str">
        <f ca="1">IFERROR(__xludf.DUMMYFUNCTION("IMPORTXML(C22,$D$1)"),"Z2922DWsylwias wrote a review Jan 2020Sheffield, United Kingdom1 
contribution")</f>
        <v>Z2922DWsylwias wrote a review Jan 2020Sheffield, United Kingdom1 
contribution</v>
      </c>
      <c r="E22" s="4" t="str">
        <f ca="1">IFERROR(__xludf.DUMMYFUNCTION("""COMPUTED_VALUE"""),"Great hotelGreat location close to most London attractions walking distance to rail 
station very nice staff very clean room and pleasant stay . Bar have good 
drink selection will use again when in London next timeRead moreReview 
collected in partnershi"&amp;"p with this hotelDate of stay: January 
2020HelpfulShare")</f>
        <v>Great hotelGreat location close to most London attractions walking distance to rail 
station very nice staff very clean room and pleasant stay . Bar have good 
drink selection will use again when in London next timeRead moreReview 
collected in partnership with this hotelDate of stay: January 
2020HelpfulShare</v>
      </c>
      <c r="G22" s="24" t="str">
        <f ca="1">IFERROR(__xludf.DUMMYFUNCTION("IMPORTXML(C22, $G$1)"),"Loading...")</f>
        <v>Loading...</v>
      </c>
      <c r="I22" s="21"/>
      <c r="J22" s="21" t="str">
        <f ca="1">IFERROR(__xludf.DUMMYFUNCTION("IMPORTXML(C22, $J$1)"),"Karen W wrote a review Jan 2020Manchester, United Kingdom2 contributions")</f>
        <v>Karen W wrote a review Jan 2020Manchester, United Kingdom2 contributions</v>
      </c>
      <c r="K22" s="4" t="str">
        <f ca="1">IFERROR(__xludf.DUMMYFUNCTION("""COMPUTED_VALUE"""),"Manchester girlsSpend two great days here, hotel is very clean, the staff here are very 
friendly and helpful. Nothing was too much trouble especially one member of 
staff called Wendy. Thank you for making our stay so pleasurable.Read 
moreDate of stay: "&amp;"January 2020HelpfulShare")</f>
        <v>Manchester girlsSpend two great days here, hotel is very clean, the staff here are very 
friendly and helpful. Nothing was too much trouble especially one member of 
staff called Wendy. Thank you for making our stay so pleasurable.Read 
moreDate of stay: January 2020HelpfulShare</v>
      </c>
      <c r="L22" s="21"/>
      <c r="M22" s="21" t="str">
        <f ca="1">IFERROR(__xludf.DUMMYFUNCTION("IMPORTXML(C22, $M$1)"),"Dibleygirl wrote a review Jan 2020Southampton, United Kingdom252 
contributions85 helpful votes")</f>
        <v>Dibleygirl wrote a review Jan 2020Southampton, United Kingdom252 
contributions85 helpful votes</v>
      </c>
      <c r="N22" s="4" t="str">
        <f ca="1">IFERROR(__xludf.DUMMYFUNCTION("""COMPUTED_VALUE"""),"Perfect location for Waterloo stationWe booked for one night, as the hotel was close to Waterloo station. It 
didn't disappoint at all, the price was very good, the location was great 
and the staff were lovely. It was clean, comfortable and the fact it h"&amp;"ad a 
bar was a major bonus. We would definitely return, not least because we 
could leave our case whilst we went out for the day. Thank you!Read 
moreDate of stay: January 2020HelpfulShare")</f>
        <v>Perfect location for Waterloo stationWe booked for one night, as the hotel was close to Waterloo station. It 
didn't disappoint at all, the price was very good, the location was great 
and the staff were lovely. It was clean, comfortable and the fact it had a 
bar was a major bonus. We would definitely return, not least because we 
could leave our case whilst we went out for the day. Thank you!Read 
moreDate of stay: January 2020HelpfulShare</v>
      </c>
      <c r="O22" s="21"/>
      <c r="P22" s="21" t="str">
        <f ca="1">IFERROR(__xludf.DUMMYFUNCTION("IMPORTXML(C22, $P$1)"),"jmr717 wrote a review Jan 2020Maldon, United Kingdom4 contributions3 
helpful votes")</f>
        <v>jmr717 wrote a review Jan 2020Maldon, United Kingdom4 contributions3 
helpful votes</v>
      </c>
      <c r="Q22" s="4" t="str">
        <f ca="1">IFERROR(__xludf.DUMMYFUNCTION("""COMPUTED_VALUE"""),"Great value basic hotelA very welcoming hotel with all the basics that are needed for a 
comfortable stay in a central location. Thank you to all the staff who made 
our stay pleasant. Next time I need a hotel in central London, I would be 
happy to stay "&amp;"here again.Read moreReview collected in partnership with 
TravelodgeDate of stay: January 2020HelpfulShare")</f>
        <v>Great value basic hotelA very welcoming hotel with all the basics that are needed for a 
comfortable stay in a central location. Thank you to all the staff who made 
our stay pleasant. Next time I need a hotel in central London, I would be 
happy to stay here again.Read moreReview collected in partnership with 
TravelodgeDate of stay: January 2020HelpfulShare</v>
      </c>
      <c r="U22" s="4" t="str">
        <f ca="1">IFERROR(__xludf.DUMMYFUNCTION("IMPORTXML(C23,$U$1)"),"Loading...")</f>
        <v>Loading...</v>
      </c>
    </row>
    <row r="23" spans="1:21" ht="15">
      <c r="A23" s="5" t="s">
        <v>2078</v>
      </c>
      <c r="B23" s="17" t="s">
        <v>126</v>
      </c>
      <c r="C23" s="23" t="str">
        <f t="shared" si="0"/>
        <v>https://www.tripadvisor.co.uk/Hotel_Review-g186338-d1812157-Reviews-or105-Travelodge_London_Waterloo_Hotel-London_England.html#REVIEWS</v>
      </c>
      <c r="D23" s="4" t="str">
        <f ca="1">IFERROR(__xludf.DUMMYFUNCTION("IMPORTXML(C23,$D$1)"),"Loading...")</f>
        <v>Loading...</v>
      </c>
      <c r="G23" s="24" t="str">
        <f ca="1">IFERROR(__xludf.DUMMYFUNCTION("IMPORTXML(C23, $G$1)"),"Jade O'Neill wrote a review Jan 2020Pamplona, Spain36 contributions8 
helpful votes")</f>
        <v>Jade O'Neill wrote a review Jan 2020Pamplona, Spain36 contributions8 
helpful votes</v>
      </c>
      <c r="H23" s="4" t="str">
        <f ca="1">IFERROR(__xludf.DUMMYFUNCTION("""COMPUTED_VALUE"""),"A good stayThe hotel is very well located, nearby shops, London eye &amp; several areas 
that are actually quite cool to walk around and go to a pub or head out for 
a meal. We had breakfast here this morning and it's not the best.. It's 
okay, but in our opi"&amp;"nion the eggs were dry.. The rashers were also dry.. As 
a vegetarian I had the option of veggie sausages and they were actually 
quite tasty. The fruit just tasted like water.. The staff are very nice, 
KUH is who attended us and she's very nice, all the"&amp;" staff is :)Read 
moreDate of stay: January 2020HelpfulShare")</f>
        <v>A good stayThe hotel is very well located, nearby shops, London eye &amp; several areas 
that are actually quite cool to walk around and go to a pub or head out for 
a meal. We had breakfast here this morning and it's not the best.. It's 
okay, but in our opinion the eggs were dry.. The rashers were also dry.. As 
a vegetarian I had the option of veggie sausages and they were actually 
quite tasty. The fruit just tasted like water.. The staff are very nice, 
KUH is who attended us and she's very nice, all the staff is :)Read 
moreDate of stay: January 2020HelpfulShare</v>
      </c>
      <c r="I23" s="21"/>
      <c r="J23" s="21" t="str">
        <f ca="1">IFERROR(__xludf.DUMMYFUNCTION("IMPORTXML(C23, $J$1)"),"#N/A")</f>
        <v>#N/A</v>
      </c>
      <c r="L23" s="21"/>
      <c r="M23" s="21" t="str">
        <f ca="1">IFERROR(__xludf.DUMMYFUNCTION("IMPORTXML(C23, $M$1)"),"JaymeSwiftt wrote a review Jan 2020Portsmouth, United Kingdom1,351 
contributions6,114 helpful votes")</f>
        <v>JaymeSwiftt wrote a review Jan 2020Portsmouth, United Kingdom1,351 
contributions6,114 helpful votes</v>
      </c>
      <c r="N23" s="4" t="str">
        <f ca="1">IFERROR(__xludf.DUMMYFUNCTION("""COMPUTED_VALUE"""),"1 nightWe stayed in this travelodge for 1 night whilst staying in London. Check in 
when we got there on the self service machine , few minutes after using it 
, it says faulty machine please go to the desk so yeah that was abit 
annoying. We asked for a "&amp;"high floor room which was nice we got floor 7. 
Nice lifts , nice staff, nice clean hotel. The room was good. ‘Teas and 
coffees was good and tv on the wall and the air con . Now the tv is good 
wanted to watch a few films at night but no signal on a few "&amp;"good channels 
which was annoying and also that bloody air con now it’s good don’t get me 
wrong but they are noisy. We actually turned ya off and it kept coming on 
every 45 mins or something that’s what let it down . Kept waking me up a 
few times and I"&amp;" checked and it was definitely off every…Read moreDate of 
stay: January 202071 Helpful votes1 RepostHelpfulShareResponse from 
TravelodgeUK, James from the Social Media Team at Travelodge London 
Waterloo HotelResponded 12 Jan 2020Thank you for reviewing"&amp;" our Travelodge 
London Waterloo Hotel. We're happy to hear you were pleased with the hotels 
facilities as well as with the service from the hotel's team but we're 
sorry to hear of the issues experienced with air con and connection issues 
in your room "&amp;"as well as the internal noise issues. Please rest assured the 
hotel managers check Tripadvisor reviews of their hotels so your comments 
will be reviewed by the hotel's team. Thank you again for leaving this 
review and we do hope that you choose to stay"&amp;" with us again in the 
future.Read more")</f>
        <v>1 nightWe stayed in this travelodge for 1 night whilst staying in London. Check in 
when we got there on the self service machine , few minutes after using it 
, it says faulty machine please go to the desk so yeah that was abit 
annoying. We asked for a high floor room which was nice we got floor 7. 
Nice lifts , nice staff, nice clean hotel. The room was good. ‘Teas and 
coffees was good and tv on the wall and the air con . Now the tv is good 
wanted to watch a few films at night but no signal on a few good channels 
which was annoying and also that bloody air con now it’s good don’t get me 
wrong but they are noisy. We actually turned ya off and it kept coming on 
every 45 mins or something that’s what let it down . Kept waking me up a 
few times and I checked and it was definitely off every…Read moreDate of 
stay: January 202071 Helpful votes1 RepostHelpfulShareResponse from 
TravelodgeUK, James from the Social Media Team at Travelodge London 
Waterloo HotelResponded 12 Jan 2020Thank you for reviewing our Travelodge 
London Waterloo Hotel. We're happy to hear you were pleased with the hotels 
facilities as well as with the service from the hotel's team but we're 
sorry to hear of the issues experienced with air con and connection issues 
in your room as well as the internal noise issues. Please rest assured the 
hotel managers check Tripadvisor reviews of their hotels so your comments 
will be reviewed by the hotel's team. Thank you again for leaving this 
review and we do hope that you choose to stay with us again in the 
future.Read more</v>
      </c>
      <c r="O23" s="21"/>
      <c r="P23" s="21" t="str">
        <f ca="1">IFERROR(__xludf.DUMMYFUNCTION("IMPORTXML(C23, $P$1)"),"#N/A")</f>
        <v>#N/A</v>
      </c>
      <c r="U23" s="4" t="str">
        <f ca="1">IFERROR(__xludf.DUMMYFUNCTION("IMPORTXML(C24,$U$1)"),"Loading...")</f>
        <v>Loading...</v>
      </c>
    </row>
    <row r="24" spans="1:21" ht="15">
      <c r="A24" s="25" t="s">
        <v>2189</v>
      </c>
      <c r="B24" s="17" t="s">
        <v>126</v>
      </c>
      <c r="C24" s="23" t="str">
        <f t="shared" si="0"/>
        <v>https://www.tripadvisor.co.uk/Hotel_Review-g186338-d1812157-Reviews-or110-Travelodge_London_Waterloo_Hotel-London_England.html#REVIEWS</v>
      </c>
      <c r="D24" s="4" t="str">
        <f ca="1">IFERROR(__xludf.DUMMYFUNCTION("IMPORTXML(C24,$D$1)"),"MandM559 wrote a review Jan 2020Lincoln, United Kingdom66 contributions16 
helpful votes")</f>
        <v>MandM559 wrote a review Jan 2020Lincoln, United Kingdom66 contributions16 
helpful votes</v>
      </c>
      <c r="E24" s="4" t="str">
        <f ca="1">IFERROR(__xludf.DUMMYFUNCTION("""COMPUTED_VALUE"""),"Excellent LocationLLoved this Travelodge. The location is great (6-7 minutes walk from 
Waterloo Station and underground and the river). Very friendly staff, clean 
rooms and an excellent restaurant for dinner and a fantastic hot breakfast 
at good prices"&amp;" for central London. We'll be back!Read moreDate of stay: 
January 2020HelpfulShare")</f>
        <v>Excellent LocationLLoved this Travelodge. The location is great (6-7 minutes walk from 
Waterloo Station and underground and the river). Very friendly staff, clean 
rooms and an excellent restaurant for dinner and a fantastic hot breakfast 
at good prices for central London. We'll be back!Read moreDate of stay: 
January 2020HelpfulShare</v>
      </c>
      <c r="G24" s="24" t="str">
        <f ca="1">IFERROR(__xludf.DUMMYFUNCTION("IMPORTXML(C24, $G$1)"),"Gary Hibberd wrote a review Jan 2020England56 contributions45 helpful votes")</f>
        <v>Gary Hibberd wrote a review Jan 2020England56 contributions45 helpful votes</v>
      </c>
      <c r="H24" s="4" t="str">
        <f ca="1">IFERROR(__xludf.DUMMYFUNCTION("""COMPUTED_VALUE"""),"Great location, and lovely peopleWhen you travel as much as I do, it's nice to come 'home' to a friendly 
face! The Travelodge, Waterloo Hotel is not just a nice hotel, it's a warm 
and inviting place to stay. Firstly about the hotel itself. It's situated"&amp;" 
near Waterloo Station (no surprise there), but this is a great location if 
you're visiting the city and need somewhere clean and inviting to stay. The 
rooms are clean and a good size, and while the hotel is on a main road, it 
is very quiet, so a good"&amp;" nights rest is assured. Now on to my favourite 
thing about this hotel; The people. On entering, the receptionist welcomes 
you with a smile and a 'How was your day' greeting. Personally, I judge a 
hotel by this first interaction as it tells me a lot ab"&amp;"out how the hotel is 
run. This is a great start. Then…Read moreDate of stay: January 
2020HelpfulShare")</f>
        <v>Great location, and lovely peopleWhen you travel as much as I do, it's nice to come 'home' to a friendly 
face! The Travelodge, Waterloo Hotel is not just a nice hotel, it's a warm 
and inviting place to stay. Firstly about the hotel itself. It's situated 
near Waterloo Station (no surprise there), but this is a great location if 
you're visiting the city and need somewhere clean and inviting to stay. The 
rooms are clean and a good size, and while the hotel is on a main road, it 
is very quiet, so a good nights rest is assured. Now on to my favourite 
thing about this hotel; The people. On entering, the receptionist welcomes 
you with a smile and a 'How was your day' greeting. Personally, I judge a 
hotel by this first interaction as it tells me a lot about how the hotel is 
run. This is a great start. Then…Read moreDate of stay: January 
2020HelpfulShare</v>
      </c>
      <c r="I24" s="21"/>
      <c r="J24" s="21" t="str">
        <f ca="1">IFERROR(__xludf.DUMMYFUNCTION("IMPORTXML(C24, $J$1)"),"waz1961 wrote a review Jan 20202 contributions")</f>
        <v>waz1961 wrote a review Jan 20202 contributions</v>
      </c>
      <c r="K24" s="4" t="str">
        <f ca="1">IFERROR(__xludf.DUMMYFUNCTION("""COMPUTED_VALUE"""),"So CentralThis Travelodge is splitting distance from Waterloo station. I’m disabled 
and this was the perfect place to stay when we came up for a show. A quick 
tube journey and you’re at the theatre without the extra cost for the bed. 
Staff helpful and "&amp;"pleasant, so perfect reallyRead moreReview collected in 
partnership with this hotelDate of stay: December 2019HelpfulShare")</f>
        <v>So CentralThis Travelodge is splitting distance from Waterloo station. I’m disabled 
and this was the perfect place to stay when we came up for a show. A quick 
tube journey and you’re at the theatre without the extra cost for the bed. 
Staff helpful and pleasant, so perfect reallyRead moreReview collected in 
partnership with this hotelDate of stay: December 2019HelpfulShare</v>
      </c>
      <c r="L24" s="21"/>
      <c r="M24" s="21" t="str">
        <f ca="1">IFERROR(__xludf.DUMMYFUNCTION("IMPORTXML(C24, $M$1)"),"Santosh Singh wrote a review Jan 2020Manchester, United Kingdom1 
contribution")</f>
        <v>Santosh Singh wrote a review Jan 2020Manchester, United Kingdom1 
contribution</v>
      </c>
      <c r="N24" s="4" t="str">
        <f ca="1">IFERROR(__xludf.DUMMYFUNCTION("""COMPUTED_VALUE"""),"Excellent place, nice staffIt is very strategically located with some very nice family rooms. Staff is 
very nice and friendly. We went for breakfast and dinner included as 
prepaid in our deal. This was an added help as it helped us to view more 
attract"&amp;"ions without searching for food.Read moreReview collected in 
partnership with this hotelDate of stay: December 2019HelpfulShare")</f>
        <v>Excellent place, nice staffIt is very strategically located with some very nice family rooms. Staff is 
very nice and friendly. We went for breakfast and dinner included as 
prepaid in our deal. This was an added help as it helped us to view more 
attractions without searching for food.Read moreReview collected in 
partnership with this hotelDate of stay: December 2019HelpfulShare</v>
      </c>
      <c r="O24" s="21"/>
      <c r="P24" s="21" t="str">
        <f ca="1">IFERROR(__xludf.DUMMYFUNCTION("IMPORTXML(C24, $P$1)"),"AprilForbes wrote a review Jan 2020Salisbury, United Kingdom145 
contributions22 helpful votes")</f>
        <v>AprilForbes wrote a review Jan 2020Salisbury, United Kingdom145 
contributions22 helpful votes</v>
      </c>
      <c r="Q24" s="4" t="str">
        <f ca="1">IFERROR(__xludf.DUMMYFUNCTION("""COMPUTED_VALUE"""),"Central location for businessI've never stayed in a Travelodge before, admittedly I'd been told that 
they are basic but clean! Well it certainly lived upto that and it also 
threw in a few surprises as well. The breakfast had a great selection and 
was w"&amp;"ell presented, it certainly satisfied me and I can be a tad fussy. The 
staff were very pleasant and cheerful, which was nice. But there were also 
a few problems. I'd only just arrived but I had an asthma attack as the 
cleaner sprayed a chemical very cl"&amp;"ose to me which obviously wasn't good, 
not a good start. Arriving at my room, the corridor was full of trolleys, 
which of course was a bit off putting. The room was pleasant enough and it 
was only for one night. But would I stay again for £111, not sur"&amp;"e if I'm 
honest...Read moreDate of stay: December 2019HelpfulShare")</f>
        <v>Central location for businessI've never stayed in a Travelodge before, admittedly I'd been told that 
they are basic but clean! Well it certainly lived upto that and it also 
threw in a few surprises as well. The breakfast had a great selection and 
was well presented, it certainly satisfied me and I can be a tad fussy. The 
staff were very pleasant and cheerful, which was nice. But there were also 
a few problems. I'd only just arrived but I had an asthma attack as the 
cleaner sprayed a chemical very close to me which obviously wasn't good, 
not a good start. Arriving at my room, the corridor was full of trolleys, 
which of course was a bit off putting. The room was pleasant enough and it 
was only for one night. But would I stay again for £111, not sure if I'm 
honest...Read moreDate of stay: December 2019HelpfulShare</v>
      </c>
      <c r="U24" s="4" t="str">
        <f ca="1">IFERROR(__xludf.DUMMYFUNCTION("IMPORTXML(C25,$U$1)"),"Loading...")</f>
        <v>Loading...</v>
      </c>
    </row>
    <row r="25" spans="1:21" ht="15">
      <c r="A25" s="25" t="s">
        <v>2328</v>
      </c>
      <c r="B25" s="17" t="s">
        <v>126</v>
      </c>
      <c r="C25" s="23" t="str">
        <f t="shared" si="0"/>
        <v>https://www.tripadvisor.co.uk/Hotel_Review-g186338-d1812157-Reviews-or115-Travelodge_London_Waterloo_Hotel-London_England.html#REVIEWS</v>
      </c>
      <c r="D25" s="4" t="str">
        <f ca="1">IFERROR(__xludf.DUMMYFUNCTION("IMPORTXML(C25,$D$1)"),"Ian K wrote a review Jan 2020Portsmouth, United Kingdom4 contributions")</f>
        <v>Ian K wrote a review Jan 2020Portsmouth, United Kingdom4 contributions</v>
      </c>
      <c r="E25" s="4" t="str">
        <f ca="1">IFERROR(__xludf.DUMMYFUNCTION("""COMPUTED_VALUE"""),"Super clean comfortable room with a viewFrom arrival, where the reception team - Humayra, Kaisa and Tiber - were 
very welcoming, to the quiet, well-appointed room with a view of the 
LondonEye, the whole experience was very special. We felt a million dol"&amp;"lars 
without breaking the bank!Read moreReview collected in partnership with 
this hotelDate of stay: January 2020HelpfulShare")</f>
        <v>Super clean comfortable room with a viewFrom arrival, where the reception team - Humayra, Kaisa and Tiber - were 
very welcoming, to the quiet, well-appointed room with a view of the 
LondonEye, the whole experience was very special. We felt a million dollars 
without breaking the bank!Read moreReview collected in partnership with 
this hotelDate of stay: January 2020HelpfulShare</v>
      </c>
      <c r="G25" s="24" t="str">
        <f ca="1">IFERROR(__xludf.DUMMYFUNCTION("IMPORTXML(C25, $G$1)"),"Sherpa241712 wrote a review Jan 20201 contribution")</f>
        <v>Sherpa241712 wrote a review Jan 20201 contribution</v>
      </c>
      <c r="H25" s="4" t="str">
        <f ca="1">IFERROR(__xludf.DUMMYFUNCTION("""COMPUTED_VALUE"""),"another great stayOne of the best Travelodge sites in this very well managed hotel, clean, 
tidy and noise free. Stayed on several occasions and the service has always 
been excellent. Well sited hotel and room was available before 3pm and 
luggage can be"&amp;" left when checking out early so you can return for it 
later.Read moreReview collected in partnership with TravelodgeDate of stay: 
January 2020HelpfulShare")</f>
        <v>another great stayOne of the best Travelodge sites in this very well managed hotel, clean, 
tidy and noise free. Stayed on several occasions and the service has always 
been excellent. Well sited hotel and room was available before 3pm and 
luggage can be left when checking out early so you can return for it 
later.Read moreReview collected in partnership with TravelodgeDate of stay: 
January 2020HelpfulShare</v>
      </c>
      <c r="I25" s="21"/>
      <c r="J25" s="21" t="str">
        <f ca="1">IFERROR(__xludf.DUMMYFUNCTION("IMPORTXML(C25, $J$1)"),"Carol21 wrote a review Jan 2020Jakarta, Indonesia12 contributions")</f>
        <v>Carol21 wrote a review Jan 2020Jakarta, Indonesia12 contributions</v>
      </c>
      <c r="K25" s="4" t="str">
        <f ca="1">IFERROR(__xludf.DUMMYFUNCTION("""COMPUTED_VALUE"""),"A Decent Hotel in the City CenterThe hotel is clean and comfortable, quite spacious not too cramped, there 
are some space to open the luggage. It is the perfect place to rest after 
exploring the city the whole day. Travelodge Waterloo location is perfec"&amp;"t, 
a short walk to Waterloo station, a few eateries and mini market just next 
door. The shower is good, the water pressure and hot water is good. The 
lift is quite fast and the size is okay, The breakfast is good, plenty of 
seating area and the food i"&amp;"s good, but the same menu every day. The only 
downside is that the free Wifi not working properly, should have provide 
free wifi for all customers. We arrived early in the morning, they helped 
us stored our luggage and let us use the toilet too. Will b"&amp;"e happy to 
return to this hotel if we come to London again in the…Read moreDate of 
stay: December 2019HelpfulShare")</f>
        <v>A Decent Hotel in the City CenterThe hotel is clean and comfortable, quite spacious not too cramped, there 
are some space to open the luggage. It is the perfect place to rest after 
exploring the city the whole day. Travelodge Waterloo location is perfect, 
a short walk to Waterloo station, a few eateries and mini market just next 
door. The shower is good, the water pressure and hot water is good. The 
lift is quite fast and the size is okay, The breakfast is good, plenty of 
seating area and the food is good, but the same menu every day. The only 
downside is that the free Wifi not working properly, should have provide 
free wifi for all customers. We arrived early in the morning, they helped 
us stored our luggage and let us use the toilet too. Will be happy to 
return to this hotel if we come to London again in the…Read moreDate of 
stay: December 2019HelpfulShare</v>
      </c>
      <c r="L25" s="21"/>
      <c r="M25" s="21" t="str">
        <f ca="1">IFERROR(__xludf.DUMMYFUNCTION("IMPORTXML(C25, $M$1)"),"dbow1964 wrote a review Jan 20201 contribution")</f>
        <v>dbow1964 wrote a review Jan 20201 contribution</v>
      </c>
      <c r="N25" s="4" t="str">
        <f ca="1">IFERROR(__xludf.DUMMYFUNCTION("""COMPUTED_VALUE"""),"Great weeiGreat place and great staff service in restaurant was good and Customer 
service Staff could not do enough to make sure we where I'm Would stay 
there again if I goto London again . Good was great and well cooked 
breakfast was lovelyRead moreDa"&amp;"te of stay: January 2020HelpfulShare")</f>
        <v>Great weeiGreat place and great staff service in restaurant was good and Customer 
service Staff could not do enough to make sure we where I'm Would stay 
there again if I goto London again . Good was great and well cooked 
breakfast was lovelyRead moreDate of stay: January 2020HelpfulShare</v>
      </c>
      <c r="O25" s="21"/>
      <c r="P25" s="21" t="str">
        <f ca="1">IFERROR(__xludf.DUMMYFUNCTION("IMPORTXML(C25, $P$1)"),"gingerpip wrote a review Jan 2020Deepest Sussex195 contributions93 helpful 
votes")</f>
        <v>gingerpip wrote a review Jan 2020Deepest Sussex195 contributions93 helpful 
votes</v>
      </c>
      <c r="Q25" s="4" t="str">
        <f ca="1">IFERROR(__xludf.DUMMYFUNCTION("""COMPUTED_VALUE"""),"A Good Weekend BreakWe had a super room for our two night stay, which had a coffee machine and 
hairdryer, neither of which we used. The room was very clean, the bed 
comfortable and the water hot. We paid for breakfast, and there was a good 
selection of"&amp;" cooked food, fruit, and cereal. The hotel is well positioned 
for the station and tube, and we found the buses, were a good way of 
getting across the river. A very enjoyable stay, and good value.Read 
moreDate of stay: January 2020HelpfulShare")</f>
        <v>A Good Weekend BreakWe had a super room for our two night stay, which had a coffee machine and 
hairdryer, neither of which we used. The room was very clean, the bed 
comfortable and the water hot. We paid for breakfast, and there was a good 
selection of cooked food, fruit, and cereal. The hotel is well positioned 
for the station and tube, and we found the buses, were a good way of 
getting across the river. A very enjoyable stay, and good value.Read 
moreDate of stay: January 2020HelpfulShare</v>
      </c>
      <c r="U25" s="4" t="str">
        <f ca="1">IFERROR(__xludf.DUMMYFUNCTION("IMPORTXML(C26,$U$1)"),"Loading...")</f>
        <v>Loading...</v>
      </c>
    </row>
    <row r="26" spans="1:21" ht="15">
      <c r="A26" s="25" t="s">
        <v>2449</v>
      </c>
      <c r="B26" s="17" t="s">
        <v>126</v>
      </c>
      <c r="C26" s="23" t="str">
        <f t="shared" si="0"/>
        <v>https://www.tripadvisor.co.uk/Hotel_Review-g186338-d1812157-Reviews-or120-Travelodge_London_Waterloo_Hotel-London_England.html#REVIEWS</v>
      </c>
      <c r="D26" s="4" t="str">
        <f ca="1">IFERROR(__xludf.DUMMYFUNCTION("IMPORTXML(C26,$D$1)"),"SENTHILKUMAR N wrote a review Jan 20201 contribution")</f>
        <v>SENTHILKUMAR N wrote a review Jan 20201 contribution</v>
      </c>
      <c r="E26" s="4" t="str">
        <f ca="1">IFERROR(__xludf.DUMMYFUNCTION("""COMPUTED_VALUE"""),"Stay in London Waterloo TravelodgeHad a good experience except for a couple of glitches. Breakfast and Dinner 
were tasty but could have had a little more variety. The staff who served 
us Dinner commands a special mention. Maintenance staffs were good.Re"&amp;"ad 
moreReview collected in partnership with TravelodgeDate of stay: December 
2019HelpfulShare")</f>
        <v>Stay in London Waterloo TravelodgeHad a good experience except for a couple of glitches. Breakfast and Dinner 
were tasty but could have had a little more variety. The staff who served 
us Dinner commands a special mention. Maintenance staffs were good.Read 
moreReview collected in partnership with TravelodgeDate of stay: December 
2019HelpfulShare</v>
      </c>
      <c r="G26" s="24" t="str">
        <f ca="1">IFERROR(__xludf.DUMMYFUNCTION("IMPORTXML(C26, $G$1)"),"#N/A")</f>
        <v>#N/A</v>
      </c>
      <c r="I26" s="21"/>
      <c r="J26" s="21" t="str">
        <f ca="1">IFERROR(__xludf.DUMMYFUNCTION("IMPORTXML(C26, $J$1)"),"Excursion51583496154 wrote a review Dec 2019Hemel Hempstead, United 
Kingdom2 contributions")</f>
        <v>Excursion51583496154 wrote a review Dec 2019Hemel Hempstead, United 
Kingdom2 contributions</v>
      </c>
      <c r="K26" s="4" t="str">
        <f ca="1">IFERROR(__xludf.DUMMYFUNCTION("""COMPUTED_VALUE"""),"Simply Good ValueWe were meeting family and needed a hotel that was central and comfortable 
for a good night's sleep before our activities next day. The Travelodge 
Waterloo ticked all those boxes for an excellent price, close to the middle 
of London.Re"&amp;"ad moreReview collected in partnership with TravelodgeDate of 
stay: December 2019HelpfulShare")</f>
        <v>Simply Good ValueWe were meeting family and needed a hotel that was central and comfortable 
for a good night's sleep before our activities next day. The Travelodge 
Waterloo ticked all those boxes for an excellent price, close to the middle 
of London.Read moreReview collected in partnership with TravelodgeDate of 
stay: December 2019HelpfulShare</v>
      </c>
      <c r="L26" s="21"/>
      <c r="M26" s="21" t="str">
        <f ca="1">IFERROR(__xludf.DUMMYFUNCTION("IMPORTXML(C26, $M$1)"),"Keith C wrote a review Dec 2019Andover, United Kingdom2 contributions")</f>
        <v>Keith C wrote a review Dec 2019Andover, United Kingdom2 contributions</v>
      </c>
      <c r="N26" s="4" t="str">
        <f ca="1">IFERROR(__xludf.DUMMYFUNCTION("""COMPUTED_VALUE"""),"Travelodge WaterlooGood central location to public transport hubs and all sights and 
facilities of London. Rooms and Shower Rooms are smaller than average 
acceptable for an over night stay BUT not longer in our opinion. Not the 
best hotel BUT reasonabl"&amp;"y priced.Read moreDate of stay: December 
2019HelpfulShare")</f>
        <v>Travelodge WaterlooGood central location to public transport hubs and all sights and 
facilities of London. Rooms and Shower Rooms are smaller than average 
acceptable for an over night stay BUT not longer in our opinion. Not the 
best hotel BUT reasonably priced.Read moreDate of stay: December 
2019HelpfulShare</v>
      </c>
      <c r="O26" s="21"/>
      <c r="P26" s="21" t="str">
        <f ca="1">IFERROR(__xludf.DUMMYFUNCTION("IMPORTXML(C26, $P$1)"),"#N/A")</f>
        <v>#N/A</v>
      </c>
      <c r="U26" s="4" t="str">
        <f ca="1">IFERROR(__xludf.DUMMYFUNCTION("IMPORTXML(C27,$U$1)"),"Loading...")</f>
        <v>Loading...</v>
      </c>
    </row>
    <row r="27" spans="1:21" ht="15">
      <c r="A27" s="5" t="s">
        <v>2553</v>
      </c>
      <c r="B27" s="17" t="s">
        <v>126</v>
      </c>
      <c r="C27" s="23" t="str">
        <f t="shared" si="0"/>
        <v>https://www.tripadvisor.co.uk/Hotel_Review-g186338-d1812157-Reviews-or125-Travelodge_London_Waterloo_Hotel-London_England.html#REVIEWS</v>
      </c>
      <c r="D27" s="4" t="str">
        <f ca="1">IFERROR(__xludf.DUMMYFUNCTION("IMPORTXML(C27,$D$1)"),"Michael D wrote a review Dec 2019Greater London, United Kingdom57 
contributions87 helpful votes")</f>
        <v>Michael D wrote a review Dec 2019Greater London, United Kingdom57 
contributions87 helpful votes</v>
      </c>
      <c r="E27" s="4" t="str">
        <f ca="1">IFERROR(__xludf.DUMMYFUNCTION("""COMPUTED_VALUE"""),"Waterloo Road comfortMy first experience of Travelodge was very positive. The room was basic but 
comfortable, very quiet and well kept. The breakfast was excellent with a 
great choice of items and very good value. Dinner was also very good with a 
good "&amp;"if limited choice of menu but good nonetheless and very good 
value.Read moreDate of stay: December 2019HelpfulShare")</f>
        <v>Waterloo Road comfortMy first experience of Travelodge was very positive. The room was basic but 
comfortable, very quiet and well kept. The breakfast was excellent with a 
great choice of items and very good value. Dinner was also very good with a 
good if limited choice of menu but good nonetheless and very good 
value.Read moreDate of stay: December 2019HelpfulShare</v>
      </c>
      <c r="G27" s="24" t="str">
        <f ca="1">IFERROR(__xludf.DUMMYFUNCTION("IMPORTXML(C27, $G$1)"),"maryandbill38 wrote a review Dec 2019Southampton, United Kingdom2 
contributions")</f>
        <v>maryandbill38 wrote a review Dec 2019Southampton, United Kingdom2 
contributions</v>
      </c>
      <c r="H27" s="4" t="str">
        <f ca="1">IFERROR(__xludf.DUMMYFUNCTION("""COMPUTED_VALUE"""),"good hotel inLondonWehad no complaints, staff were very good and efficient. They were also 
helpful as we wished to book in early and this did not cause a problem., 
breakfast was also very good, plenty of choice and all well 
cooked/presented. Rooms were"&amp;" comfortable and quiet and warm as it was cold 
outsideRead moreReview collected in partnership with this hotelDate of 
stay: December 2019HelpfulShare")</f>
        <v>good hotel inLondonWehad no complaints, staff were very good and efficient. They were also 
helpful as we wished to book in early and this did not cause a problem., 
breakfast was also very good, plenty of choice and all well 
cooked/presented. Rooms were comfortable and quiet and warm as it was cold 
outsideRead moreReview collected in partnership with this hotelDate of 
stay: December 2019HelpfulShare</v>
      </c>
      <c r="I27" s="21"/>
      <c r="J27" s="21" t="str">
        <f ca="1">IFERROR(__xludf.DUMMYFUNCTION("IMPORTXML(C27, $J$1)"),"Dan Q wrote a review Dec 201912 contributions")</f>
        <v>Dan Q wrote a review Dec 201912 contributions</v>
      </c>
      <c r="K27" s="4" t="str">
        <f ca="1">IFERROR(__xludf.DUMMYFUNCTION("""COMPUTED_VALUE"""),"+1")</f>
        <v>+1</v>
      </c>
      <c r="L27" s="21" t="str">
        <f ca="1">IFERROR(__xludf.DUMMYFUNCTION("""COMPUTED_VALUE"""),"Travel lodge stay 2 nights, 16th 17th 18th.. Visiting DJ Growth lab 
conference at the minstory &amp; after party ��I just wanted to give you quick review, I certainly felt safe &amp; secure, the 
food is outstanding as well as the staff, comfortable &amp; enjoyable "&amp;"stay A 5 
walk to the minstory of sound night club, perfectRead moreDate of stay: 
November 2019HelpfulShare")</f>
        <v>Travel lodge stay 2 nights, 16th 17th 18th.. Visiting DJ Growth lab 
conference at the minstory &amp; after party ��I just wanted to give you quick review, I certainly felt safe &amp; secure, the 
food is outstanding as well as the staff, comfortable &amp; enjoyable stay A 5 
walk to the minstory of sound night club, perfectRead moreDate of stay: 
November 2019HelpfulShare</v>
      </c>
      <c r="M27" s="21" t="str">
        <f ca="1">IFERROR(__xludf.DUMMYFUNCTION("IMPORTXML(C27, $M$1)"),"Linandmike2014 wrote a review Dec 2019Daventry, United Kingdom130 
contributions65 helpful votes")</f>
        <v>Linandmike2014 wrote a review Dec 2019Daventry, United Kingdom130 
contributions65 helpful votes</v>
      </c>
      <c r="N27" s="4" t="str">
        <f ca="1">IFERROR(__xludf.DUMMYFUNCTION("""COMPUTED_VALUE"""),"Not as good as previous staysThe first room we stayed in had a free standing heater. We used it whilst 
in the room but noticed the plug got very hot and it smelled. We took the 
plug from the socket to find it was burning . Luckily we found out in time 
"&amp;"and were moved to another room. Unfortunately the next room was equally as 
cold. Took a photo which we shared with reception.Read moreReview collected 
in partnership with TravelodgeDate of stay: December 2019HelpfulShare")</f>
        <v>Not as good as previous staysThe first room we stayed in had a free standing heater. We used it whilst 
in the room but noticed the plug got very hot and it smelled. We took the 
plug from the socket to find it was burning . Luckily we found out in time 
and were moved to another room. Unfortunately the next room was equally as 
cold. Took a photo which we shared with reception.Read moreReview collected 
in partnership with TravelodgeDate of stay: December 2019HelpfulShare</v>
      </c>
      <c r="O27" s="21"/>
      <c r="P27" s="21" t="str">
        <f ca="1">IFERROR(__xludf.DUMMYFUNCTION("IMPORTXML(C27, $P$1)"),"halsteadelizabeth wrote a review Dec 20191 contribution")</f>
        <v>halsteadelizabeth wrote a review Dec 20191 contribution</v>
      </c>
      <c r="Q27" s="4" t="str">
        <f ca="1">IFERROR(__xludf.DUMMYFUNCTION("""COMPUTED_VALUE"""),"Warm and ideally situated.I have stayed at this hotel quite a few times now. It has been very clean, 
and the tea, coffee, sugar etc, are freely available if people require any 
more that are already in the room. The bed is extremely comfortable, and I 
h"&amp;"ad a great night's sleep. The bathroom water is always hot. The breakfast 
buffet is a feast, and the staff were very pleasant and welcoming.Read 
moreReview collected in partnership with this hotelDate of stay: December 
2019HelpfulShare")</f>
        <v>Warm and ideally situated.I have stayed at this hotel quite a few times now. It has been very clean, 
and the tea, coffee, sugar etc, are freely available if people require any 
more that are already in the room. The bed is extremely comfortable, and I 
had a great night's sleep. The bathroom water is always hot. The breakfast 
buffet is a feast, and the staff were very pleasant and welcoming.Read 
moreReview collected in partnership with this hotelDate of stay: December 
2019HelpfulShare</v>
      </c>
      <c r="U27" s="4" t="str">
        <f ca="1">IFERROR(__xludf.DUMMYFUNCTION("IMPORTXML(C28,$U$1)"),"Loading...")</f>
        <v>Loading...</v>
      </c>
    </row>
    <row r="28" spans="1:21" ht="15">
      <c r="A28" s="25" t="s">
        <v>2692</v>
      </c>
      <c r="B28" s="17" t="s">
        <v>126</v>
      </c>
      <c r="C28" s="23" t="str">
        <f t="shared" si="0"/>
        <v>https://www.tripadvisor.co.uk/Hotel_Review-g186338-d1812157-Reviews-or130-Travelodge_London_Waterloo_Hotel-London_England.html#REVIEWS</v>
      </c>
      <c r="D28" s="4" t="str">
        <f ca="1">IFERROR(__xludf.DUMMYFUNCTION("IMPORTXML(C28,$D$1)"),"Ronja wrote a review Dec 2019Malmö, Sweden26 contributions4 helpful votes")</f>
        <v>Ronja wrote a review Dec 2019Malmö, Sweden26 contributions4 helpful votes</v>
      </c>
      <c r="E28" s="4" t="str">
        <f ca="1">IFERROR(__xludf.DUMMYFUNCTION("""COMPUTED_VALUE"""),"Nice stayWe had a good stay and the location was great for our trip! The room was 
clean, check-in went easily and the staff was friendly. Nothing fancy but 
we were definitely cozy. Never ate in the restaurant.Read moreDate of stay: 
December 2019Helpful"&amp;"Share")</f>
        <v>Nice stayWe had a good stay and the location was great for our trip! The room was 
clean, check-in went easily and the staff was friendly. Nothing fancy but 
we were definitely cozy. Never ate in the restaurant.Read moreDate of stay: 
December 2019HelpfulShare</v>
      </c>
      <c r="G28" s="24" t="str">
        <f ca="1">IFERROR(__xludf.DUMMYFUNCTION("IMPORTXML(C28, $G$1)"),"Lisa Wilson wrote a review Dec 2019Jaen, Spain9 contributions")</f>
        <v>Lisa Wilson wrote a review Dec 2019Jaen, Spain9 contributions</v>
      </c>
      <c r="H28" s="4" t="str">
        <f ca="1">IFERROR(__xludf.DUMMYFUNCTION("""COMPUTED_VALUE"""),"FabulousThe rooms and bathrooms were clean and well presented, the cleaning staff 
worked tremendously hard and were happy to help with all requests. The 
manager was welcoming and helpful. The dinning room was clean and well 
stocked. The staff lady with"&amp;" red hair at breakfast time was an absolute 
delight, she was very helpful and so polite. The receptionists were patient 
and helpful despite having to change my door card several times. The staff 
definitely make this travelodge.Read moreDate of stay: De"&amp;"cember 
2019HelpfulShare")</f>
        <v>FabulousThe rooms and bathrooms were clean and well presented, the cleaning staff 
worked tremendously hard and were happy to help with all requests. The 
manager was welcoming and helpful. The dinning room was clean and well 
stocked. The staff lady with red hair at breakfast time was an absolute 
delight, she was very helpful and so polite. The receptionists were patient 
and helpful despite having to change my door card several times. The staff 
definitely make this travelodge.Read moreDate of stay: December 
2019HelpfulShare</v>
      </c>
      <c r="I28" s="21"/>
      <c r="J28" s="21" t="str">
        <f ca="1">IFERROR(__xludf.DUMMYFUNCTION("IMPORTXML(C28, $J$1)"),"Glebe S wrote a review Dec 2019Elgin27 contributions8 helpful votes")</f>
        <v>Glebe S wrote a review Dec 2019Elgin27 contributions8 helpful votes</v>
      </c>
      <c r="K28" s="4" t="str">
        <f ca="1">IFERROR(__xludf.DUMMYFUNCTION("""COMPUTED_VALUE"""),"Restful night after a busy weekendWe stayed here ,again,after working t the Queen Elizabeth Hall. Lovely 
supper and very friendly staff. Really couldn't ask for a better place to 
stay, and then a shortwalk to the station. Breakfast wa also a very relaxe"&amp;"d 
affair. The staff are all so nice and friendly, but not in your face.Read 
moreReview collected in partnership with this hotelDate of stay: December 
2019HelpfulShare")</f>
        <v>Restful night after a busy weekendWe stayed here ,again,after working t the Queen Elizabeth Hall. Lovely 
supper and very friendly staff. Really couldn't ask for a better place to 
stay, and then a shortwalk to the station. Breakfast wa also a very relaxed 
affair. The staff are all so nice and friendly, but not in your face.Read 
moreReview collected in partnership with this hotelDate of stay: December 
2019HelpfulShare</v>
      </c>
      <c r="L28" s="21"/>
      <c r="M28" s="21" t="str">
        <f ca="1">IFERROR(__xludf.DUMMYFUNCTION("IMPORTXML(C28, $M$1)"),"Clare C wrote a review Dec 20191 contribution")</f>
        <v>Clare C wrote a review Dec 20191 contribution</v>
      </c>
      <c r="N28" s="4" t="str">
        <f ca="1">IFERROR(__xludf.DUMMYFUNCTION("""COMPUTED_VALUE"""),"Overnight Stay in Central LondonExcellent location, only 5 minutes walk from Waterloo Station. The room was 
clean, very comfortable and surprisingly spacious for the price. The coffee 
machine is a nice touch and I would definitely use this hotel again f"&amp;"or an 
overnight stay in a central London location.Read moreReview collected in 
partnership with this hotelDate of stay: November 2019HelpfulShare")</f>
        <v>Overnight Stay in Central LondonExcellent location, only 5 minutes walk from Waterloo Station. The room was 
clean, very comfortable and surprisingly spacious for the price. The coffee 
machine is a nice touch and I would definitely use this hotel again for an 
overnight stay in a central London location.Read moreReview collected in 
partnership with this hotelDate of stay: November 2019HelpfulShare</v>
      </c>
      <c r="O28" s="21"/>
      <c r="P28" s="21" t="str">
        <f ca="1">IFERROR(__xludf.DUMMYFUNCTION("IMPORTXML(C28, $P$1)"),"DSS454 wrote a review Dec 2019Dorset, United Kingdom3 contributions")</f>
        <v>DSS454 wrote a review Dec 2019Dorset, United Kingdom3 contributions</v>
      </c>
      <c r="Q28" s="4" t="str">
        <f ca="1">IFERROR(__xludf.DUMMYFUNCTION("""COMPUTED_VALUE"""),"Great for Waterloo Station and Central LondonThis hotel is a very short walk from Waterloo Station so is ideal for those 
arriving by train here. The area is also well served by buses. The prices 
are reasonable for London and many tourist attractions are"&amp;" within easy 
walking distance. The rooms are modern, simple but comfortable and it was 
ideal for our long weekend visit. There are restaurants and bars nearby and 
we enjoyed the fish and chips at Masters Superfish which is almost next 
door.Read moreRe"&amp;"view collected in partnership with TravelodgeDate of stay: 
December 2019HelpfulShare")</f>
        <v>Great for Waterloo Station and Central LondonThis hotel is a very short walk from Waterloo Station so is ideal for those 
arriving by train here. The area is also well served by buses. The prices 
are reasonable for London and many tourist attractions are within easy 
walking distance. The rooms are modern, simple but comfortable and it was 
ideal for our long weekend visit. There are restaurants and bars nearby and 
we enjoyed the fish and chips at Masters Superfish which is almost next 
door.Read moreReview collected in partnership with TravelodgeDate of stay: 
December 2019HelpfulShare</v>
      </c>
      <c r="U28" s="4" t="str">
        <f ca="1">IFERROR(__xludf.DUMMYFUNCTION("IMPORTXML(C29,$U$1)"),"Loading...")</f>
        <v>Loading...</v>
      </c>
    </row>
    <row r="29" spans="1:21" ht="15">
      <c r="A29" s="25" t="s">
        <v>2806</v>
      </c>
      <c r="B29" s="17" t="s">
        <v>126</v>
      </c>
      <c r="C29" s="23" t="str">
        <f t="shared" si="0"/>
        <v>https://www.tripadvisor.co.uk/Hotel_Review-g186338-d1812157-Reviews-or135-Travelodge_London_Waterloo_Hotel-London_England.html#REVIEWS</v>
      </c>
      <c r="D29" s="4" t="str">
        <f ca="1">IFERROR(__xludf.DUMMYFUNCTION("IMPORTXML(C29,$D$1)"),"heartbeat wrote a review Dec 2019Waterlooville, United Kingdom422 
contributions178 helpful votes")</f>
        <v>heartbeat wrote a review Dec 2019Waterlooville, United Kingdom422 
contributions178 helpful votes</v>
      </c>
      <c r="E29" s="4" t="str">
        <f ca="1">IFERROR(__xludf.DUMMYFUNCTION("""COMPUTED_VALUE"""),"Pleased we came, good value, friendly staff and comfyFirst ever stay here, one night for my wife and I to spend evening at 02 
concert. Booked room including paid for midday checkin (worked really well 
to be settled before afternoon relaxing out), paid f"&amp;"or wifi (no big deal) 
and for breakfast (which was good value). Was few minutes walk from 
Waterloo station, coming out where you get Jubilee tube on ground floor, 
this being much quicker. Hotel on opposite side of road just beyond Hilton. 
Reception ve"&amp;"ry helpful and friendly, as were all staff. We waited till 
12.30, ok as had drink at bar, but rewarded with 7th floor upgraded room. 
Southbank and London Eye/river was 10 mins walk. Local eats and pubs near. 
As we were to be at 02 around 6ish we had di"&amp;"nner at hotel two courses for 
£12.50 each which was good value for us and…Read moreDate of stay: December 
2019HelpfulShare")</f>
        <v>Pleased we came, good value, friendly staff and comfyFirst ever stay here, one night for my wife and I to spend evening at 02 
concert. Booked room including paid for midday checkin (worked really well 
to be settled before afternoon relaxing out), paid for wifi (no big deal) 
and for breakfast (which was good value). Was few minutes walk from 
Waterloo station, coming out where you get Jubilee tube on ground floor, 
this being much quicker. Hotel on opposite side of road just beyond Hilton. 
Reception very helpful and friendly, as were all staff. We waited till 
12.30, ok as had drink at bar, but rewarded with 7th floor upgraded room. 
Southbank and London Eye/river was 10 mins walk. Local eats and pubs near. 
As we were to be at 02 around 6ish we had dinner at hotel two courses for 
£12.50 each which was good value for us and…Read moreDate of stay: December 
2019HelpfulShare</v>
      </c>
      <c r="G29" s="24" t="str">
        <f ca="1">IFERROR(__xludf.DUMMYFUNCTION("IMPORTXML(C29, $G$1)"),"#N/A")</f>
        <v>#N/A</v>
      </c>
      <c r="I29" s="21"/>
      <c r="J29" s="21" t="str">
        <f ca="1">IFERROR(__xludf.DUMMYFUNCTION("IMPORTXML(C29, $J$1)"),"#N/A")</f>
        <v>#N/A</v>
      </c>
      <c r="L29" s="21"/>
      <c r="M29" s="21" t="str">
        <f ca="1">IFERROR(__xludf.DUMMYFUNCTION("IMPORTXML(C29, $M$1)"),"stevencoe08 wrote a review Dec 2019Southampton, United Kingdom1 contribution")</f>
        <v>stevencoe08 wrote a review Dec 2019Southampton, United Kingdom1 contribution</v>
      </c>
      <c r="N29" s="4" t="str">
        <f ca="1">IFERROR(__xludf.DUMMYFUNCTION("""COMPUTED_VALUE"""),"Just what you needThe room it's self is as you would expect, very clean and very tidy. We had 
no complaints at all. The staff are very friendly and helpful too. We 
didn't stay for breakfast so I can't say much about that, but it did look 
and smell good"&amp;".Read moreDate of stay: December 2019HelpfulShare")</f>
        <v>Just what you needThe room it's self is as you would expect, very clean and very tidy. We had 
no complaints at all. The staff are very friendly and helpful too. We 
didn't stay for breakfast so I can't say much about that, but it did look 
and smell good.Read moreDate of stay: December 2019HelpfulShare</v>
      </c>
      <c r="O29" s="21"/>
      <c r="P29" s="21" t="str">
        <f ca="1">IFERROR(__xludf.DUMMYFUNCTION("IMPORTXML(C29, $P$1)"),"Sarah G wrote a review Dec 2019Poulton Le Fylde, United Kingdom9 
contributions3 helpful votes")</f>
        <v>Sarah G wrote a review Dec 2019Poulton Le Fylde, United Kingdom9 
contributions3 helpful votes</v>
      </c>
      <c r="Q29" s="4" t="str">
        <f ca="1">IFERROR(__xludf.DUMMYFUNCTION("""COMPUTED_VALUE"""),"Basic at bestNo hairdryer in the rooms but tea and coffee making facilities, must have 
been designed by a man!? Didn't realise there was no hairdryer till i'd had 
a shower and then realised there's also no phone in the room either. Tried 
to call recept"&amp;"ion using the number on the website, no answer, tried via the 
central line, still no answer ! Won't be staying again.Read moreDate of 
stay: December 20191 Helpful voteHelpfulShareResponse from TravelodgeUK, 
Shaf from the Social Media Team. at Travelodg"&amp;"e London Waterloo 
HotelResponded 8 Dec 2019Thank you for taking the time to provide your 
feedback following your recent stay with us. We are sorry to learn of your 
experience and would like to look into this further for you. Therefore, may 
we kindly r"&amp;"equest that you contact our Customer Services Team through the 
help section on our website so that we can investigate this more thoroughly 
with the Hotel. Thank you again for your comments, and we hope to hear from 
you soon.Read more")</f>
        <v>Basic at bestNo hairdryer in the rooms but tea and coffee making facilities, must have 
been designed by a man!? Didn't realise there was no hairdryer till i'd had 
a shower and then realised there's also no phone in the room either. Tried 
to call reception using the number on the website, no answer, tried via the 
central line, still no answer ! Won't be staying again.Read moreDate of 
stay: December 20191 Helpful voteHelpfulShareResponse from TravelodgeUK, 
Shaf from the Social Media Team. at Travelodge London Waterloo 
HotelResponded 8 Dec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v>
      </c>
      <c r="U29" s="4" t="str">
        <f ca="1">IFERROR(__xludf.DUMMYFUNCTION("IMPORTXML(C30,$U$1)"),"Loading...")</f>
        <v>Loading...</v>
      </c>
    </row>
    <row r="30" spans="1:21" ht="15">
      <c r="A30" s="25" t="s">
        <v>2949</v>
      </c>
      <c r="B30" s="17" t="s">
        <v>126</v>
      </c>
      <c r="C30" s="23" t="str">
        <f t="shared" si="0"/>
        <v>https://www.tripadvisor.co.uk/Hotel_Review-g186338-d1812157-Reviews-or140-Travelodge_London_Waterloo_Hotel-London_England.html#REVIEWS</v>
      </c>
      <c r="D30" s="4" t="str">
        <f ca="1">IFERROR(__xludf.DUMMYFUNCTION("IMPORTXML(C30,$D$1)"),"michelle28852019 wrote a review Dec 2019Temple, Texas1 contribution")</f>
        <v>michelle28852019 wrote a review Dec 2019Temple, Texas1 contribution</v>
      </c>
      <c r="E30" s="4" t="str">
        <f ca="1">IFERROR(__xludf.DUMMYFUNCTION("""COMPUTED_VALUE"""),"Best for this priceGreat hotel! Friendly staff, has a bar in the lobby, vending machines for 
snacks, affordable breakfast! Nice location... best hotel for the price! 
First time in london and it was great! Will definitely be returningRead 
moreReview col"&amp;"lected in partnership with this hotelDate of stay: November 
2019HelpfulShare")</f>
        <v>Best for this priceGreat hotel! Friendly staff, has a bar in the lobby, vending machines for 
snacks, affordable breakfast! Nice location... best hotel for the price! 
First time in london and it was great! Will definitely be returningRead 
moreReview collected in partnership with this hotelDate of stay: November 
2019HelpfulShare</v>
      </c>
      <c r="G30" s="24" t="str">
        <f ca="1">IFERROR(__xludf.DUMMYFUNCTION("IMPORTXML(C30, $G$1)"),"102rachael wrote a review Dec 2019Dorset, United Kingdom2 contributions")</f>
        <v>102rachael wrote a review Dec 2019Dorset, United Kingdom2 contributions</v>
      </c>
      <c r="H30" s="4" t="str">
        <f ca="1">IFERROR(__xludf.DUMMYFUNCTION("""COMPUTED_VALUE"""),"Good value, close to travel links and attractionsThis Travelodge is clean, welcoming, quiet and within easy reach of several 
attractions and places to eat. It is a 5 minute walk from Waterloo station 
making it easy for travel around London. When I staye"&amp;"d it was pricey for a 
Travelodge- but London does get expensive in December and this was the best 
value in the area I needed to be. It is otherwise really good value for 
holidays and business stays in London.Read moreReview collected in 
partnership wi"&amp;"th TravelodgeDate of stay: December 2019HelpfulShare")</f>
        <v>Good value, close to travel links and attractionsThis Travelodge is clean, welcoming, quiet and within easy reach of several 
attractions and places to eat. It is a 5 minute walk from Waterloo station 
making it easy for travel around London. When I stayed it was pricey for a 
Travelodge- but London does get expensive in December and this was the best 
value in the area I needed to be. It is otherwise really good value for 
holidays and business stays in London.Read moreReview collected in 
partnership with TravelodgeDate of stay: December 2019HelpfulShare</v>
      </c>
      <c r="I30" s="21"/>
      <c r="J30" s="21" t="str">
        <f ca="1">IFERROR(__xludf.DUMMYFUNCTION("IMPORTXML(C30, $J$1)"),"Transportert5 wrote a review Dec 2019Barnsley, United Kingdom14 
contributions5 helpful votes")</f>
        <v>Transportert5 wrote a review Dec 2019Barnsley, United Kingdom14 
contributions5 helpful votes</v>
      </c>
      <c r="K30" s="4" t="str">
        <f ca="1">IFERROR(__xludf.DUMMYFUNCTION("""COMPUTED_VALUE"""),"Lovely HotelOur first visit to London in 35 yrs since being a teenager (for sightseeing 
anyway). We booked in at travelodge near Waterloo station. A very typical 
travelodge regarding clean, comfy nice surroundings, but what set this 
apart without any s"&amp;"hadow of a doubt was the staff. Great team here, and in 
particular, Atreyo on the bar duties. Never have I wanted to spend more 
company in a staff members presence than this chap. He has an excellent 
knowledge of his bar, and has an infectious personal"&amp;"ity which kept us in 
his bar all night. Hats off travelodge in Waterloo. Staff 5*Read moreDate 
of stay: December 2019HelpfulShare")</f>
        <v>Lovely HotelOur first visit to London in 35 yrs since being a teenager (for sightseeing 
anyway). We booked in at travelodge near Waterloo station. A very typical 
travelodge regarding clean, comfy nice surroundings, but what set this 
apart without any shadow of a doubt was the staff. Great team here, and in 
particular, Atreyo on the bar duties. Never have I wanted to spend more 
company in a staff members presence than this chap. He has an excellent 
knowledge of his bar, and has an infectious personality which kept us in 
his bar all night. Hats off travelodge in Waterloo. Staff 5*Read moreDate 
of stay: December 2019HelpfulShare</v>
      </c>
      <c r="L30" s="21"/>
      <c r="M30" s="21" t="str">
        <f ca="1">IFERROR(__xludf.DUMMYFUNCTION("IMPORTXML(C30, $M$1)"),"Mikey H wrote a review Dec 2019Nuneaton, United Kingdom58 contributions7 
helpful votes")</f>
        <v>Mikey H wrote a review Dec 2019Nuneaton, United Kingdom58 contributions7 
helpful votes</v>
      </c>
      <c r="N30" s="4" t="str">
        <f ca="1">IFERROR(__xludf.DUMMYFUNCTION("""COMPUTED_VALUE"""),"ExcellentWe arrived at the hotel half an hour before check in and reception managed 
to check us in early, the standard rooms are small but ideal for a few 
days, the rooms was spotless and clean, however was really warm when we 
entered in the room but w"&amp;"as no issue because we turned the radiator off and 
open the window. The shower is powerful, dinner service at the hotel is 
quick and the food is high quality, breakfast was also excellent never to 
busy either. Everyone at the hotel is friendly with eve"&amp;"ryone saying hello 
when ever you walk by them. The only thing that needs some attention would 
be the cleaners knowing which rooms had late checkout as the cleaner tried 
entering my room twice before we checked outRead moreDate of stay: December 
2019He"&amp;"lpfulShare")</f>
        <v>ExcellentWe arrived at the hotel half an hour before check in and reception managed 
to check us in early, the standard rooms are small but ideal for a few 
days, the rooms was spotless and clean, however was really warm when we 
entered in the room but was no issue because we turned the radiator off and 
open the window. The shower is powerful, dinner service at the hotel is 
quick and the food is high quality, breakfast was also excellent never to 
busy either. Everyone at the hotel is friendly with everyone saying hello 
when ever you walk by them. The only thing that needs some attention would 
be the cleaners knowing which rooms had late checkout as the cleaner tried 
entering my room twice before we checked outRead moreDate of stay: December 
2019HelpfulShare</v>
      </c>
      <c r="O30" s="21"/>
      <c r="P30" s="21" t="str">
        <f ca="1">IFERROR(__xludf.DUMMYFUNCTION("IMPORTXML(C30, $P$1)"),"Andy S wrote a review Dec 2019Hastings, United Kingdom28 contributions26 
helpful votes")</f>
        <v>Andy S wrote a review Dec 2019Hastings, United Kingdom28 contributions26 
helpful votes</v>
      </c>
      <c r="Q30" s="4" t="str">
        <f ca="1">IFERROR(__xludf.DUMMYFUNCTION("""COMPUTED_VALUE"""),"Dirty long weekendJust got back from 4 days in London, the hotel was lovely, really modern, 
clean and fresh. The staff were friendly and helpful, especially Lindsey 
who worked her backside off. Thanks for a great few days. We stayed in a 
super room, de"&amp;"finitely recommend the extra cost, very quiet and modern.Read 
moreDate of stay: December 2019HelpfulShare")</f>
        <v>Dirty long weekendJust got back from 4 days in London, the hotel was lovely, really modern, 
clean and fresh. The staff were friendly and helpful, especially Lindsey 
who worked her backside off. Thanks for a great few days. We stayed in a 
super room, definitely recommend the extra cost, very quiet and modern.Read 
moreDate of stay: December 2019HelpfulShare</v>
      </c>
      <c r="U30" s="4" t="str">
        <f ca="1">IFERROR(__xludf.DUMMYFUNCTION("IMPORTXML(C31,$U$1)"),"Loading...")</f>
        <v>Loading...</v>
      </c>
    </row>
    <row r="31" spans="1:21" ht="15">
      <c r="A31" s="5" t="s">
        <v>3064</v>
      </c>
      <c r="B31" s="17" t="s">
        <v>126</v>
      </c>
      <c r="C31" s="23" t="str">
        <f t="shared" si="0"/>
        <v>https://www.tripadvisor.co.uk/Hotel_Review-g186338-d1812157-Reviews-or145-Travelodge_London_Waterloo_Hotel-London_England.html#REVIEWS</v>
      </c>
      <c r="D31" s="4" t="str">
        <f ca="1">IFERROR(__xludf.DUMMYFUNCTION("IMPORTXML(C31,$D$1)"),"pancho1967 wrote a review Dec 2019Oxford, United Kingdom153 contributions39 
helpful votes")</f>
        <v>pancho1967 wrote a review Dec 2019Oxford, United Kingdom153 contributions39 
helpful votes</v>
      </c>
      <c r="E31" s="4" t="str">
        <f ca="1">IFERROR(__xludf.DUMMYFUNCTION("""COMPUTED_VALUE"""),"Friendly Quiet and comfortableOften stay here . It's quiet and comfortable. Staff are super friendly. 
Breakfast starts early and is is always tasty . Ask for a room on the 
higher floors for a silent room . Would nice to get unlimited wifi . Hotel 
is ve"&amp;"ry convenient for Waterloo station and StThomas hospitalRead moreDate 
of stay: February 2017HelpfulShare")</f>
        <v>Friendly Quiet and comfortableOften stay here . It's quiet and comfortable. Staff are super friendly. 
Breakfast starts early and is is always tasty . Ask for a room on the 
higher floors for a silent room . Would nice to get unlimited wifi . Hotel 
is very convenient for Waterloo station and StThomas hospitalRead moreDate 
of stay: February 2017HelpfulShare</v>
      </c>
      <c r="G31" s="24" t="str">
        <f ca="1">IFERROR(__xludf.DUMMYFUNCTION("IMPORTXML(C31, $G$1)"),"Loading...")</f>
        <v>Loading...</v>
      </c>
      <c r="I31" s="21"/>
      <c r="J31" s="21" t="str">
        <f ca="1">IFERROR(__xludf.DUMMYFUNCTION("IMPORTXML(C31, $J$1)"),"Loading...")</f>
        <v>Loading...</v>
      </c>
      <c r="L31" s="21"/>
      <c r="M31" s="21" t="str">
        <f ca="1">IFERROR(__xludf.DUMMYFUNCTION("IMPORTXML(C31, $M$1)"),"Bearwords wrote a review Dec 2019Derby, United Kingdom9 contributions4 
helpful votes")</f>
        <v>Bearwords wrote a review Dec 2019Derby, United Kingdom9 contributions4 
helpful votes</v>
      </c>
      <c r="N31" s="4" t="str">
        <f ca="1">IFERROR(__xludf.DUMMYFUNCTION("""COMPUTED_VALUE"""),"Excellent valueThis hotel is excellent value considering it’s central location. It is 
within walking distance of major train and tube stations, surrounded by 
plenty of shops and eating places. The hotel is clean, quiet and convenient 
for exploring cent"&amp;"ral LondonRead moreReview collected in partnership with 
this hotelDate of stay: November 2019HelpfulShare")</f>
        <v>Excellent valueThis hotel is excellent value considering it’s central location. It is 
within walking distance of major train and tube stations, surrounded by 
plenty of shops and eating places. The hotel is clean, quiet and convenient 
for exploring central LondonRead moreReview collected in partnership with 
this hotelDate of stay: November 2019HelpfulShare</v>
      </c>
      <c r="O31" s="21"/>
      <c r="P31" s="21" t="str">
        <f ca="1">IFERROR(__xludf.DUMMYFUNCTION("IMPORTXML(C31, $P$1)"),"#N/A")</f>
        <v>#N/A</v>
      </c>
      <c r="U31" s="4" t="str">
        <f ca="1">IFERROR(__xludf.DUMMYFUNCTION("IMPORTXML(C32,$U$1)"),"Loading...")</f>
        <v>Loading...</v>
      </c>
    </row>
    <row r="32" spans="1:21" ht="15">
      <c r="A32" s="25" t="s">
        <v>3170</v>
      </c>
      <c r="B32" s="17" t="s">
        <v>126</v>
      </c>
      <c r="C32" s="23" t="str">
        <f t="shared" si="0"/>
        <v>https://www.tripadvisor.co.uk/Hotel_Review-g186338-d1812157-Reviews-or150-Travelodge_London_Waterloo_Hotel-London_England.html#REVIEWS</v>
      </c>
      <c r="D32" s="4" t="str">
        <f ca="1">IFERROR(__xludf.DUMMYFUNCTION("IMPORTXML(C32,$D$1)"),"#N/A")</f>
        <v>#N/A</v>
      </c>
      <c r="G32" s="24" t="str">
        <f ca="1">IFERROR(__xludf.DUMMYFUNCTION("IMPORTXML(C32, $G$1)"),"1louise2016 wrote a review Nov 2019Alton, United Kingdom14 contributions11 
helpful votes")</f>
        <v>1louise2016 wrote a review Nov 2019Alton, United Kingdom14 contributions11 
helpful votes</v>
      </c>
      <c r="H32" s="4" t="str">
        <f ca="1">IFERROR(__xludf.DUMMYFUNCTION("""COMPUTED_VALUE"""),"Good location for Waterloo Station &amp; nearby areaStayed here for a weekend with a group of friends recently. The hotel was 
clean and well kept, apart from only one lift working at the time. Ideally 
located for access to Waterloo Station and the South Ban"&amp;"k. Staff were 
efficient, helpful and friendly and I would consider staying there 
again.Read moreReview collected in partnership with TravelodgeDate of stay: 
November 2019HelpfulShare")</f>
        <v>Good location for Waterloo Station &amp; nearby areaStayed here for a weekend with a group of friends recently. The hotel was 
clean and well kept, apart from only one lift working at the time. Ideally 
located for access to Waterloo Station and the South Bank. Staff were 
efficient, helpful and friendly and I would consider staying there 
again.Read moreReview collected in partnership with TravelodgeDate of stay: 
November 2019HelpfulShare</v>
      </c>
      <c r="I32" s="21"/>
      <c r="J32" s="21" t="str">
        <f ca="1">IFERROR(__xludf.DUMMYFUNCTION("IMPORTXML(C32, $J$1)"),"#N/A")</f>
        <v>#N/A</v>
      </c>
      <c r="L32" s="21"/>
      <c r="M32" s="21" t="str">
        <f ca="1">IFERROR(__xludf.DUMMYFUNCTION("IMPORTXML(C32, $M$1)"),"jolyonjago wrote a review Nov 2019London, United Kingdom1 contribution")</f>
        <v>jolyonjago wrote a review Nov 2019London, United Kingdom1 contribution</v>
      </c>
      <c r="N32" s="4" t="str">
        <f ca="1">IFERROR(__xludf.DUMMYFUNCTION("""COMPUTED_VALUE"""),"Dont stay hereBed and wifi great everything else rubbish. Room stifling hot on arrival 
and had to hunt down the hidden heater that was on full blast. Then went to 
have my pre-paid dinner to find the waitress ranting and raving and 
threatening to walk o"&amp;"ut. Smashing plates around and shouting at staff in 
the kitchen over a walkie talkie well within earshot of families with 
children. I left to find a safe place to eat. All staff generally not happy 
and the place is clearly very poorly managedRead moreR"&amp;"eview collected in 
partnership with TravelodgeDate of stay: November 2019HelpfulShareResponse 
from TravelodgeUK, Zack from The Social Media Team at Travelodge London 
Waterloo HotelResponded 28 Nov 2019Thank you for taking the time to provide 
your feed"&amp;"back following your recent stay with us. We are sorry to learn of 
your experience and would like to look into this further for you. 
Therefore, may we kindly request that you contact our Customer Services 
Team through the help section on our website so "&amp;"that we can investigate 
this more thoroughly with the Hotel. Thank you again for your comments, and 
we hope to hear from you soon.Read more")</f>
        <v>Dont stay hereBed and wifi great everything else rubbish. Room stifling hot on arrival 
and had to hunt down the hidden heater that was on full blast. Then went to 
have my pre-paid dinner to find the waitress ranting and raving and 
threatening to walk out. Smashing plates around and shouting at staff in 
the kitchen over a walkie talkie well within earshot of families with 
children. I left to find a safe place to eat. All staff generally not happy 
and the place is clearly very poorly managedRead moreReview collected in 
partnership with TravelodgeDate of stay: November 2019HelpfulShareResponse 
from TravelodgeUK, Zack from The Social Media Team at Travelodge London 
Waterloo HotelResponded 28 Nov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v>
      </c>
      <c r="O32" s="21"/>
      <c r="P32" s="21" t="str">
        <f ca="1">IFERROR(__xludf.DUMMYFUNCTION("IMPORTXML(C32, $P$1)"),"#N/A")</f>
        <v>#N/A</v>
      </c>
      <c r="U32" s="4" t="str">
        <f ca="1">IFERROR(__xludf.DUMMYFUNCTION("IMPORTXML(C33,$U$1)"),"Loading...")</f>
        <v>Loading...</v>
      </c>
    </row>
    <row r="33" spans="1:21" ht="15">
      <c r="A33" s="25" t="s">
        <v>3272</v>
      </c>
      <c r="B33" s="17" t="s">
        <v>126</v>
      </c>
      <c r="C33" s="23" t="str">
        <f t="shared" si="0"/>
        <v>https://www.tripadvisor.co.uk/Hotel_Review-g186338-d1812157-Reviews-or155-Travelodge_London_Waterloo_Hotel-London_England.html#REVIEWS</v>
      </c>
      <c r="D33" s="4" t="str">
        <f ca="1">IFERROR(__xludf.DUMMYFUNCTION("IMPORTXML(C33,$D$1)"),"Barbara C wrote a review Nov 2019Yeovil, United Kingdom10 contributions3 
helpful votes")</f>
        <v>Barbara C wrote a review Nov 2019Yeovil, United Kingdom10 contributions3 
helpful votes</v>
      </c>
      <c r="E33" s="4" t="str">
        <f ca="1">IFERROR(__xludf.DUMMYFUNCTION("""COMPUTED_VALUE"""),"Easy acesss to station &amp; EmbankmentThe Hotel was very conveint to Station minute walk to express shops &amp; 
Embankment, Shard all within easy walking ideal, lovely friendly Hotel 
clean and good Staff, Breakfast was lovely, Plenty of it, good value, comfy 
"&amp;"beds too, very quiet, been here many times before and keep coming back,Read 
moreDate of stay: November 2019HelpfulShare")</f>
        <v>Easy acesss to station &amp; EmbankmentThe Hotel was very conveint to Station minute walk to express shops &amp; 
Embankment, Shard all within easy walking ideal, lovely friendly Hotel 
clean and good Staff, Breakfast was lovely, Plenty of it, good value, comfy 
beds too, very quiet, been here many times before and keep coming back,Read 
moreDate of stay: November 2019HelpfulShare</v>
      </c>
      <c r="G33" s="24" t="str">
        <f ca="1">IFERROR(__xludf.DUMMYFUNCTION("IMPORTXML(C33, $G$1)"),"pm26273 wrote a review Nov 20197 contributions3 helpful votes")</f>
        <v>pm26273 wrote a review Nov 20197 contributions3 helpful votes</v>
      </c>
      <c r="H33" s="4" t="str">
        <f ca="1">IFERROR(__xludf.DUMMYFUNCTION("""COMPUTED_VALUE"""),"ExcellentI can not fault this hotel, it is the best travel lodge I have ever stayed 
in. Excellent location. I think the staff are a real credit to the hotel, 
ALL the staff were polite and helpful. No question or request was too much. 
Excellent friendly"&amp;" bar staff also and food and drink came out really 
quickly and with a warm friendly smile. Kitchen staff and housekeeping were 
also very helpful and friendly, in fact everyone was. We had a super room 
and have no complaints about that either. It was su"&amp;"ch a quiet room and 
everything was clean and all the gadgets worked, great shower too and 
that's hard to find in a hotel! Breakfast was well worth the price and the 
food was better then the boutique hotel we stayed in the previous night 
which was almo"&amp;"st three times the price! Thank you to…Read moreDate of stay: 
November 2019HelpfulShare")</f>
        <v>ExcellentI can not fault this hotel, it is the best travel lodge I have ever stayed 
in. Excellent location. I think the staff are a real credit to the hotel, 
ALL the staff were polite and helpful. No question or request was too much. 
Excellent friendly bar staff also and food and drink came out really 
quickly and with a warm friendly smile. Kitchen staff and housekeeping were 
also very helpful and friendly, in fact everyone was. We had a super room 
and have no complaints about that either. It was such a quiet room and 
everything was clean and all the gadgets worked, great shower too and 
that's hard to find in a hotel! Breakfast was well worth the price and the 
food was better then the boutique hotel we stayed in the previous night 
which was almost three times the price! Thank you to…Read moreDate of stay: 
November 2019HelpfulShare</v>
      </c>
      <c r="I33" s="21"/>
      <c r="J33" s="21" t="str">
        <f ca="1">IFERROR(__xludf.DUMMYFUNCTION("IMPORTXML(C33, $J$1)"),"Geoff C wrote a review Nov 2019Weymouth, United Kingdom12 contributions5 
helpful votes")</f>
        <v>Geoff C wrote a review Nov 2019Weymouth, United Kingdom12 contributions5 
helpful votes</v>
      </c>
      <c r="K33" s="4" t="str">
        <f ca="1">IFERROR(__xludf.DUMMYFUNCTION("""COMPUTED_VALUE"""),"Not at all badBeing a Travelodge, the prices fluctuate from the sublime to the ridicules, 
but we managed to pick up a Wednesday and Thursday night stay, in April, 
for £30 per night. It’s situated in reasonable walking distance, with case, 
from Waterloo"&amp;" mainline and underground station, it’s easy to get to. Nearer 
the station is a Sainsbury’s local and a Tesco Express. Pubs close by: the 
converted fire brigade station (called the fire brigade station), the 
Wellington, on the main road by the bridge, "&amp;"and opposite, up Mepham street, 
towards the main line station; a quirky little pub called the hole in the 
wall. Plenty of bus routes to chose from; going both north and south of the 
river.Read moreDate of stay: April 2019HelpfulShare")</f>
        <v>Not at all badBeing a Travelodge, the prices fluctuate from the sublime to the ridicules, 
but we managed to pick up a Wednesday and Thursday night stay, in April, 
for £30 per night. It’s situated in reasonable walking distance, with case, 
from Waterloo mainline and underground station, it’s easy to get to. Nearer 
the station is a Sainsbury’s local and a Tesco Express. Pubs close by: the 
converted fire brigade station (called the fire brigade station), the 
Wellington, on the main road by the bridge, and opposite, up Mepham street, 
towards the main line station; a quirky little pub called the hole in the 
wall. Plenty of bus routes to chose from; going both north and south of the 
river.Read moreDate of stay: April 2019HelpfulShare</v>
      </c>
      <c r="L33" s="21"/>
      <c r="M33" s="21" t="str">
        <f ca="1">IFERROR(__xludf.DUMMYFUNCTION("IMPORTXML(C33, $M$1)"),"Sally K wrote a review Nov 2019Southampton, United Kingdom2 contributions2 
helpful votes")</f>
        <v>Sally K wrote a review Nov 2019Southampton, United Kingdom2 contributions2 
helpful votes</v>
      </c>
      <c r="N33" s="4" t="str">
        <f ca="1">IFERROR(__xludf.DUMMYFUNCTION("""COMPUTED_VALUE"""),"Comfortable stayWe were here for one night to stay over after a concert. Room was clean, 
fresh and comfortable.The staff were all kind and helpful. Checking in was 
simple too! Realised there wasn’t a hairdryer in the room after washing my 
hair! Must re"&amp;"member to collect one from reception first next time!!Read 
moreReview collected in partnership with this hotelDate of stay: November 
2019HelpfulShare")</f>
        <v>Comfortable stayWe were here for one night to stay over after a concert. Room was clean, 
fresh and comfortable.The staff were all kind and helpful. Checking in was 
simple too! Realised there wasn’t a hairdryer in the room after washing my 
hair! Must remember to collect one from reception first next time!!Read 
moreReview collected in partnership with this hotelDate of stay: November 
2019HelpfulShare</v>
      </c>
      <c r="O33" s="21"/>
      <c r="P33" s="21" t="str">
        <f ca="1">IFERROR(__xludf.DUMMYFUNCTION("IMPORTXML(C33, $P$1)"),"Coxy86 wrote a review Nov 2019northampton,england4 contributions")</f>
        <v>Coxy86 wrote a review Nov 2019northampton,england4 contributions</v>
      </c>
      <c r="Q33" s="4" t="str">
        <f ca="1">IFERROR(__xludf.DUMMYFUNCTION("""COMPUTED_VALUE"""),"Fab stay for Remembrance weekendGreat welcome, service and presentation of the hotel and rooms. Everyone 
made an effort and was very friendly and smiley. Everywhere was clean and 
tidy. Was impressed by the gluten free options for breakfast too. Our room"&amp;"s 
were opposite each other, one had a view of the Shard and the other of the 
London Eye. The staff were great with the kids and put the travel cot up 
for us. Great location too. Lots of restaurants, cafes and bars nearby. 
Really close to Southbank so "&amp;"it was great for us and the kids to see some 
live graffiti and skateboarding. Mulled wine for the adults! Thanks to all 
the staff for making it an easy trip away :)Read moreDate of stay: November 
2019HelpfulShare")</f>
        <v>Fab stay for Remembrance weekendGreat welcome, service and presentation of the hotel and rooms. Everyone 
made an effort and was very friendly and smiley. Everywhere was clean and 
tidy. Was impressed by the gluten free options for breakfast too. Our rooms 
were opposite each other, one had a view of the Shard and the other of the 
London Eye. The staff were great with the kids and put the travel cot up 
for us. Great location too. Lots of restaurants, cafes and bars nearby. 
Really close to Southbank so it was great for us and the kids to see some 
live graffiti and skateboarding. Mulled wine for the adults! Thanks to all 
the staff for making it an easy trip away :)Read moreDate of stay: November 
2019HelpfulShare</v>
      </c>
      <c r="U33" s="4" t="str">
        <f ca="1">IFERROR(__xludf.DUMMYFUNCTION("IMPORTXML(C34,$U$1)"),"Loading...")</f>
        <v>Loading...</v>
      </c>
    </row>
    <row r="34" spans="1:21" ht="15">
      <c r="A34" s="25" t="s">
        <v>3415</v>
      </c>
      <c r="B34" s="17" t="s">
        <v>126</v>
      </c>
      <c r="C34" s="23" t="str">
        <f t="shared" si="0"/>
        <v>https://www.tripadvisor.co.uk/Hotel_Review-g186338-d1812157-Reviews-or160-Travelodge_London_Waterloo_Hotel-London_England.html#REVIEWS</v>
      </c>
      <c r="D34" s="4" t="str">
        <f ca="1">IFERROR(__xludf.DUMMYFUNCTION("IMPORTXML(C34,$D$1)"),"geoff r wrote a review Nov 2019Broadstairs, United Kingdom246 
contributions76 helpful votes")</f>
        <v>geoff r wrote a review Nov 2019Broadstairs, United Kingdom246 
contributions76 helpful votes</v>
      </c>
      <c r="E34" s="4" t="str">
        <f ca="1">IFERROR(__xludf.DUMMYFUNCTION("""COMPUTED_VALUE"""),"Two different reps, two different stories, two different prices!My wife and I had booked into a hotel nearby which proved unsuitable so, 
having used travelodge for years, we went to this one for a four night 
stay. we phoned first and was told they had r"&amp;"ooms for £59 per night which 
we thought quite reasonable so I said we would confirm in two minutes after 
I had cancelled the other hotel. I did this and was then told by another 
rep that it was now £145 per night! I told the rep that I had been quoted "&amp;"
£59 but she said all the rooms at that rate had suddenly gone. Within 2 
minutes? Now being stranded we had to give in to this extortion only to 
find when I arrived and spoke to some of the staff that there were several 
rooms vacant at £59. To add insu"&amp;"lt to injury we were also charged an extra 
£10 per day per person for breakfast. Plus the air…Read moreDate of stay: 
November 2019HelpfulShareResponse from TravelodgeUK, Tilly from The Social 
Media Team at Travelodge London Waterloo HotelResponded 22 N"&amp;"ov 2019Thank 
you for submitting your review of our London Waterloo Hotel. We are so 
sorry to hear about your experience and will ensure your comments are 
passed to the hotel team to improve the service we offer. If you wish to 
report this to our custo"&amp;"mer service team please may we kindly request you 
contact them via our website. May we thank you for sharing your experience 
and we hope you stay with us in the future.Read more")</f>
        <v>Two different reps, two different stories, two different prices!My wife and I had booked into a hotel nearby which proved unsuitable so, 
having used travelodge for years, we went to this one for a four night 
stay. we phoned first and was told they had rooms for £59 per night which 
we thought quite reasonable so I said we would confirm in two minutes after 
I had cancelled the other hotel. I did this and was then told by another 
rep that it was now £145 per night! I told the rep that I had been quoted 
£59 but she said all the rooms at that rate had suddenly gone. Within 2 
minutes? Now being stranded we had to give in to this extortion only to 
find when I arrived and spoke to some of the staff that there were several 
rooms vacant at £59. To add insult to injury we were also charged an extra 
£10 per day per person for breakfast. Plus the air…Read moreDate of stay: 
November 2019HelpfulShareResponse from TravelodgeUK, Tilly from The Social 
Media Team at Travelodge London Waterloo HotelResponded 22 Nov 2019Thank 
you for submitting your review of our London Waterloo Hotel. We are so 
sorry to hear about your experience and will ensure your comments are 
passed to the hotel team to improve the service we offer. If you wish to 
report this to our customer service team please may we kindly request you 
contact them via our website. May we thank you for sharing your experience 
and we hope you stay with us in the future.Read more</v>
      </c>
      <c r="G34" s="24" t="str">
        <f ca="1">IFERROR(__xludf.DUMMYFUNCTION("IMPORTXML(C34, $G$1)"),"H Black wrote a review Nov 20193 contributions1 helpful vote")</f>
        <v>H Black wrote a review Nov 20193 contributions1 helpful vote</v>
      </c>
      <c r="H34" s="4" t="str">
        <f ca="1">IFERROR(__xludf.DUMMYFUNCTION("""COMPUTED_VALUE"""),"Great service by staffAll of the staff were very welcoming, always smiling and happy to help. In 
particular Sam who served us for dinner was excellent, apparently a new 
member of staff she looked after us to such a high standard - thank you 
Sam!Read mo"&amp;"reDate of stay: November 2019HelpfulShare")</f>
        <v>Great service by staffAll of the staff were very welcoming, always smiling and happy to help. In 
particular Sam who served us for dinner was excellent, apparently a new 
member of staff she looked after us to such a high standard - thank you 
Sam!Read moreDate of stay: November 2019HelpfulShare</v>
      </c>
      <c r="I34" s="21"/>
      <c r="J34" s="21" t="str">
        <f ca="1">IFERROR(__xludf.DUMMYFUNCTION("IMPORTXML(C34, $J$1)"),"GS2401 wrote a review Nov 2019Andover, United Kingdom68 contributions14 
helpful votes")</f>
        <v>GS2401 wrote a review Nov 2019Andover, United Kingdom68 contributions14 
helpful votes</v>
      </c>
      <c r="K34" s="4" t="str">
        <f ca="1">IFERROR(__xludf.DUMMYFUNCTION("""COMPUTED_VALUE"""),"Great location - great staffAnother great stay at Travelodge Waterloo. All the staff were great and 
treated me very well. They are all very personable and care about their 
customers. The location is great for the train station and central for 
everywher"&amp;"e.Read moreReview collected in partnership with TravelodgeDate of 
stay: November 2019HelpfulShare")</f>
        <v>Great location - great staffAnother great stay at Travelodge Waterloo. All the staff were great and 
treated me very well. They are all very personable and care about their 
customers. The location is great for the train station and central for 
everywhere.Read moreReview collected in partnership with TravelodgeDate of 
stay: November 2019HelpfulShare</v>
      </c>
      <c r="L34" s="21"/>
      <c r="M34" s="21" t="str">
        <f ca="1">IFERROR(__xludf.DUMMYFUNCTION("IMPORTXML(C34, $M$1)"),"adjay3 wrote a review Nov 2019Penzance, United Kingdom9 contributions5 
helpful votes")</f>
        <v>adjay3 wrote a review Nov 2019Penzance, United Kingdom9 contributions5 
helpful votes</v>
      </c>
      <c r="N34" s="4" t="str">
        <f ca="1">IFERROR(__xludf.DUMMYFUNCTION("""COMPUTED_VALUE"""),"Great stayThe hotel was good value, it was clean and the staff friendly. Easy walking 
distance to the South Bank, and only 3 mins to Waterloo Station. Ideal for 
our stay as we were visiting galleries during the day and going to opera in 
the evenings.Re"&amp;"ad moreReview collected in partnership with TravelodgeDate 
of stay: November 2019HelpfulShare")</f>
        <v>Great stayThe hotel was good value, it was clean and the staff friendly. Easy walking 
distance to the South Bank, and only 3 mins to Waterloo Station. Ideal for 
our stay as we were visiting galleries during the day and going to opera in 
the evenings.Read moreReview collected in partnership with TravelodgeDate 
of stay: November 2019HelpfulShare</v>
      </c>
      <c r="O34" s="21"/>
      <c r="P34" s="21" t="str">
        <f ca="1">IFERROR(__xludf.DUMMYFUNCTION("IMPORTXML(C34, $P$1)"),"JuanC wrote a review Nov 20192 contributions")</f>
        <v>JuanC wrote a review Nov 20192 contributions</v>
      </c>
      <c r="Q34" s="4" t="str">
        <f ca="1">IFERROR(__xludf.DUMMYFUNCTION("""COMPUTED_VALUE"""),"Great location, ok place to stayWe spent a long weekend there, location is great and hotel is fine. Rooms 
are small and basic but comfortable. Typical english breakfast, good enough 
for the price. The staff is nice but didn´t provide much information ab"&amp;"out 
what to do in the city or suggestions to do something out of the ordinary 
things. In our case, price was a little bit high but makes up for the great 
location.Read moreReview collected in partnership with TravelodgeDate of 
stay: November 2019Helpf"&amp;"ulShare")</f>
        <v>Great location, ok place to stayWe spent a long weekend there, location is great and hotel is fine. Rooms 
are small and basic but comfortable. Typical english breakfast, good enough 
for the price. The staff is nice but didn´t provide much information about 
what to do in the city or suggestions to do something out of the ordinary 
things. In our case, price was a little bit high but makes up for the great 
location.Read moreReview collected in partnership with TravelodgeDate of 
stay: November 2019HelpfulShare</v>
      </c>
      <c r="U34" s="4" t="str">
        <f ca="1">IFERROR(__xludf.DUMMYFUNCTION("IMPORTXML(C35,$U$1)"),"Loading...")</f>
        <v>Loading...</v>
      </c>
    </row>
    <row r="35" spans="1:21" ht="15">
      <c r="A35" s="5" t="s">
        <v>3585</v>
      </c>
      <c r="B35" s="17" t="s">
        <v>126</v>
      </c>
      <c r="C35" s="23" t="str">
        <f t="shared" si="0"/>
        <v>https://www.tripadvisor.co.uk/Hotel_Review-g186338-d1812157-Reviews-or165-Travelodge_London_Waterloo_Hotel-London_England.html#REVIEWS</v>
      </c>
      <c r="D35" s="4" t="str">
        <f ca="1">IFERROR(__xludf.DUMMYFUNCTION("IMPORTXML(C35,$D$1)"),"julie s wrote a review Nov 201922 contributions5 helpful votes")</f>
        <v>julie s wrote a review Nov 201922 contributions5 helpful votes</v>
      </c>
      <c r="E35" s="4" t="str">
        <f ca="1">IFERROR(__xludf.DUMMYFUNCTION("""COMPUTED_VALUE"""),"Weekend awayStayed here for 2 nights for a little get away weekend. Perfect location 
for all the attractions and only a 5 minute walk from Waterloo station. All 
the staff were very friendly and professional from check in to check out. 
The breakfast was"&amp;" great and really is unlimited!!!! The rooms were plenty 
big enough and very clean. Would I recommend this hotel? .. . Definitely. 
Would we use it again? . . . DefinitelyRead moreDate of stay: November 
2019HelpfulShare")</f>
        <v>Weekend awayStayed here for 2 nights for a little get away weekend. Perfect location 
for all the attractions and only a 5 minute walk from Waterloo station. All 
the staff were very friendly and professional from check in to check out. 
The breakfast was great and really is unlimited!!!! The rooms were plenty 
big enough and very clean. Would I recommend this hotel? .. . Definitely. 
Would we use it again? . . . DefinitelyRead moreDate of stay: November 
2019HelpfulShare</v>
      </c>
      <c r="G35" s="24" t="str">
        <f ca="1">IFERROR(__xludf.DUMMYFUNCTION("IMPORTXML(C35, $G$1)"),"Katy P wrote a review Nov 2019Peterborough, Canada2 contributions")</f>
        <v>Katy P wrote a review Nov 2019Peterborough, Canada2 contributions</v>
      </c>
      <c r="H35" s="4" t="str">
        <f ca="1">IFERROR(__xludf.DUMMYFUNCTION("""COMPUTED_VALUE"""),"Clean great location amazing staffWe stayed for our daughters birthday, when the staff found out about her 
birthday they made her feel really special. They even offered a 
complimentary drink. We were able to check in early. The room was 
spacious,clean "&amp;"and well provided. We had a great night sleep with a lovely 
breakfast. Again the staff were very helpful full of smiles. We stayed her 
to visit madam tussards which was easily assessable via the near by tube. 
Special mention to the staff Hilina, Renisa"&amp;" and Humayra. FANTASTIC CUSTOMER 
SERVICE an asset to the hotel.Read moreDate of stay: November 
2019HelpfulShare")</f>
        <v>Clean great location amazing staffWe stayed for our daughters birthday, when the staff found out about her 
birthday they made her feel really special. They even offered a 
complimentary drink. We were able to check in early. The room was 
spacious,clean and well provided. We had a great night sleep with a lovely 
breakfast. Again the staff were very helpful full of smiles. We stayed her 
to visit madam tussards which was easily assessable via the near by tube. 
Special mention to the staff Hilina, Renisa and Humayra. FANTASTIC CUSTOMER 
SERVICE an asset to the hotel.Read moreDate of stay: November 
2019HelpfulShare</v>
      </c>
      <c r="I35" s="21"/>
      <c r="J35" s="21" t="str">
        <f ca="1">IFERROR(__xludf.DUMMYFUNCTION("IMPORTXML(C35, $J$1)"),"Misslouboutin19 wrote a review Nov 2019Scotland, United Kingdom763 
contributions436 helpful votes")</f>
        <v>Misslouboutin19 wrote a review Nov 2019Scotland, United Kingdom763 
contributions436 helpful votes</v>
      </c>
      <c r="K35" s="4" t="str">
        <f ca="1">IFERROR(__xludf.DUMMYFUNCTION("""COMPUTED_VALUE"""),"Great hotelBooked in to this hotel with family. Arrived before check in and were 
checked in there and then. Went to the rooms there is lifts available. Mine 
and my husbands room was absolutely huge we couldn’t believe how big it 
was. A double bed, and "&amp;"two single, a tv, ironing board, shower room, 
hangers for clothes, table with mirror and tea facilities in room. What 
more do u need and air con. Was so happy and especially for the price. 
Would say it’s about a 7 minute walk from the Waterloo train st"&amp;"ation. On 
the first night arrived back late from shopping and ended up having dinner 
in the hotel. Could not fault any of the staff so happy, friendly and 
nothing was too much hassle. The food was two courses for £12.50 which is 
so cheap. The menu had"&amp;" variety and to be honest I never eat in the…Read 
moreDate of stay: November 20191 Helpful voteHelpfulShare")</f>
        <v>Great hotelBooked in to this hotel with family. Arrived before check in and were 
checked in there and then. Went to the rooms there is lifts available. Mine 
and my husbands room was absolutely huge we couldn’t believe how big it 
was. A double bed, and two single, a tv, ironing board, shower room, 
hangers for clothes, table with mirror and tea facilities in room. What 
more do u need and air con. Was so happy and especially for the price. 
Would say it’s about a 7 minute walk from the Waterloo train station. On 
the first night arrived back late from shopping and ended up having dinner 
in the hotel. Could not fault any of the staff so happy, friendly and 
nothing was too much hassle. The food was two courses for £12.50 which is 
so cheap. The menu had variety and to be honest I never eat in the…Read 
moreDate of stay: November 20191 Helpful voteHelpfulShare</v>
      </c>
      <c r="L35" s="21"/>
      <c r="M35" s="21" t="str">
        <f ca="1">IFERROR(__xludf.DUMMYFUNCTION("IMPORTXML(C35, $M$1)"),"Loading...")</f>
        <v>Loading...</v>
      </c>
      <c r="O35" s="21"/>
      <c r="P35" s="21" t="str">
        <f ca="1">IFERROR(__xludf.DUMMYFUNCTION("IMPORTXML(C35, $P$1)"),"Linda H wrote a review Nov 2019southampton, England, United Kingdom6 
contributions1 helpful vote")</f>
        <v>Linda H wrote a review Nov 2019southampton, England, United Kingdom6 
contributions1 helpful vote</v>
      </c>
      <c r="Q35" s="4" t="str">
        <f ca="1">IFERROR(__xludf.DUMMYFUNCTION("""COMPUTED_VALUE"""),"Waterloo TravelodgeExcellent stay as always. Great positioning for sightseeing and transport 
across London. Staff very professional and helpful. Rooms clean and fresh. 
Will definitely recommend and will be returning. Prices reasonable.Read 
moreReview c"&amp;"ollected in partnership with TravelodgeDate of stay: November 
2019HelpfulShare")</f>
        <v>Waterloo TravelodgeExcellent stay as always. Great positioning for sightseeing and transport 
across London. Staff very professional and helpful. Rooms clean and fresh. 
Will definitely recommend and will be returning. Prices reasonable.Read 
moreReview collected in partnership with TravelodgeDate of stay: November 
2019HelpfulShare</v>
      </c>
      <c r="U35" s="4" t="str">
        <f ca="1">IFERROR(__xludf.DUMMYFUNCTION("IMPORTXML(C36,$U$1)"),"Loading...")</f>
        <v>Loading...</v>
      </c>
    </row>
    <row r="36" spans="1:21" ht="15">
      <c r="A36" s="25" t="s">
        <v>3734</v>
      </c>
      <c r="B36" s="17" t="s">
        <v>126</v>
      </c>
      <c r="C36" s="23" t="str">
        <f t="shared" si="0"/>
        <v>https://www.tripadvisor.co.uk/Hotel_Review-g186338-d1812157-Reviews-or170-Travelodge_London_Waterloo_Hotel-London_England.html#REVIEWS</v>
      </c>
      <c r="D36" s="4" t="str">
        <f ca="1">IFERROR(__xludf.DUMMYFUNCTION("IMPORTXML(C36,$D$1)"),"Spencer D wrote a review Nov 20195 contributions11 helpful votes")</f>
        <v>Spencer D wrote a review Nov 20195 contributions11 helpful votes</v>
      </c>
      <c r="E36" s="4" t="str">
        <f ca="1">IFERROR(__xludf.DUMMYFUNCTION("""COMPUTED_VALUE"""),"Decent hotel, amazing staffThe hotel has been perfectly adequate, exactly what you expect from a 
Travelodge. This stay has been made so memorable by the wonderful staff. 
Everyone has been so friendly and helpful and the experience here has been 
fab. Ta"&amp;"nzila, Raisa and Marcus are awesome. Thanks to them and the rest of 
the team.Read moreDate of stay: November 2019HelpfulShare")</f>
        <v>Decent hotel, amazing staffThe hotel has been perfectly adequate, exactly what you expect from a 
Travelodge. This stay has been made so memorable by the wonderful staff. 
Everyone has been so friendly and helpful and the experience here has been 
fab. Tanzila, Raisa and Marcus are awesome. Thanks to them and the rest of 
the team.Read moreDate of stay: November 2019HelpfulShare</v>
      </c>
      <c r="G36" s="24" t="str">
        <f ca="1">IFERROR(__xludf.DUMMYFUNCTION("IMPORTXML(C36, $G$1)"),"smithcarolinea wrote a review Nov 20191 contribution")</f>
        <v>smithcarolinea wrote a review Nov 20191 contribution</v>
      </c>
      <c r="H36" s="4" t="str">
        <f ca="1">IFERROR(__xludf.DUMMYFUNCTION("""COMPUTED_VALUE"""),"Clean, efficient and friendlyFrom arriving to leaving, I felt the staff cared. I was quite heavily 
pregnant and they noticed this and offered me a nearby bedroom as well as 
to carry things. The room was basic but clean. The property was cheerful, 
welco"&amp;"ming and well located for major attractions, with a comfortable bar 
and extensive breakfast selection. Another bonus was the ability to store 
luggage free of charge after checking out. Overall very good value for 
money.Read moreReview collected in part"&amp;"nership with this hotelDate of stay: 
November 2019HelpfulShare")</f>
        <v>Clean, efficient and friendlyFrom arriving to leaving, I felt the staff cared. I was quite heavily 
pregnant and they noticed this and offered me a nearby bedroom as well as 
to carry things. The room was basic but clean. The property was cheerful, 
welcoming and well located for major attractions, with a comfortable bar 
and extensive breakfast selection. Another bonus was the ability to store 
luggage free of charge after checking out. Overall very good value for 
money.Read moreReview collected in partnership with this hotelDate of stay: 
November 2019HelpfulShare</v>
      </c>
      <c r="I36" s="21"/>
      <c r="J36" s="21" t="str">
        <f ca="1">IFERROR(__xludf.DUMMYFUNCTION("IMPORTXML(C36, $J$1)"),"#N/A")</f>
        <v>#N/A</v>
      </c>
      <c r="L36" s="21"/>
      <c r="M36" s="21" t="str">
        <f ca="1">IFERROR(__xludf.DUMMYFUNCTION("IMPORTXML(C36, $M$1)"),"AgstarUK wrote a review Nov 2019UK13 contributions3 helpful votes")</f>
        <v>AgstarUK wrote a review Nov 2019UK13 contributions3 helpful votes</v>
      </c>
      <c r="N36" s="4" t="str">
        <f ca="1">IFERROR(__xludf.DUMMYFUNCTION("""COMPUTED_VALUE"""),"You get what you pay for ��Exactly what it says on the tin. It doesn’t have luxury soaps, dressing 
gowns or a phone. However, if you want no thrills, simple stopover, clean, 
fresh, tidy, friendly, breakfast, late night snack, bar...the list goes on. 
It"&amp;"’s perfect!!Read moreReview collected in partnership with this hotelDate 
of stay: November 2019HelpfulShare")</f>
        <v>You get what you pay for ��Exactly what it says on the tin. It doesn’t have luxury soaps, dressing 
gowns or a phone. However, if you want no thrills, simple stopover, clean, 
fresh, tidy, friendly, breakfast, late night snack, bar...the list goes on. 
It’s perfect!!Read moreReview collected in partnership with this hotelDate 
of stay: November 2019HelpfulShare</v>
      </c>
      <c r="O36" s="21"/>
      <c r="P36" s="21" t="str">
        <f ca="1">IFERROR(__xludf.DUMMYFUNCTION("IMPORTXML(C36, $P$1)"),"shannonjones16 wrote a review Nov 2019Isle of Wight, United Kingdom1 
contribution")</f>
        <v>shannonjones16 wrote a review Nov 2019Isle of Wight, United Kingdom1 
contribution</v>
      </c>
      <c r="Q36" s="4" t="str">
        <f ca="1">IFERROR(__xludf.DUMMYFUNCTION("""COMPUTED_VALUE"""),"First time staying at the Travelodge in londonCan not fault our stay at this Travelodge, the staff were so friendly and 
made sure you were comfortable. We checked in and the room was ready. The 
room was clean and had great facilities. The bar staff were"&amp;" great and 
friendly especially with the children as we had our children with us. They 
had a good conservation and they were relaxed too. When leaving the manager 
asked us about our stay and was very happy and gave our children a little 
treat which was"&amp;" chocolate bar. But very enjoyed staying here and in the 
future will be first one I pick as friendly, quick service and also close 
to transport too.Read moreReview collected in partnership with this 
hotelDate of stay: November 2019HelpfulShare")</f>
        <v>First time staying at the Travelodge in londonCan not fault our stay at this Travelodge, the staff were so friendly and 
made sure you were comfortable. We checked in and the room was ready. The 
room was clean and had great facilities. The bar staff were great and 
friendly especially with the children as we had our children with us. They 
had a good conservation and they were relaxed too. When leaving the manager 
asked us about our stay and was very happy and gave our children a little 
treat which was chocolate bar. But very enjoyed staying here and in the 
future will be first one I pick as friendly, quick service and also close 
to transport too.Read moreReview collected in partnership with this 
hotelDate of stay: November 2019HelpfulShare</v>
      </c>
      <c r="U36" s="4" t="str">
        <f ca="1">IFERROR(__xludf.DUMMYFUNCTION("IMPORTXML(C37,$U$1)"),"Loading...")</f>
        <v>Loading...</v>
      </c>
    </row>
    <row r="37" spans="1:21" ht="15">
      <c r="A37" s="25" t="s">
        <v>3869</v>
      </c>
      <c r="B37" s="17" t="s">
        <v>126</v>
      </c>
      <c r="C37" s="23" t="str">
        <f t="shared" si="0"/>
        <v>https://www.tripadvisor.co.uk/Hotel_Review-g186338-d1812157-Reviews-or175-Travelodge_London_Waterloo_Hotel-London_England.html#REVIEWS</v>
      </c>
      <c r="D37" s="4" t="str">
        <f ca="1">IFERROR(__xludf.DUMMYFUNCTION("IMPORTXML(C37,$D$1)"),"mbeale2014 wrote a review Nov 2019Chatham, United Kingdom341 
contributions90 helpful votes")</f>
        <v>mbeale2014 wrote a review Nov 2019Chatham, United Kingdom341 
contributions90 helpful votes</v>
      </c>
      <c r="E37" s="4" t="str">
        <f ca="1">IFERROR(__xludf.DUMMYFUNCTION("""COMPUTED_VALUE"""),"Graduation night awayQuite basic with smaller than average rooms. Evening meal was really slow. 
Breakfast was a total different story in that it was well organised and 
quickly replenished. We had 2 rooms each of which were small but clean.Read 
moreDate"&amp;" of stay: November 2019HelpfulShare")</f>
        <v>Graduation night awayQuite basic with smaller than average rooms. Evening meal was really slow. 
Breakfast was a total different story in that it was well organised and 
quickly replenished. We had 2 rooms each of which were small but clean.Read 
moreDate of stay: November 2019HelpfulShare</v>
      </c>
      <c r="G37" s="24" t="str">
        <f ca="1">IFERROR(__xludf.DUMMYFUNCTION("IMPORTXML(C37, $G$1)"),"J L wrote a review Nov 2019Tavistock, United Kingdom362 contributions137 
helpful votes")</f>
        <v>J L wrote a review Nov 2019Tavistock, United Kingdom362 contributions137 
helpful votes</v>
      </c>
      <c r="H37" s="4" t="str">
        <f ca="1">IFERROR(__xludf.DUMMYFUNCTION("""COMPUTED_VALUE"""),"Smart central hotelThis is a relatively new building in smarter condition than the nearby 
Covent Garden or Vauxhall travelodges. The room was clean and comfortable 
with usual amenities. It was a 5 minute walk to Waterloo station.Read 
moreDate of stay: "&amp;"November 20191 Helpful voteHelpfulShare")</f>
        <v>Smart central hotelThis is a relatively new building in smarter condition than the nearby 
Covent Garden or Vauxhall travelodges. The room was clean and comfortable 
with usual amenities. It was a 5 minute walk to Waterloo station.Read 
moreDate of stay: November 20191 Helpful voteHelpfulShare</v>
      </c>
      <c r="I37" s="21"/>
      <c r="J37" s="21" t="str">
        <f ca="1">IFERROR(__xludf.DUMMYFUNCTION("IMPORTXML(C37, $J$1)"),"Anna_maria052 wrote a review Nov 2019Hereford, United Kingdom16 
contributions6 helpful votes")</f>
        <v>Anna_maria052 wrote a review Nov 2019Hereford, United Kingdom16 
contributions6 helpful votes</v>
      </c>
      <c r="K37" s="4" t="str">
        <f ca="1">IFERROR(__xludf.DUMMYFUNCTION("""COMPUTED_VALUE"""),"Convenient location, clean hotel.I enjoyed my stay at the Central Waterloo Travelodge and would return 
again. The staff were friendly and helpful. The rooms were clean and 
although basic were comfortable and catered to my needs. The spare heater 
in the"&amp;" room did not work but the general heating system was adequate. I 
slept well, felt safe and found the location suitable for my needs.Read 
moreDate of stay: October 2019HelpfulShare")</f>
        <v>Convenient location, clean hotel.I enjoyed my stay at the Central Waterloo Travelodge and would return 
again. The staff were friendly and helpful. The rooms were clean and 
although basic were comfortable and catered to my needs. The spare heater 
in the room did not work but the general heating system was adequate. I 
slept well, felt safe and found the location suitable for my needs.Read 
moreDate of stay: October 2019HelpfulShare</v>
      </c>
      <c r="L37" s="21"/>
      <c r="M37" s="21" t="str">
        <f ca="1">IFERROR(__xludf.DUMMYFUNCTION("IMPORTXML(C37, $M$1)"),"LucyS1234x wrote a review Nov 2019Plymouth, United Kingdom277 
contributions30 helpful votes")</f>
        <v>LucyS1234x wrote a review Nov 2019Plymouth, United Kingdom277 
contributions30 helpful votes</v>
      </c>
      <c r="N37" s="4" t="str">
        <f ca="1">IFERROR(__xludf.DUMMYFUNCTION("""COMPUTED_VALUE"""),"Good location but that’s about it..The location of this hotel is great - literally a few minutes walk to 
Waterloo, 20 mins walk to London eye/Southbank and you can then walk on to 
central London. We were in room 333 and upon arrival there was an awful 
"&amp;"smell in the room which seemed like it was coming from the drains in the 
bathroom. The smell was even worse first thing in the morning meaning we 
had to keep the window open. The room and particularly the bathroom were 
quite small too. I was pleased th"&amp;"at we were able to store our luggage in 
reception. The price wasn’t bad for a Saturday night in London but it was 
by no means cheap so I am a little disappointed.Read moreDate of stay: 
November 2019HelpfulShare")</f>
        <v>Good location but that’s about it..The location of this hotel is great - literally a few minutes walk to 
Waterloo, 20 mins walk to London eye/Southbank and you can then walk on to 
central London. We were in room 333 and upon arrival there was an awful 
smell in the room which seemed like it was coming from the drains in the 
bathroom. The smell was even worse first thing in the morning meaning we 
had to keep the window open. The room and particularly the bathroom were 
quite small too. I was pleased that we were able to store our luggage in 
reception. The price wasn’t bad for a Saturday night in London but it was 
by no means cheap so I am a little disappointed.Read moreDate of stay: 
November 2019HelpfulShare</v>
      </c>
      <c r="O37" s="21"/>
      <c r="P37" s="21" t="str">
        <f ca="1">IFERROR(__xludf.DUMMYFUNCTION("IMPORTXML(C37, $P$1)"),"Runner102018 wrote a review Nov 2019Bournemouth, United Kingdom11 
contributions4 helpful votes")</f>
        <v>Runner102018 wrote a review Nov 2019Bournemouth, United Kingdom11 
contributions4 helpful votes</v>
      </c>
      <c r="Q37" s="4" t="str">
        <f ca="1">IFERROR(__xludf.DUMMYFUNCTION("""COMPUTED_VALUE"""),"Beautiful and luxuriousStayed at Waterloo Travelodge with my children over half term. Wow!! What a 
luxurious Travelodge and definitely more than value for money. It says it’s 
a Travelodge Plus and this shows. The room was sparkling clean. We 
preferred "&amp;"the shower only, the room was a good size, the beds were super 
comfy. The receptionist, Ali, was warm and welcoming. He greeted us with a 
huge smile and made pleasant conversation whilst checking us in. The hotel 
has a lovely bar / dining area. Was ver"&amp;"y impressed with our stay and we’ll 
definitely be back when in that part of the country again.Read moreDate of 
stay: October 20191 SaveHelpfulShare")</f>
        <v>Beautiful and luxuriousStayed at Waterloo Travelodge with my children over half term. Wow!! What a 
luxurious Travelodge and definitely more than value for money. It says it’s 
a Travelodge Plus and this shows. The room was sparkling clean. We 
preferred the shower only, the room was a good size, the beds were super 
comfy. The receptionist, Ali, was warm and welcoming. He greeted us with a 
huge smile and made pleasant conversation whilst checking us in. The hotel 
has a lovely bar / dining area. Was very impressed with our stay and we’ll 
definitely be back when in that part of the country again.Read moreDate of 
stay: October 20191 SaveHelpfulShare</v>
      </c>
      <c r="U37" s="4" t="str">
        <f ca="1">IFERROR(__xludf.DUMMYFUNCTION("IMPORTXML(C38,$U$1)"),"Loading...")</f>
        <v>Loading...</v>
      </c>
    </row>
    <row r="38" spans="1:21" ht="15">
      <c r="A38" s="25" t="s">
        <v>3968</v>
      </c>
      <c r="B38" s="17" t="s">
        <v>126</v>
      </c>
      <c r="C38" s="23" t="str">
        <f t="shared" si="0"/>
        <v>https://www.tripadvisor.co.uk/Hotel_Review-g186338-d1812157-Reviews-or180-Travelodge_London_Waterloo_Hotel-London_England.html#REVIEWS</v>
      </c>
      <c r="D38" s="4" t="str">
        <f ca="1">IFERROR(__xludf.DUMMYFUNCTION("IMPORTXML(C38,$D$1)"),"Relax50505297519 wrote a review Nov 20191 contribution")</f>
        <v>Relax50505297519 wrote a review Nov 20191 contribution</v>
      </c>
      <c r="E38" s="4" t="str">
        <f ca="1">IFERROR(__xludf.DUMMYFUNCTION("""COMPUTED_VALUE"""),"An enjoyable stayWe stayed on a Thursday evening and were very impressed. Obviously, we knew 
the location would be ideal for accessing central London, but the quality 
of the overall experience was great. Three points stood out for us: a) the 
friendly a"&amp;"nd helpful staff; b) having a quiet room as requested, and c) a 
very good value breakfast.Read moreReview collected in partnership with 
this hotelDate of stay: October 2019HelpfulShare")</f>
        <v>An enjoyable stayWe stayed on a Thursday evening and were very impressed. Obviously, we knew 
the location would be ideal for accessing central London, but the quality 
of the overall experience was great. Three points stood out for us: a) the 
friendly and helpful staff; b) having a quiet room as requested, and c) a 
very good value breakfast.Read moreReview collected in partnership with 
this hotelDate of stay: October 2019HelpfulShare</v>
      </c>
      <c r="G38" s="24" t="str">
        <f ca="1">IFERROR(__xludf.DUMMYFUNCTION("IMPORTXML(C38, $G$1)"),"Michael P wrote a review Oct 20191 contribution")</f>
        <v>Michael P wrote a review Oct 20191 contribution</v>
      </c>
      <c r="H38" s="4" t="str">
        <f ca="1">IFERROR(__xludf.DUMMYFUNCTION("""COMPUTED_VALUE"""),"Waterloo centralHotel and room were clean and tidy, breakfast was great and staff were very 
friendly and helpful , also in a great central location only a short walk 
from Waterloo station so getting around London no problem.Read moreReview 
collected in"&amp;" partnership with TravelodgeDate of stay: October 
2019HelpfulShare")</f>
        <v>Waterloo centralHotel and room were clean and tidy, breakfast was great and staff were very 
friendly and helpful , also in a great central location only a short walk 
from Waterloo station so getting around London no problem.Read moreReview 
collected in partnership with TravelodgeDate of stay: October 
2019HelpfulShare</v>
      </c>
      <c r="I38" s="21"/>
      <c r="J38" s="21" t="str">
        <f ca="1">IFERROR(__xludf.DUMMYFUNCTION("IMPORTXML(C38, $J$1)"),"#N/A")</f>
        <v>#N/A</v>
      </c>
      <c r="L38" s="21"/>
      <c r="M38" s="21" t="str">
        <f ca="1">IFERROR(__xludf.DUMMYFUNCTION("IMPORTXML(C38, $M$1)"),"resimmo wrote a review Oct 2019Denver, Colorado1 contribution")</f>
        <v>resimmo wrote a review Oct 2019Denver, Colorado1 contribution</v>
      </c>
      <c r="N38" s="4" t="str">
        <f ca="1">IFERROR(__xludf.DUMMYFUNCTION("""COMPUTED_VALUE"""),"Affordable, Central Location, ComfyThe hotel was very well located. The staff were very nice, overall. It was 
small but comfortable, for the Queen room. Bed was caved in the center, but 
still comfy enough. It was in a safe area, located close to train s"&amp;"tation 
and many attractions in a 15-25 minute walk.Read moreReview collected in 
partnership with TravelodgeDate of stay: October 2019HelpfulShare")</f>
        <v>Affordable, Central Location, ComfyThe hotel was very well located. The staff were very nice, overall. It was 
small but comfortable, for the Queen room. Bed was caved in the center, but 
still comfy enough. It was in a safe area, located close to train station 
and many attractions in a 15-25 minute walk.Read moreReview collected in 
partnership with TravelodgeDate of stay: October 2019HelpfulShare</v>
      </c>
      <c r="O38" s="21"/>
      <c r="P38" s="21" t="str">
        <f ca="1">IFERROR(__xludf.DUMMYFUNCTION("IMPORTXML(C38, $P$1)"),"Loading...")</f>
        <v>Loading...</v>
      </c>
      <c r="U38" s="4" t="str">
        <f ca="1">IFERROR(__xludf.DUMMYFUNCTION("IMPORTXML(C39,$U$1)"),"Loading...")</f>
        <v>Loading...</v>
      </c>
    </row>
    <row r="39" spans="1:21" ht="15">
      <c r="A39" s="5" t="s">
        <v>4033</v>
      </c>
      <c r="B39" s="17" t="s">
        <v>126</v>
      </c>
      <c r="C39" s="23" t="str">
        <f t="shared" si="0"/>
        <v>https://www.tripadvisor.co.uk/Hotel_Review-g186338-d1812157-Reviews-or185-Travelodge_London_Waterloo_Hotel-London_England.html#REVIEWS</v>
      </c>
      <c r="D39" s="4" t="str">
        <f ca="1">IFERROR(__xludf.DUMMYFUNCTION("IMPORTXML(C39,$D$1)"),"PINGU16 wrote a review Oct 2019MERSEYSIDE48 contributions8 helpful votes")</f>
        <v>PINGU16 wrote a review Oct 2019MERSEYSIDE48 contributions8 helpful votes</v>
      </c>
      <c r="E39" s="4" t="str">
        <f ca="1">IFERROR(__xludf.DUMMYFUNCTION("""COMPUTED_VALUE"""),"excellent stay.from when we got there until we left everything was good. The staff were 
very efficient. This was the best travelodge we had stayed in. Theres been 
a few. Everything was clean and staff were excellent. It was central for 
what we wanted.R"&amp;"ead moreReview collected in partnership with TravelodgeDate 
of stay: October 2019HelpfulShare")</f>
        <v>excellent stay.from when we got there until we left everything was good. The staff were 
very efficient. This was the best travelodge we had stayed in. Theres been 
a few. Everything was clean and staff were excellent. It was central for 
what we wanted.Read moreReview collected in partnership with TravelodgeDate 
of stay: October 2019HelpfulShare</v>
      </c>
      <c r="G39" s="24" t="str">
        <f ca="1">IFERROR(__xludf.DUMMYFUNCTION("IMPORTXML(C39, $G$1)"),"Nathan wrote a review Oct 20192 contributions")</f>
        <v>Nathan wrote a review Oct 20192 contributions</v>
      </c>
      <c r="H39" s="4" t="str">
        <f ca="1">IFERROR(__xludf.DUMMYFUNCTION("""COMPUTED_VALUE"""),"Great location and fabulous staffI am regular at the hotel for work. It has been recently refurbished. 
Location is great for central London. The best bit is that they have some 
super staff; Tibor and Barbora to name a couple. Some of the ground floor 
r"&amp;"ooms can be noisy.Read moreDate of stay: October 2019HelpfulShare")</f>
        <v>Great location and fabulous staffI am regular at the hotel for work. It has been recently refurbished. 
Location is great for central London. The best bit is that they have some 
super staff; Tibor and Barbora to name a couple. Some of the ground floor 
rooms can be noisy.Read moreDate of stay: October 2019HelpfulShare</v>
      </c>
      <c r="I39" s="21"/>
      <c r="J39" s="21" t="str">
        <f ca="1">IFERROR(__xludf.DUMMYFUNCTION("IMPORTXML(C39, $J$1)"),"#N/A")</f>
        <v>#N/A</v>
      </c>
      <c r="L39" s="21"/>
      <c r="M39" s="21" t="str">
        <f ca="1">IFERROR(__xludf.DUMMYFUNCTION("IMPORTXML(C39, $M$1)"),"bjwojtas wrote a review Oct 20191 contribution")</f>
        <v>bjwojtas wrote a review Oct 20191 contribution</v>
      </c>
      <c r="N39" s="4" t="str">
        <f ca="1">IFERROR(__xludf.DUMMYFUNCTION("""COMPUTED_VALUE"""),"Travelodhe waterloo RdI highly recommend staying in this hotel. It is very clean, profesionally 
designed, rooms are comfortable and the Staff is very helpful and 
professional. It was located in a very good place so I had a few steps to 
the city center."&amp;" i would choose this hotel during my next travel.Read 
moreReview collected in partnership with TravelodgeDate of stay: October 
2019HelpfulShare")</f>
        <v>Travelodhe waterloo RdI highly recommend staying in this hotel. It is very clean, profesionally 
designed, rooms are comfortable and the Staff is very helpful and 
professional. It was located in a very good place so I had a few steps to 
the city center. i would choose this hotel during my next travel.Read 
moreReview collected in partnership with TravelodgeDate of stay: October 
2019HelpfulShare</v>
      </c>
      <c r="O39" s="21"/>
      <c r="P39" s="21" t="str">
        <f ca="1">IFERROR(__xludf.DUMMYFUNCTION("IMPORTXML(C39, $P$1)"),"Annb09 wrote a review Oct 20192 contributions")</f>
        <v>Annb09 wrote a review Oct 20192 contributions</v>
      </c>
      <c r="Q39" s="4" t="str">
        <f ca="1">IFERROR(__xludf.DUMMYFUNCTION("""COMPUTED_VALUE"""),"Lovely stayMy sons first time away for the night he really enjoyed it and said it felt 
like luxury. The beds was clean and soft and a lovely breakfast. He was 
stunned by the breakfast and how much there was and choice wise he couldnt 
eat all his fry br"&amp;"eakfast.Read moreReview collected in partnership with 
this hotelDate of stay: October 2019HelpfulShare")</f>
        <v>Lovely stayMy sons first time away for the night he really enjoyed it and said it felt 
like luxury. The beds was clean and soft and a lovely breakfast. He was 
stunned by the breakfast and how much there was and choice wise he couldnt 
eat all his fry breakfast.Read moreReview collected in partnership with 
this hotelDate of stay: October 2019HelpfulShare</v>
      </c>
      <c r="U39" s="4" t="str">
        <f ca="1">IFERROR(__xludf.DUMMYFUNCTION("IMPORTXML(C40,$U$1)"),"Loading...")</f>
        <v>Loading...</v>
      </c>
    </row>
    <row r="40" spans="1:21" ht="15">
      <c r="A40" s="25" t="s">
        <v>4084</v>
      </c>
      <c r="B40" s="17" t="s">
        <v>126</v>
      </c>
      <c r="C40" s="23" t="str">
        <f t="shared" si="0"/>
        <v>https://www.tripadvisor.co.uk/Hotel_Review-g186338-d1812157-Reviews-or190-Travelodge_London_Waterloo_Hotel-London_England.html#REVIEWS</v>
      </c>
      <c r="D40" s="4" t="str">
        <f ca="1">IFERROR(__xludf.DUMMYFUNCTION("IMPORTXML(C40,$D$1)"),"che_el_guapo wrote a review Oct 2019Portsmouth UK3 contributions")</f>
        <v>che_el_guapo wrote a review Oct 2019Portsmouth UK3 contributions</v>
      </c>
      <c r="E40" s="4" t="str">
        <f ca="1">IFERROR(__xludf.DUMMYFUNCTION("""COMPUTED_VALUE"""),"London night with friendsGreat location. Very friendly staff, very good size room which was very 
clean and great value for money. Good breakfast. Very close to main line 
and tube stations. Would strongly recommend a London stay here.Read 
moreReview col"&amp;"lected in partnership with this hotelDate of stay: October 
2019HelpfulShare")</f>
        <v>London night with friendsGreat location. Very friendly staff, very good size room which was very 
clean and great value for money. Good breakfast. Very close to main line 
and tube stations. Would strongly recommend a London stay here.Read 
moreReview collected in partnership with this hotelDate of stay: October 
2019HelpfulShare</v>
      </c>
      <c r="G40" s="24" t="str">
        <f ca="1">IFERROR(__xludf.DUMMYFUNCTION("IMPORTXML(C40, $G$1)"),"Joy M wrote a review Oct 2019Freshwater, England, United Kingdom100 
contributions21 helpful votes")</f>
        <v>Joy M wrote a review Oct 2019Freshwater, England, United Kingdom100 
contributions21 helpful votes</v>
      </c>
      <c r="H40" s="4" t="str">
        <f ca="1">IFERROR(__xludf.DUMMYFUNCTION("""COMPUTED_VALUE"""),"Great location. Lovely staffStayed here a few times as the location is good, 5 min walk to Waterloo. 
Comfortable Quiet Only irritation is restrictions on free WiFi Skip tje 
hotel breakfast and go to Lower Marsh where there are a variety of fab 
cafes or"&amp;" street foodRead moreReview collected in partnership with this 
hotelDate of stay: October 2019HelpfulShare")</f>
        <v>Great location. Lovely staffStayed here a few times as the location is good, 5 min walk to Waterloo. 
Comfortable Quiet Only irritation is restrictions on free WiFi Skip tje 
hotel breakfast and go to Lower Marsh where there are a variety of fab 
cafes or street foodRead moreReview collected in partnership with this 
hotelDate of stay: October 2019HelpfulShare</v>
      </c>
      <c r="I40" s="21"/>
      <c r="J40" s="21" t="str">
        <f ca="1">IFERROR(__xludf.DUMMYFUNCTION("IMPORTXML(C40, $J$1)"),"JRauts wrote a review Oct 20191 contribution")</f>
        <v>JRauts wrote a review Oct 20191 contribution</v>
      </c>
      <c r="K40" s="4" t="str">
        <f ca="1">IFERROR(__xludf.DUMMYFUNCTION("""COMPUTED_VALUE"""),"Great stayGreat stay. Great staff. Clean and spacious room. Would definitely stay 
again. Thanks so much for an excellent stay. Room was clean. Breakfast was 
delicious too with freshly prepared ingredients. Would definitely cisit 
againRead moreReview co"&amp;"llected in partnership with this hotelDate of stay: 
October 2019HelpfulShare")</f>
        <v>Great stayGreat stay. Great staff. Clean and spacious room. Would definitely stay 
again. Thanks so much for an excellent stay. Room was clean. Breakfast was 
delicious too with freshly prepared ingredients. Would definitely cisit 
againRead moreReview collected in partnership with this hotelDate of stay: 
October 2019HelpfulShare</v>
      </c>
      <c r="L40" s="21"/>
      <c r="M40" s="21" t="str">
        <f ca="1">IFERROR(__xludf.DUMMYFUNCTION("IMPORTXML(C40, $M$1)"),"sandra w wrote a review Oct 2019Port Talbot, United Kingdom38 
contributions26 helpful votes")</f>
        <v>sandra w wrote a review Oct 2019Port Talbot, United Kingdom38 
contributions26 helpful votes</v>
      </c>
      <c r="N40" s="4" t="str">
        <f ca="1">IFERROR(__xludf.DUMMYFUNCTION("""COMPUTED_VALUE"""),"Excellent stayOne of the best travelodges that we've stayed in. The staff were really 
friendly and it's a very central location. Less than 10 min walk to the 
underground. Quiet rooms and the lifts were very quick. Breakfast was 
excellent and we could a"&amp;"lso watch the World Cup rugby on the TV whilst we 
ate which was a bonus! We could leave our luggage after we'd checked out 
and overall we had a very positive experience. We parked our car in the car 
park that they recommended and it was about 15 mins a"&amp;"way. It was fine but 
it did cost £42 for 32 hours.Read moreDate of stay: October 2019HelpfulShare")</f>
        <v>Excellent stayOne of the best travelodges that we've stayed in. The staff were really 
friendly and it's a very central location. Less than 10 min walk to the 
underground. Quiet rooms and the lifts were very quick. Breakfast was 
excellent and we could also watch the World Cup rugby on the TV whilst we 
ate which was a bonus! We could leave our luggage after we'd checked out 
and overall we had a very positive experience. We parked our car in the car 
park that they recommended and it was about 15 mins away. It was fine but 
it did cost £42 for 32 hours.Read moreDate of stay: October 2019HelpfulShare</v>
      </c>
      <c r="O40" s="21"/>
      <c r="P40" s="21" t="str">
        <f ca="1">IFERROR(__xludf.DUMMYFUNCTION("IMPORTXML(C40, $P$1)"),"Richard wrote a review Oct 2019Mandaue, Philippines1 contribution")</f>
        <v>Richard wrote a review Oct 2019Mandaue, Philippines1 contribution</v>
      </c>
      <c r="Q40" s="4" t="str">
        <f ca="1">IFERROR(__xludf.DUMMYFUNCTION("""COMPUTED_VALUE"""),"Thumbs Up!The hotel location is ideal and is just a 7 minute walk to St. George's 
Cathedral. While the front desk people are not warm, they are helpful. They 
immediately handed me a towel when I asked for one. People in the bar and 
diner are warm, frie"&amp;"ndly, and very helpful, especially Edna, Kuh, and 
Liliana.Read moreDate of stay: October 2019HelpfulShare")</f>
        <v>Thumbs Up!The hotel location is ideal and is just a 7 minute walk to St. George's 
Cathedral. While the front desk people are not warm, they are helpful. They 
immediately handed me a towel when I asked for one. People in the bar and 
diner are warm, friendly, and very helpful, especially Edna, Kuh, and 
Liliana.Read moreDate of stay: October 2019HelpfulShare</v>
      </c>
      <c r="U40" s="4" t="str">
        <f ca="1">IFERROR(__xludf.DUMMYFUNCTION("IMPORTXML(C41,$U$1)"),"Loading...")</f>
        <v>Loading...</v>
      </c>
    </row>
    <row r="41" spans="1:21" ht="15">
      <c r="A41" s="25" t="s">
        <v>4141</v>
      </c>
      <c r="B41" s="17" t="s">
        <v>126</v>
      </c>
      <c r="C41" s="23" t="str">
        <f t="shared" si="0"/>
        <v>https://www.tripadvisor.co.uk/Hotel_Review-g186338-d1812157-Reviews-or195-Travelodge_London_Waterloo_Hotel-London_England.html#REVIEWS</v>
      </c>
      <c r="D41" s="4" t="str">
        <f ca="1">IFERROR(__xludf.DUMMYFUNCTION("IMPORTXML(C41,$D$1)"),"chrisM5346KB wrote a review Oct 20191 contribution")</f>
        <v>chrisM5346KB wrote a review Oct 20191 contribution</v>
      </c>
      <c r="E41" s="4" t="str">
        <f ca="1">IFERROR(__xludf.DUMMYFUNCTION("""COMPUTED_VALUE"""),"Good hotel and facilitesThis was my first time in london by myself on business and I easily found 
the hotel, the staff were friendly, the room was good and clean, the 
breakfast was very good and the restaurent staff were friendly and helpful, 
great exp"&amp;"erience overall.Read moreReview collected in partnership with this 
hotelDate of stay: October 2019HelpfulShare")</f>
        <v>Good hotel and facilitesThis was my first time in london by myself on business and I easily found 
the hotel, the staff were friendly, the room was good and clean, the 
breakfast was very good and the restaurent staff were friendly and helpful, 
great experience overall.Read moreReview collected in partnership with this 
hotelDate of stay: October 2019HelpfulShare</v>
      </c>
      <c r="G41" s="24" t="str">
        <f ca="1">IFERROR(__xludf.DUMMYFUNCTION("IMPORTXML(C41, $G$1)"),"Nige13 wrote a review Oct 20191 contribution")</f>
        <v>Nige13 wrote a review Oct 20191 contribution</v>
      </c>
      <c r="H41" s="4" t="str">
        <f ca="1">IFERROR(__xludf.DUMMYFUNCTION("""COMPUTED_VALUE"""),"Smashing place to stayLovely hotel, clean, very friendly and helpful staff, bar and restaurant 
are a nice place to relax as you are not rushed. Close to Waterloo rail and 
tube station and the south bank and attractions in the area. Would 
recommend and "&amp;"when we are down in London this is where we’ll be 
staying.Read moreDate of stay: October 2019HelpfulShare")</f>
        <v>Smashing place to stayLovely hotel, clean, very friendly and helpful staff, bar and restaurant 
are a nice place to relax as you are not rushed. Close to Waterloo rail and 
tube station and the south bank and attractions in the area. Would 
recommend and when we are down in London this is where we’ll be 
staying.Read moreDate of stay: October 2019HelpfulShare</v>
      </c>
      <c r="I41" s="21"/>
      <c r="J41" s="21" t="str">
        <f ca="1">IFERROR(__xludf.DUMMYFUNCTION("IMPORTXML(C41, $J$1)"),"#N/A")</f>
        <v>#N/A</v>
      </c>
      <c r="L41" s="21"/>
      <c r="M41" s="21" t="str">
        <f ca="1">IFERROR(__xludf.DUMMYFUNCTION("IMPORTXML(C41, $M$1)"),"david o wrote a review Oct 2019Newcastle upon Tyne, United Kingdom3 
contributions1 helpful vote")</f>
        <v>david o wrote a review Oct 2019Newcastle upon Tyne, United Kingdom3 
contributions1 helpful vote</v>
      </c>
      <c r="N41" s="4" t="str">
        <f ca="1">IFERROR(__xludf.DUMMYFUNCTION("""COMPUTED_VALUE"""),"Nice HotelStayed here for two nights, ideally located for Waterloo train station I 
found the hotel very comfortable, especially the bed, the staff were 
friendly and helpful when needed, would definitely stay here again.Read 
moreReview collected in part"&amp;"nership with TravelodgeDate of stay: October 
2019HelpfulShare")</f>
        <v>Nice HotelStayed here for two nights, ideally located for Waterloo train station I 
found the hotel very comfortable, especially the bed, the staff were 
friendly and helpful when needed, would definitely stay here again.Read 
moreReview collected in partnership with TravelodgeDate of stay: October 
2019HelpfulShare</v>
      </c>
      <c r="O41" s="21"/>
      <c r="P41" s="21" t="str">
        <f ca="1">IFERROR(__xludf.DUMMYFUNCTION("IMPORTXML(C41, $P$1)"),"#N/A")</f>
        <v>#N/A</v>
      </c>
      <c r="U41" s="4" t="str">
        <f ca="1">IFERROR(__xludf.DUMMYFUNCTION("IMPORTXML(C42,$U$1)"),"Loading...")</f>
        <v>Loading...</v>
      </c>
    </row>
    <row r="42" spans="1:21" ht="15">
      <c r="A42" s="25" t="s">
        <v>4189</v>
      </c>
      <c r="B42" s="17" t="s">
        <v>126</v>
      </c>
      <c r="C42" s="23" t="str">
        <f t="shared" si="0"/>
        <v>https://www.tripadvisor.co.uk/Hotel_Review-g186338-d1812157-Reviews-or200-Travelodge_London_Waterloo_Hotel-London_England.html#REVIEWS</v>
      </c>
      <c r="D42" s="4" t="str">
        <f ca="1">IFERROR(__xludf.DUMMYFUNCTION("IMPORTXML(C42,$D$1)"),"#N/A")</f>
        <v>#N/A</v>
      </c>
      <c r="G42" s="24" t="str">
        <f ca="1">IFERROR(__xludf.DUMMYFUNCTION("IMPORTXML(C42, $G$1)"),"Marie B wrote a review Oct 20195 contributions")</f>
        <v>Marie B wrote a review Oct 20195 contributions</v>
      </c>
      <c r="H42" s="4" t="str">
        <f ca="1">IFERROR(__xludf.DUMMYFUNCTION("""COMPUTED_VALUE"""),"lovely staffthe staff wihtin this travelodge were proffesional , friendly and exceeded 
expectations, much more pleasent than some other 5* hotels that i have 
stayed in. i would definatley recomeend staying here, and the breakfast was 
goodRead moreRevie"&amp;"w collected in partnership with TravelodgeDate of stay: 
October 2019HelpfulShare")</f>
        <v>lovely staffthe staff wihtin this travelodge were proffesional , friendly and exceeded 
expectations, much more pleasent than some other 5* hotels that i have 
stayed in. i would definatley recomeend staying here, and the breakfast was 
goodRead moreReview collected in partnership with TravelodgeDate of stay: 
October 2019HelpfulShare</v>
      </c>
      <c r="I42" s="21"/>
      <c r="J42" s="21" t="str">
        <f ca="1">IFERROR(__xludf.DUMMYFUNCTION("IMPORTXML(C42, $J$1)"),"#N/A")</f>
        <v>#N/A</v>
      </c>
      <c r="L42" s="21"/>
      <c r="M42" s="21" t="str">
        <f ca="1">IFERROR(__xludf.DUMMYFUNCTION("IMPORTXML(C42, $M$1)"),"Rachel W wrote a review Oct 2019Isle of Wight 9 contributions")</f>
        <v>Rachel W wrote a review Oct 2019Isle of Wight 9 contributions</v>
      </c>
      <c r="N42" s="4" t="str">
        <f ca="1">IFERROR(__xludf.DUMMYFUNCTION("""COMPUTED_VALUE"""),"Overnight stay in very clean hotel close to waterlooHotel was very clean and modern. Receptionist very welcoming and our room 
was available by 2pm, earlier than expected. Corner shop right next door, 
10 minute walk to Waterloo. Great for a short stopove"&amp;"r.Read moreDate of 
stay: October 2019HelpfulShare")</f>
        <v>Overnight stay in very clean hotel close to waterlooHotel was very clean and modern. Receptionist very welcoming and our room 
was available by 2pm, earlier than expected. Corner shop right next door, 
10 minute walk to Waterloo. Great for a short stopover.Read moreDate of 
stay: October 2019HelpfulShare</v>
      </c>
      <c r="O42" s="21"/>
      <c r="P42" s="21" t="str">
        <f ca="1">IFERROR(__xludf.DUMMYFUNCTION("IMPORTXML(C42, $P$1)"),"517dennis wrote a review Oct 20191 contribution")</f>
        <v>517dennis wrote a review Oct 20191 contribution</v>
      </c>
      <c r="Q42" s="4" t="str">
        <f ca="1">IFERROR(__xludf.DUMMYFUNCTION("""COMPUTED_VALUE"""),"london travelodge waterlooStayed for the night due to attending a concert at the 02, absolutely 
wonderful stay, the staff were outstanding across the board and could not 
be more helpful, I would highly recommend this hotel to my family and 
friendsRead "&amp;"moreReview collected in partnership with TravelodgeDate of 
stay: October 2019HelpfulShare")</f>
        <v>london travelodge waterlooStayed for the night due to attending a concert at the 02, absolutely 
wonderful stay, the staff were outstanding across the board and could not 
be more helpful, I would highly recommend this hotel to my family and 
friendsRead moreReview collected in partnership with TravelodgeDate of 
stay: October 2019HelpfulShare</v>
      </c>
      <c r="U42" s="4" t="str">
        <f ca="1">IFERROR(__xludf.DUMMYFUNCTION("IMPORTXML(C43,$U$1)"),"Loading...")</f>
        <v>Loading...</v>
      </c>
    </row>
    <row r="43" spans="1:21" ht="15">
      <c r="A43" s="5" t="s">
        <v>4234</v>
      </c>
      <c r="B43" s="17" t="s">
        <v>126</v>
      </c>
      <c r="C43" s="23" t="str">
        <f t="shared" si="0"/>
        <v>https://www.tripadvisor.co.uk/Hotel_Review-g186338-d1812157-Reviews-or205-Travelodge_London_Waterloo_Hotel-London_England.html#REVIEWS</v>
      </c>
      <c r="D43" s="4" t="str">
        <f ca="1">IFERROR(__xludf.DUMMYFUNCTION("IMPORTXML(C43,$D$1)"),"GoodRobins wrote a review Oct 2019Isle of Wight, United Kingdom2 
contributions")</f>
        <v>GoodRobins wrote a review Oct 2019Isle of Wight, United Kingdom2 
contributions</v>
      </c>
      <c r="E43" s="4" t="str">
        <f ca="1">IFERROR(__xludf.DUMMYFUNCTION("""COMPUTED_VALUE"""),"Good location; Poor breakfast.This is an average and bog-standard Travelodge but the breakfast was very 
poor. Only eggs available were scrambled. The single coffee machine was 
slow and had a long queue. The fruit was extremely limited, predominantly 
sl"&amp;"iced apple. Toast machine also slow and with a queue. Very limited choice 
of yoghurts. The room was fine, as was the bed. Room drink supplies were 
very limited, only two coffee sachets and no hot chocolate.Read moreReview 
collected in partnership with "&amp;"TravelodgeDate of stay: October 
2019HelpfulShare")</f>
        <v>Good location; Poor breakfast.This is an average and bog-standard Travelodge but the breakfast was very 
poor. Only eggs available were scrambled. The single coffee machine was 
slow and had a long queue. The fruit was extremely limited, predominantly 
sliced apple. Toast machine also slow and with a queue. Very limited choice 
of yoghurts. The room was fine, as was the bed. Room drink supplies were 
very limited, only two coffee sachets and no hot chocolate.Read moreReview 
collected in partnership with TravelodgeDate of stay: October 
2019HelpfulShare</v>
      </c>
      <c r="G43" s="24" t="str">
        <f ca="1">IFERROR(__xludf.DUMMYFUNCTION("IMPORTXML(C43, $G$1)"),"#N/A")</f>
        <v>#N/A</v>
      </c>
      <c r="I43" s="21"/>
      <c r="J43" s="21" t="str">
        <f ca="1">IFERROR(__xludf.DUMMYFUNCTION("IMPORTXML(C43, $J$1)"),"#N/A")</f>
        <v>#N/A</v>
      </c>
      <c r="L43" s="21"/>
      <c r="M43" s="21" t="str">
        <f ca="1">IFERROR(__xludf.DUMMYFUNCTION("IMPORTXML(C43, $M$1)"),"#N/A")</f>
        <v>#N/A</v>
      </c>
      <c r="O43" s="21"/>
      <c r="P43" s="21" t="str">
        <f ca="1">IFERROR(__xludf.DUMMYFUNCTION("IMPORTXML(C43, $P$1)"),"#N/A")</f>
        <v>#N/A</v>
      </c>
      <c r="U43" s="4" t="str">
        <f ca="1">IFERROR(__xludf.DUMMYFUNCTION("IMPORTXML(C44,$U$1)"),"Loading...")</f>
        <v>Loading...</v>
      </c>
    </row>
    <row r="44" spans="1:21" ht="15">
      <c r="A44" s="25" t="s">
        <v>4278</v>
      </c>
      <c r="B44" s="17" t="s">
        <v>126</v>
      </c>
      <c r="C44" s="23" t="str">
        <f t="shared" si="0"/>
        <v>https://www.tripadvisor.co.uk/Hotel_Review-g186338-d1812157-Reviews-or210-Travelodge_London_Waterloo_Hotel-London_England.html#REVIEWS</v>
      </c>
      <c r="D44" s="4" t="str">
        <f ca="1">IFERROR(__xludf.DUMMYFUNCTION("IMPORTXML(C44,$D$1)"),"#N/A")</f>
        <v>#N/A</v>
      </c>
      <c r="G44" s="24" t="str">
        <f ca="1">IFERROR(__xludf.DUMMYFUNCTION("IMPORTXML(C44, $G$1)"),"Alan Chatting wrote a review Oct 2019Plymouth, United Kingdom3 
contributions2 helpful votes")</f>
        <v>Alan Chatting wrote a review Oct 2019Plymouth, United Kingdom3 
contributions2 helpful votes</v>
      </c>
      <c r="H44" s="4" t="str">
        <f ca="1">IFERROR(__xludf.DUMMYFUNCTION("""COMPUTED_VALUE"""),"Good value hotel for its locationBasic, comfortable room in hotel close to Waterloo station. Upgraded to a 
family room at no extra cost because we were staying 5 nights. Food in the 
cafe a bit hit or miss, with grubby tables and food not always hot. Cof"&amp;"fee 
machines were not always working at breakfast.Read moreReview collected in 
partnership with TravelodgeDate of stay: October 2019HelpfulShare")</f>
        <v>Good value hotel for its locationBasic, comfortable room in hotel close to Waterloo station. Upgraded to a 
family room at no extra cost because we were staying 5 nights. Food in the 
cafe a bit hit or miss, with grubby tables and food not always hot. Coffee 
machines were not always working at breakfast.Read moreReview collected in 
partnership with TravelodgeDate of stay: October 2019HelpfulShare</v>
      </c>
      <c r="I44" s="21"/>
      <c r="J44" s="21" t="str">
        <f ca="1">IFERROR(__xludf.DUMMYFUNCTION("IMPORTXML(C44, $J$1)"),"richard t wrote a review Oct 20195 contributions5 helpful votes")</f>
        <v>richard t wrote a review Oct 20195 contributions5 helpful votes</v>
      </c>
      <c r="K44" s="4" t="str">
        <f ca="1">IFERROR(__xludf.DUMMYFUNCTION("""COMPUTED_VALUE"""),"Lovely friendly hotelI would recommend this hotel for it’s customer service and friendly staff 
nothing is to much for them the breakfast is good and the rooms are clean I 
will definitely go back again to this hotel when I next have a trip to 
LondonRead"&amp;" moreDate of stay: September 2019HelpfulShare")</f>
        <v>Lovely friendly hotelI would recommend this hotel for it’s customer service and friendly staff 
nothing is to much for them the breakfast is good and the rooms are clean I 
will definitely go back again to this hotel when I next have a trip to 
LondonRead moreDate of stay: September 2019HelpfulShare</v>
      </c>
      <c r="L44" s="21"/>
      <c r="M44" s="21" t="str">
        <f ca="1">IFERROR(__xludf.DUMMYFUNCTION("IMPORTXML(C44, $M$1)"),"grannyelma wrote a review Oct 2019scotland1 contribution")</f>
        <v>grannyelma wrote a review Oct 2019scotland1 contribution</v>
      </c>
      <c r="N44" s="4" t="str">
        <f ca="1">IFERROR(__xludf.DUMMYFUNCTION("""COMPUTED_VALUE"""),"Excellent hotel to see LondonHotel for well positioned to travel round the many attractions. Hop on hop 
off bus is excellent and when we were there had a English speaking guide 
who was excellent. There is earphones and other languages to choose 
from.Re"&amp;"ad moreReview collected in partnership with TravelodgeDate of stay: 
October 2019HelpfulShare")</f>
        <v>Excellent hotel to see LondonHotel for well positioned to travel round the many attractions. Hop on hop 
off bus is excellent and when we were there had a English speaking guide 
who was excellent. There is earphones and other languages to choose 
from.Read moreReview collected in partnership with TravelodgeDate of stay: 
October 2019HelpfulShare</v>
      </c>
      <c r="O44" s="21"/>
      <c r="P44" s="21" t="str">
        <f ca="1">IFERROR(__xludf.DUMMYFUNCTION("IMPORTXML(C44, $P$1)"),"#N/A")</f>
        <v>#N/A</v>
      </c>
      <c r="U44" s="4" t="str">
        <f ca="1">IFERROR(__xludf.DUMMYFUNCTION("IMPORTXML(C45,$U$1)"),"Loading...")</f>
        <v>Loading...</v>
      </c>
    </row>
    <row r="45" spans="1:21" ht="15">
      <c r="A45" s="25" t="s">
        <v>4328</v>
      </c>
      <c r="B45" s="17" t="s">
        <v>126</v>
      </c>
      <c r="C45" s="23" t="str">
        <f t="shared" si="0"/>
        <v>https://www.tripadvisor.co.uk/Hotel_Review-g186338-d1812157-Reviews-or215-Travelodge_London_Waterloo_Hotel-London_England.html#REVIEWS</v>
      </c>
      <c r="D45" s="4" t="str">
        <f ca="1">IFERROR(__xludf.DUMMYFUNCTION("IMPORTXML(C45,$D$1)"),"Coastal11249583081 wrote a review Oct 20191 contribution")</f>
        <v>Coastal11249583081 wrote a review Oct 20191 contribution</v>
      </c>
      <c r="E45" s="4" t="str">
        <f ca="1">IFERROR(__xludf.DUMMYFUNCTION("""COMPUTED_VALUE"""),"Horrible experienceThe first room smelt of mold. We had to complain twice to get them to move 
us. Then they had some construction all through the night with the 2nd 
room. we got no sleep and they say they may not be able to refund us for 
the night...Re"&amp;"ad moreReview collected in partnership with TravelodgeDate of 
stay: October 2019HelpfulShareResponse from TravelodgeUK, Shaf from the 
Social Media Team. at Travelodge London Waterloo HotelResponded 7 Oct 
2019Thank you for taking the time to provide you"&amp;"r feedback following your 
recent stay with us. We are sorry to learn of your experience and would 
like to look into this further for you. Therefore, may we kindly request 
that you contact our Customer Services Team through the help section on our 
webs"&amp;"ite so that we can investigate this more thoroughly with the Hotel. 
Thank you again for your comments, and we hope to hear from you soon.Read 
more")</f>
        <v>Horrible experienceThe first room smelt of mold. We had to complain twice to get them to move 
us. Then they had some construction all through the night with the 2nd 
room. we got no sleep and they say they may not be able to refund us for 
the night...Read moreReview collected in partnership with TravelodgeDate of 
stay: October 2019HelpfulShareResponse from TravelodgeUK, Shaf from the 
Social Media Team. at Travelodge London Waterloo HotelResponded 7 Oct 
2019Thank you for taking the time to provide your feedback following your 
recent stay with us. We are sorry to learn of your experience and would 
like to look into this further for you. Therefore, may we kindly request 
that you contact our Customer Services Team through the help section on our 
website so that we can investigate this more thoroughly with the Hotel. 
Thank you again for your comments, and we hope to hear from you soon.Read 
more</v>
      </c>
      <c r="G45" s="24" t="str">
        <f ca="1">IFERROR(__xludf.DUMMYFUNCTION("IMPORTXML(C45, $G$1)"),"LizGScotland wrote a review Oct 2019Scotland7 contributions1 helpful vote")</f>
        <v>LizGScotland wrote a review Oct 2019Scotland7 contributions1 helpful vote</v>
      </c>
      <c r="H45" s="4" t="str">
        <f ca="1">IFERROR(__xludf.DUMMYFUNCTION("""COMPUTED_VALUE"""),"Weekend tripThis was an ideal choice for a weekend in London. 5 minutes walk to 
Waterloo stations and underground. Room was spotless and exceptionally 
quiet overnight. Surprisingly. Reception and bar staff very helpful and 
friendly.. stayed here with m"&amp;"y daughter for a sightseeing trip and would 
definitely stay here again.Read moreReview collected in partnership with 
TravelodgeDate of stay: September 2019HelpfulShare")</f>
        <v>Weekend tripThis was an ideal choice for a weekend in London. 5 minutes walk to 
Waterloo stations and underground. Room was spotless and exceptionally 
quiet overnight. Surprisingly. Reception and bar staff very helpful and 
friendly.. stayed here with my daughter for a sightseeing trip and would 
definitely stay here again.Read moreReview collected in partnership with 
TravelodgeDate of stay: September 2019HelpfulShare</v>
      </c>
      <c r="I45" s="21"/>
      <c r="J45" s="21" t="str">
        <f ca="1">IFERROR(__xludf.DUMMYFUNCTION("IMPORTXML(C45, $J$1)"),"KayCee wrote a review Oct 20191 contribution")</f>
        <v>KayCee wrote a review Oct 20191 contribution</v>
      </c>
      <c r="K45" s="4" t="str">
        <f ca="1">IFERROR(__xludf.DUMMYFUNCTION("""COMPUTED_VALUE"""),"Business travelI have stayed in the hotel many nights for the past three months. Staff are 
always welcoming and are very friendly. Rooms are very comfortable. I would 
however recommend the Card system to open doors be revised. The cards 
easily get inte"&amp;"rference from your mobile phone or bank cards and stop 
working.Read moreDate of stay: October 2019HelpfulShare")</f>
        <v>Business travelI have stayed in the hotel many nights for the past three months. Staff are 
always welcoming and are very friendly. Rooms are very comfortable. I would 
however recommend the Card system to open doors be revised. The cards 
easily get interference from your mobile phone or bank cards and stop 
working.Read moreDate of stay: October 2019HelpfulShare</v>
      </c>
      <c r="L45" s="21"/>
      <c r="M45" s="21" t="str">
        <f ca="1">IFERROR(__xludf.DUMMYFUNCTION("IMPORTXML(C45, $M$1)"),"mamales2009 wrote a review Oct 2019Suffolk, United Kingdom1 contribution")</f>
        <v>mamales2009 wrote a review Oct 2019Suffolk, United Kingdom1 contribution</v>
      </c>
      <c r="N45" s="4" t="str">
        <f ca="1">IFERROR(__xludf.DUMMYFUNCTION("""COMPUTED_VALUE"""),"Lovely StayA very elegant hotel and worth the money to stay. The best place to relax 
and comfortable. A short walk from Westminster bridge. Staff has an 
excellent service, very accommodating and very helpful with queries.Read 
moreReview collected in pa"&amp;"rtnership with TravelodgeDate of stay: September 
2019HelpfulShare")</f>
        <v>Lovely StayA very elegant hotel and worth the money to stay. The best place to relax 
and comfortable. A short walk from Westminster bridge. Staff has an 
excellent service, very accommodating and very helpful with queries.Read 
moreReview collected in partnership with TravelodgeDate of stay: September 
2019HelpfulShare</v>
      </c>
      <c r="O45" s="21"/>
      <c r="P45" s="21" t="str">
        <f ca="1">IFERROR(__xludf.DUMMYFUNCTION("IMPORTXML(C45, $P$1)"),"487roy wrote a review Oct 2019London, United Kingdom1 contribution")</f>
        <v>487roy wrote a review Oct 2019London, United Kingdom1 contribution</v>
      </c>
      <c r="Q45" s="4" t="str">
        <f ca="1">IFERROR(__xludf.DUMMYFUNCTION("""COMPUTED_VALUE"""),"Good StayClean property. Well located close to transport options and amenities. The 
staff were friendly and when an issue relating to the mattress was raised 
staff were most apologetic and rectified the problem without any 
issues.Read moreReview collec"&amp;"ted in partnership with TravelodgeDate of 
stay: September 2019HelpfulShare")</f>
        <v>Good StayClean property. Well located close to transport options and amenities. The 
staff were friendly and when an issue relating to the mattress was raised 
staff were most apologetic and rectified the problem without any 
issues.Read moreReview collected in partnership with TravelodgeDate of 
stay: September 2019HelpfulShare</v>
      </c>
      <c r="U45" s="4" t="str">
        <f ca="1">IFERROR(__xludf.DUMMYFUNCTION("IMPORTXML(C46,$U$1)"),"Loading...")</f>
        <v>Loading...</v>
      </c>
    </row>
    <row r="46" spans="1:21" ht="15">
      <c r="A46" s="25" t="s">
        <v>4385</v>
      </c>
      <c r="B46" s="17" t="s">
        <v>126</v>
      </c>
      <c r="C46" s="23" t="str">
        <f t="shared" si="0"/>
        <v>https://www.tripadvisor.co.uk/Hotel_Review-g186338-d1812157-Reviews-or220-Travelodge_London_Waterloo_Hotel-London_England.html#REVIEWS</v>
      </c>
      <c r="D46" s="4" t="str">
        <f ca="1">IFERROR(__xludf.DUMMYFUNCTION("IMPORTXML(C46,$D$1)"),"PetziDus wrote a review Sep 2019Düsseldorf, Germany3 contributions6 helpful 
votes")</f>
        <v>PetziDus wrote a review Sep 2019Düsseldorf, Germany3 contributions6 helpful 
votes</v>
      </c>
      <c r="E46" s="4" t="str">
        <f ca="1">IFERROR(__xludf.DUMMYFUNCTION("""COMPUTED_VALUE"""),"Standard Chain Hotel With Significant AdvantagesThis was my first stay in a Travelodge hotel. Of course, this is a 
no-thrills chain of hotels. So what to expect? But I was positively 
surprised. Yes, furniture is very basic and lighting is sort of cold -"&amp;" and 
even clinical - though that can be helped with turning on only indirect 
lighting. BUT, compared to a luxury hotel I used during my last stay in 
London, this hotel had some significant advantages. Room and bed were just 
as clean, instant coffee, s"&amp;"ugar, milk, and tea with water heater were also 
provided, but the room as such was much bigger, some extra pillows were in 
the room, and - biggest advantage - the window could be tilted, so I could 
completely avoid AC (which would have blown air right "&amp;"onto the bed). 
Location was quite central (close to Waterloo and Southwark…Read moreReview 
collected in partnership with TravelodgeDate of stay: September 
2019HelpfulShare")</f>
        <v>Standard Chain Hotel With Significant AdvantagesThis was my first stay in a Travelodge hotel. Of course, this is a 
no-thrills chain of hotels. So what to expect? But I was positively 
surprised. Yes, furniture is very basic and lighting is sort of cold - and 
even clinical - though that can be helped with turning on only indirect 
lighting. BUT, compared to a luxury hotel I used during my last stay in 
London, this hotel had some significant advantages. Room and bed were just 
as clean, instant coffee, sugar, milk, and tea with water heater were also 
provided, but the room as such was much bigger, some extra pillows were in 
the room, and - biggest advantage - the window could be tilted, so I could 
completely avoid AC (which would have blown air right onto the bed). 
Location was quite central (close to Waterloo and Southwark…Read moreReview 
collected in partnership with TravelodgeDate of stay: September 
2019HelpfulShare</v>
      </c>
      <c r="G46" s="24" t="str">
        <f ca="1">IFERROR(__xludf.DUMMYFUNCTION("IMPORTXML(C46, $G$1)"),"akshattyagi wrote a review Sep 2019Meerut, India235 contributions91 helpful 
votes")</f>
        <v>akshattyagi wrote a review Sep 2019Meerut, India235 contributions91 helpful 
votes</v>
      </c>
      <c r="H46" s="4" t="str">
        <f ca="1">IFERROR(__xludf.DUMMYFUNCTION("""COMPUTED_VALUE"""),"Good Stay placeWe stayed here for about 6 days ,check in was smooth at 3 pm only if you 
arrive early they keep your baggage . We took a small family room which had 
an extra bed with little more space than other rooms. Split AC and Tea 
coffe maker in ro"&amp;"om which is refilled daily ( more on reception if you want 
). Bathroom was ok size but the shower area is very small and if water 
drips out of the shower area there is no way it can drain. The house 
keeping staff was very efficient. Breakfast is hmm li"&amp;"ke ok with scrambled 
egg and toasts and few odd things ,it was ok for me , coffee machine serves 
you all kinds and there is juice machine also. If you let them know and pay 
10 Pound in advance you can have a late check out at 2 p.mRead moreDate of 
sta"&amp;"y: September 2019HelpfulShare")</f>
        <v>Good Stay placeWe stayed here for about 6 days ,check in was smooth at 3 pm only if you 
arrive early they keep your baggage . We took a small family room which had 
an extra bed with little more space than other rooms. Split AC and Tea 
coffe maker in room which is refilled daily ( more on reception if you want 
). Bathroom was ok size but the shower area is very small and if water 
drips out of the shower area there is no way it can drain. The house 
keeping staff was very efficient. Breakfast is hmm like ok with scrambled 
egg and toasts and few odd things ,it was ok for me , coffee machine serves 
you all kinds and there is juice machine also. If you let them know and pay 
10 Pound in advance you can have a late check out at 2 p.mRead moreDate of 
stay: September 2019HelpfulShare</v>
      </c>
      <c r="I46" s="21"/>
      <c r="J46" s="21" t="str">
        <f ca="1">IFERROR(__xludf.DUMMYFUNCTION("IMPORTXML(C46, $J$1)"),"#N/A")</f>
        <v>#N/A</v>
      </c>
      <c r="L46" s="21"/>
      <c r="M46" s="21" t="str">
        <f ca="1">IFERROR(__xludf.DUMMYFUNCTION("IMPORTXML(C46, $M$1)"),"Camper265047 wrote a review Sep 20191 contribution")</f>
        <v>Camper265047 wrote a review Sep 20191 contribution</v>
      </c>
      <c r="N46" s="4" t="str">
        <f ca="1">IFERROR(__xludf.DUMMYFUNCTION("""COMPUTED_VALUE"""),"Short break in LondonThis Travelodge is in a great location with tidy rooms and great value for 
money breakfasts. Would recommend for a short break stay in London. Easy 
access to the underground but you can also walk to many of the tourists 
attractions"&amp;" !Read moreReview collected in partnership with TravelodgeDate 
of stay: September 2019HelpfulShare")</f>
        <v>Short break in LondonThis Travelodge is in a great location with tidy rooms and great value for 
money breakfasts. Would recommend for a short break stay in London. Easy 
access to the underground but you can also walk to many of the tourists 
attractions !Read moreReview collected in partnership with TravelodgeDate 
of stay: September 2019HelpfulShare</v>
      </c>
      <c r="O46" s="21"/>
      <c r="P46" s="21" t="str">
        <f ca="1">IFERROR(__xludf.DUMMYFUNCTION("IMPORTXML(C46, $P$1)"),"#N/A")</f>
        <v>#N/A</v>
      </c>
      <c r="U46" s="4" t="str">
        <f ca="1">IFERROR(__xludf.DUMMYFUNCTION("IMPORTXML(C47,$U$1)"),"Loading...")</f>
        <v>Loading...</v>
      </c>
    </row>
    <row r="47" spans="1:21" ht="15">
      <c r="A47" s="5" t="s">
        <v>4428</v>
      </c>
      <c r="B47" s="17" t="s">
        <v>126</v>
      </c>
      <c r="C47" s="23" t="str">
        <f t="shared" si="0"/>
        <v>https://www.tripadvisor.co.uk/Hotel_Review-g186338-d1812157-Reviews-or225-Travelodge_London_Waterloo_Hotel-London_England.html#REVIEWS</v>
      </c>
      <c r="D47" s="4" t="str">
        <f ca="1">IFERROR(__xludf.DUMMYFUNCTION("IMPORTXML(C47,$D$1)"),"tamaralouise93 wrote a review Sep 20199 contributions1 helpful vote")</f>
        <v>tamaralouise93 wrote a review Sep 20199 contributions1 helpful vote</v>
      </c>
      <c r="E47" s="4" t="str">
        <f ca="1">IFERROR(__xludf.DUMMYFUNCTION("""COMPUTED_VALUE"""),"Comfortable stayComfortable stay although bed was slightly hard, carpets were stained but 
clean. Bathroom was clean however be careful of shower as water came 
through the shower curtain and soaked the floor, but a decent quality 
shower, maybe need to u"&amp;"pdate the curtain, Breakfast was good and plenty of 
choice, nice bar area for drinks and Lyndsey was great!Read moreDate of 
stay: September 2019HelpfulShare")</f>
        <v>Comfortable stayComfortable stay although bed was slightly hard, carpets were stained but 
clean. Bathroom was clean however be careful of shower as water came 
through the shower curtain and soaked the floor, but a decent quality 
shower, maybe need to update the curtain, Breakfast was good and plenty of 
choice, nice bar area for drinks and Lyndsey was great!Read moreDate of 
stay: September 2019HelpfulShare</v>
      </c>
      <c r="G47" s="24" t="str">
        <f ca="1">IFERROR(__xludf.DUMMYFUNCTION("IMPORTXML(C47, $G$1)"),"Julie R wrote a review Sep 2019Mansfield, United Kingdom4 contributions1 
helpful vote")</f>
        <v>Julie R wrote a review Sep 2019Mansfield, United Kingdom4 contributions1 
helpful vote</v>
      </c>
      <c r="H47" s="4" t="str">
        <f ca="1">IFERROR(__xludf.DUMMYFUNCTION("""COMPUTED_VALUE"""),"Excellent serviceHad a brilliant stay here. Room was always cleaned &amp; if we needed anything 
extra there wasn't a long wait for it. Staff were exceptionally helpful 
especially a lady named Kuh. Being disabled she helped at breakfast helping 
me carry thi"&amp;"ngs &amp; checking if there was anything else I needed. She greeted 
everyone in a professional &amp; friendly manner &amp; I can't praise her enough. 
The management were helpful sorting out my change of room when I ended up 
having to visit the hospital too. Can't "&amp;"praise the staff here enough.Read 
moreDate of stay: August 2019HelpfulShare")</f>
        <v>Excellent serviceHad a brilliant stay here. Room was always cleaned &amp; if we needed anything 
extra there wasn't a long wait for it. Staff were exceptionally helpful 
especially a lady named Kuh. Being disabled she helped at breakfast helping 
me carry things &amp; checking if there was anything else I needed. She greeted 
everyone in a professional &amp; friendly manner &amp; I can't praise her enough. 
The management were helpful sorting out my change of room when I ended up 
having to visit the hospital too. Can't praise the staff here enough.Read 
moreDate of stay: August 2019HelpfulShare</v>
      </c>
      <c r="I47" s="21"/>
      <c r="J47" s="21" t="str">
        <f ca="1">IFERROR(__xludf.DUMMYFUNCTION("IMPORTXML(C47, $J$1)"),"#N/A")</f>
        <v>#N/A</v>
      </c>
      <c r="L47" s="21"/>
      <c r="M47" s="21" t="str">
        <f ca="1">IFERROR(__xludf.DUMMYFUNCTION("IMPORTXML(C47, $M$1)"),"Jojo wrote a review Sep 20195 contributions1 helpful vote")</f>
        <v>Jojo wrote a review Sep 20195 contributions1 helpful vote</v>
      </c>
      <c r="N47" s="4" t="str">
        <f ca="1">IFERROR(__xludf.DUMMYFUNCTION("""COMPUTED_VALUE"""),"Nice comfy room in central locationStayed here for the weekend with a friend. Staff very friendly and 
accommodating. I booked a double room by mistake and they were happy to 
move us to a twin. On 7th floor, quiet, could see London Eye. Good base for 
si"&amp;"ghtseeing.Read moreReview collected in partnership with TravelodgeDate of 
stay: September 2019HelpfulShare")</f>
        <v>Nice comfy room in central locationStayed here for the weekend with a friend. Staff very friendly and 
accommodating. I booked a double room by mistake and they were happy to 
move us to a twin. On 7th floor, quiet, could see London Eye. Good base for 
sightseeing.Read moreReview collected in partnership with TravelodgeDate of 
stay: September 2019HelpfulShare</v>
      </c>
      <c r="O47" s="21"/>
      <c r="P47" s="21" t="str">
        <f ca="1">IFERROR(__xludf.DUMMYFUNCTION("IMPORTXML(C47, $P$1)"),"Mariestray wrote a review Sep 2019Poole, United Kingdom9 contributions7 
helpful votes")</f>
        <v>Mariestray wrote a review Sep 2019Poole, United Kingdom9 contributions7 
helpful votes</v>
      </c>
      <c r="Q47" s="4" t="str">
        <f ca="1">IFERROR(__xludf.DUMMYFUNCTION("""COMPUTED_VALUE"""),"Great stayWe booked this hotel for 1 night as the rate of other hotels in the same 
area were much more expensive. I must admit I did not expect it to be so 
good. The hotel was clean and tidy, the rooms were clean and modern. The 
bed was comfortable. Th"&amp;"ere was tea/coffee facilities in the rooms and you 
could grab extra coffee/tea bags from the reception at no extra cost. The 
staff was super friendly and let us check in in one of the bedrooms early 
that 3PM to drop our bags in it. They also have a loc"&amp;"ked room to leave your 
luggage. The shower was on the small side but great pressure (our friends 
said the pressure wasn't as good in theirs). This was a great base for us 
to make the most of a weekend in London. I would recommend it!Read 
moreReview co"&amp;"llected in partnership with TravelodgeDate of stay: September 
2019HelpfulShare")</f>
        <v>Great stayWe booked this hotel for 1 night as the rate of other hotels in the same 
area were much more expensive. I must admit I did not expect it to be so 
good. The hotel was clean and tidy, the rooms were clean and modern. The 
bed was comfortable. There was tea/coffee facilities in the rooms and you 
could grab extra coffee/tea bags from the reception at no extra cost. The 
staff was super friendly and let us check in in one of the bedrooms early 
that 3PM to drop our bags in it. They also have a locked room to leave your 
luggage. The shower was on the small side but great pressure (our friends 
said the pressure wasn't as good in theirs). This was a great base for us 
to make the most of a weekend in London. I would recommend it!Read 
moreReview collected in partnership with TravelodgeDate of stay: September 
2019HelpfulShare</v>
      </c>
      <c r="U47" s="4" t="str">
        <f ca="1">IFERROR(__xludf.DUMMYFUNCTION("IMPORTXML(C48,$U$1)"),"Loading...")</f>
        <v>Loading...</v>
      </c>
    </row>
    <row r="48" spans="1:21" ht="15">
      <c r="A48" s="25" t="s">
        <v>4484</v>
      </c>
      <c r="B48" s="17" t="s">
        <v>126</v>
      </c>
      <c r="C48" s="23" t="str">
        <f t="shared" si="0"/>
        <v>https://www.tripadvisor.co.uk/Hotel_Review-g186338-d1812157-Reviews-or230-Travelodge_London_Waterloo_Hotel-London_England.html#REVIEWS</v>
      </c>
      <c r="D48" s="4" t="str">
        <f ca="1">IFERROR(__xludf.DUMMYFUNCTION("IMPORTXML(C48,$D$1)"),"ENAB46139 wrote a review Sep 2019Exeter, United Kingdom10 contributions2 
helpful votes")</f>
        <v>ENAB46139 wrote a review Sep 2019Exeter, United Kingdom10 contributions2 
helpful votes</v>
      </c>
      <c r="E48" s="4" t="str">
        <f ca="1">IFERROR(__xludf.DUMMYFUNCTION("""COMPUTED_VALUE"""),"Excellent budget hotelFirst time I have stayed in a Travelodge hotel as I would normally choose a 
premier inn for a cheap hotel stop over. Really clean and modern and in a 
great position for getting around. Breakfast was excellent with good choice 
and "&amp;"all really fresh well stocked. Good sized family room . Really good 
value for money. Would definitely make me chose Travelodge again.Read 
moreDate of stay: July 2019HelpfulShare")</f>
        <v>Excellent budget hotelFirst time I have stayed in a Travelodge hotel as I would normally choose a 
premier inn for a cheap hotel stop over. Really clean and modern and in a 
great position for getting around. Breakfast was excellent with good choice 
and all really fresh well stocked. Good sized family room . Really good 
value for money. Would definitely make me chose Travelodge again.Read 
moreDate of stay: July 2019HelpfulShare</v>
      </c>
      <c r="G48" s="24" t="str">
        <f ca="1">IFERROR(__xludf.DUMMYFUNCTION("IMPORTXML(C48, $G$1)"),"veena20192019 wrote a review Sep 20192 contributions")</f>
        <v>veena20192019 wrote a review Sep 20192 contributions</v>
      </c>
      <c r="H48" s="4" t="str">
        <f ca="1">IFERROR(__xludf.DUMMYFUNCTION("""COMPUTED_VALUE"""),"good hotel and very close to waterloo railway station and other london 
attractionshad a comfortable stay at the hotel. well maintained and very friendly and 
helpful staff. very close to london eye and other major attractions. very 
close to waterloo und"&amp;"erground and network rail. overall very pleasedRead 
moreReview collected in partnership with TravelodgeDate of stay: September 
2019HelpfulShare")</f>
        <v>good hotel and very close to waterloo railway station and other london 
attractionshad a comfortable stay at the hotel. well maintained and very friendly and 
helpful staff. very close to london eye and other major attractions. very 
close to waterloo underground and network rail. overall very pleasedRead 
moreReview collected in partnership with TravelodgeDate of stay: September 
2019HelpfulShare</v>
      </c>
      <c r="I48" s="21"/>
      <c r="J48" s="21" t="str">
        <f ca="1">IFERROR(__xludf.DUMMYFUNCTION("IMPORTXML(C48, $J$1)"),"Steve_and_Hayley wrote a review Sep 2019Braunschweig, Germany40 
contributions20 helpful votes")</f>
        <v>Steve_and_Hayley wrote a review Sep 2019Braunschweig, Germany40 
contributions20 helpful votes</v>
      </c>
      <c r="K48" s="4" t="str">
        <f ca="1">IFERROR(__xludf.DUMMYFUNCTION("""COMPUTED_VALUE"""),"Not good value for money!Booked a twin room for one night. £104! Room was huge but beds were tiny, 
smaller than my toddlers bed. Bathroom was smelly - smelt of drains, very 
unpleasant. Decor is tired and very dated. There were huge dirty stains on 
carp"&amp;"ets in the corridors. I'll give it a 2/5 rating as the location is 
good, convenient for Waterloo / South Bank and Borough Market. Beyond that 
it's unfortunately not easy to think of positives.Read moreDate of stay: 
September 20191 Helpful voteHelpfulSh"&amp;"areResponse from TravelodgeUK, James 
from the Social Media Team at Travelodge London Waterloo HotelResponded 23 
Sep 2019Thank you for reviewing our Travelodge London Waterloo Hotel. We're 
so sorry to hear about your recent experience and would like to "&amp;"hear more 
about your stay. May we kindly request you contact us with the link or a 
copy of your TripAdvisor review, via our website so our customer service 
team can investigate your visit with the hotel. Thank you again for posting 
your comments and w"&amp;"e hope to hear from you soon.Read more")</f>
        <v>Not good value for money!Booked a twin room for one night. £104! Room was huge but beds were tiny, 
smaller than my toddlers bed. Bathroom was smelly - smelt of drains, very 
unpleasant. Decor is tired and very dated. There were huge dirty stains on 
carpets in the corridors. I'll give it a 2/5 rating as the location is 
good, convenient for Waterloo / South Bank and Borough Market. Beyond that 
it's unfortunately not easy to think of positives.Read moreDate of stay: 
September 20191 Helpful voteHelpfulShareResponse from TravelodgeUK, James 
from the Social Media Team at Travelodge London Waterloo HotelResponded 23 
Sep 2019Thank you for reviewing our Travelodge London Waterloo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v>
      </c>
      <c r="L48" s="21"/>
      <c r="M48" s="21" t="str">
        <f ca="1">IFERROR(__xludf.DUMMYFUNCTION("IMPORTXML(C48, $M$1)"),"Rute wrote a review Sep 201915 contributions10 helpful votes")</f>
        <v>Rute wrote a review Sep 201915 contributions10 helpful votes</v>
      </c>
      <c r="N48" s="4" t="str">
        <f ca="1">IFERROR(__xludf.DUMMYFUNCTION("""COMPUTED_VALUE"""),"Not as good as I thoughtWe're put in a wet room. The beds (individual) are realy small. There's 
only one double sheet they they fold so as it was hot I didn't have 
anything to cover me. Wi-Fi doesn't work very well and you can only logg on 
2 devices.so"&amp;" if I need to work in my laptop I couldn't. There was only a 
face towel and a bath towel.we were 2!! The cards to open the doors were 
always with problems... The Breakfast was amazing and it was nice to talk 
with all the staff but one person made de di"&amp;"fference. She was amazing and 
caring. Always helpful and nice her name is Jennifer. All the others were 
nice too.Read moreDate of stay: September 20191 Helpful 
voteHelpfulShareResponse from TravelodgeUK, James from the Social Media 
Team at Travelodge "&amp;"London Waterloo HotelResponded 22 Sep 2019Thank you for 
reviewing our Travelodge London Waterloo Hotel. We're sorry to hear of the 
issues experienced with WiFi during your stay with us as well as the 
facilities provided in the bathroom but we're happy "&amp;"to hear you were 
pleased with the service from the hotel's team and the quality of the 
breakfast. Please rest assured the hotel managers check Tripadvisor reviews 
of their hotels so your comments will be reviewed by the hotel's team. 
Thank you again f"&amp;"or leaving this review and we do hope that you choose to 
stay with us again in the future.Read more")</f>
        <v>Not as good as I thoughtWe're put in a wet room. The beds (individual) are realy small. There's 
only one double sheet they they fold so as it was hot I didn't have 
anything to cover me. Wi-Fi doesn't work very well and you can only logg on 
2 devices.so if I need to work in my laptop I couldn't. There was only a 
face towel and a bath towel.we were 2!! The cards to open the doors were 
always with problems... The Breakfast was amazing and it was nice to talk 
with all the staff but one person made de difference. She was amazing and 
caring. Always helpful and nice her name is Jennifer. All the others were 
nice too.Read moreDate of stay: September 20191 Helpful 
voteHelpfulShareResponse from TravelodgeUK, James from the Social Media 
Team at Travelodge London Waterloo HotelResponded 22 Sep 2019Thank you for 
reviewing our Travelodge London Waterloo Hotel. We're sorry to hear of the 
issues experienced with WiFi during your stay with us as well as the 
facilities provided in the bathroom but we're happy to hear you were 
pleased with the service from the hotel's team and the quality of the 
breakfast. Please rest assured the hotel managers check Tripadvisor reviews 
of their hotels so your comments will be reviewed by the hotel's team. 
Thank you again for leaving this review and we do hope that you choose to 
stay with us again in the future.Read more</v>
      </c>
      <c r="O48" s="21"/>
      <c r="P48" s="21" t="str">
        <f ca="1">IFERROR(__xludf.DUMMYFUNCTION("IMPORTXML(C48, $P$1)"),"#N/A")</f>
        <v>#N/A</v>
      </c>
      <c r="U48" s="4" t="str">
        <f ca="1">IFERROR(__xludf.DUMMYFUNCTION("IMPORTXML(C49,$U$1)"),"Loading...")</f>
        <v>Loading...</v>
      </c>
    </row>
    <row r="49" spans="1:21" ht="15">
      <c r="A49" s="25" t="s">
        <v>4541</v>
      </c>
      <c r="B49" s="17" t="s">
        <v>126</v>
      </c>
      <c r="C49" s="23" t="str">
        <f t="shared" si="0"/>
        <v>https://www.tripadvisor.co.uk/Hotel_Review-g186338-d1812157-Reviews-or235-Travelodge_London_Waterloo_Hotel-London_England.html#REVIEWS</v>
      </c>
      <c r="D49" s="4" t="str">
        <f ca="1">IFERROR(__xludf.DUMMYFUNCTION("IMPORTXML(C49,$D$1)"),"Brumnic wrote a review Sep 2019Brum22 contributions17 helpful votes")</f>
        <v>Brumnic wrote a review Sep 2019Brum22 contributions17 helpful votes</v>
      </c>
      <c r="E49" s="4" t="str">
        <f ca="1">IFERROR(__xludf.DUMMYFUNCTION("""COMPUTED_VALUE"""),"Great stayGreat location,good size rooms, nice and quiet, very clean. Staff were so 
helpful and patient, ,even when I kept having problems getting my room key 
to work. Breakfast was very good quality, good choice and all looked fresh, 
and appetising.wi"&amp;"ukd definitely use againRead moreDate of stay: September 
2019HelpfulShare")</f>
        <v>Great stayGreat location,good size rooms, nice and quiet, very clean. Staff were so 
helpful and patient, ,even when I kept having problems getting my room key 
to work. Breakfast was very good quality, good choice and all looked fresh, 
and appetising.wiukd definitely use againRead moreDate of stay: September 
2019HelpfulShare</v>
      </c>
      <c r="G49" s="24" t="str">
        <f ca="1">IFERROR(__xludf.DUMMYFUNCTION("IMPORTXML(C49, $G$1)"),"paulhshepherd wrote a review Sep 20191 contribution1 helpful vote")</f>
        <v>paulhshepherd wrote a review Sep 20191 contribution1 helpful vote</v>
      </c>
      <c r="H49" s="4" t="str">
        <f ca="1">IFERROR(__xludf.DUMMYFUNCTION("""COMPUTED_VALUE"""),"Great stay, great price great location great staff.Stayed here for one night and I have nothing but praise especially for all 
the staff, I dont think I have ever stayed at a travellodge, premier inn, 
holiday inn type place where the staff were that frie"&amp;"ndly helpful and 
proffessiional. Reception and bar staff were great....infact all the staff 
were, and the hotel was pretty new, and very clean. Recommended.Read 
moreReview collected in partnership with TravelodgeDate of stay: September 
20192 Helpful v"&amp;"otesHelpfulShare")</f>
        <v>Great stay, great price great location great staff.Stayed here for one night and I have nothing but praise especially for all 
the staff, I dont think I have ever stayed at a travellodge, premier inn, 
holiday inn type place where the staff were that friendly helpful and 
proffessiional. Reception and bar staff were great....infact all the staff 
were, and the hotel was pretty new, and very clean. Recommended.Read 
moreReview collected in partnership with TravelodgeDate of stay: September 
20192 Helpful votesHelpfulShare</v>
      </c>
      <c r="I49" s="21"/>
      <c r="J49" s="21" t="str">
        <f ca="1">IFERROR(__xludf.DUMMYFUNCTION("IMPORTXML(C49, $J$1)"),"Steve T wrote a review Sep 2019Lytham St Anne's, United Kingdom20,042 
contributions612 helpful votes")</f>
        <v>Steve T wrote a review Sep 2019Lytham St Anne's, United Kingdom20,042 
contributions612 helpful votes</v>
      </c>
      <c r="K49" s="4" t="str">
        <f ca="1">IFERROR(__xludf.DUMMYFUNCTION("""COMPUTED_VALUE"""),"+1")</f>
        <v>+1</v>
      </c>
      <c r="L49" s="21" t="str">
        <f ca="1">IFERROR(__xludf.DUMMYFUNCTION("""COMPUTED_VALUE"""),"Better than expectedThe room was delightful - I think we had an upgrade or whatever these rooms 
masquerade as nowadays - but it was a well planned room with plenty of 
space and so comfort. We spent a week here and were not only delighted by 
our room bu"&amp;"t also by the hotel's location - a definite boon. I enjoyed 
excellent night's sleep. Staff were polite and efficient throughout our 
entire stay - thank you. Spotlessly clean throughout !! If you don't fancy 
breakfast at the hotel you could do the circa"&amp;" 15 mins stroll to the nearest 
Wetherspoons - fab breakfast !!Read moreDate of stay: September 20192 
Helpful votesHelpfulShare")</f>
        <v>Better than expectedThe room was delightful - I think we had an upgrade or whatever these rooms 
masquerade as nowadays - but it was a well planned room with plenty of 
space and so comfort. We spent a week here and were not only delighted by 
our room but also by the hotel's location - a definite boon. I enjoyed 
excellent night's sleep. Staff were polite and efficient throughout our 
entire stay - thank you. Spotlessly clean throughout !! If you don't fancy 
breakfast at the hotel you could do the circa 15 mins stroll to the nearest 
Wetherspoons - fab breakfast !!Read moreDate of stay: September 20192 
Helpful votesHelpfulShare</v>
      </c>
      <c r="M49" s="21" t="str">
        <f ca="1">IFERROR(__xludf.DUMMYFUNCTION("IMPORTXML(C49, $M$1)"),"#N/A")</f>
        <v>#N/A</v>
      </c>
      <c r="O49" s="21"/>
      <c r="P49" s="21" t="str">
        <f ca="1">IFERROR(__xludf.DUMMYFUNCTION("IMPORTXML(C49, $P$1)"),"AChee74 wrote a review Sep 2019Kuching, Malaysia1,286 contributions255 
helpful votes")</f>
        <v>AChee74 wrote a review Sep 2019Kuching, Malaysia1,286 contributions255 
helpful votes</v>
      </c>
      <c r="Q49" s="4" t="str">
        <f ca="1">IFERROR(__xludf.DUMMYFUNCTION("""COMPUTED_VALUE"""),"smallishIt is about 10 min walk from Waterloo Station, next to the Hilton by 
Hampton. Check in was fast and easy. Room was smallish even it is consider 
as the super room. hardly any place for luggage, but it is clean.Read 
moreDate of stay: August 2019H"&amp;"elpfulShareResponse from TravelodgeUK, Zack 
from The Social Media Team at Travelodge London Waterloo HotelResponded 18 
Sep 2019Thank you for reviewing your experience of our London Waterloo 
hotel. We are pleased to hear that your check in to your room "&amp;"was fast and 
easy and that you found your room to be cleaned to a high standard for your 
arrival, however we are sorry to read of your disappointment with the size 
of the room. We will be sure to pass your feedback on to the relevant 
department within"&amp;" our support centre, and we hope to be able to welcome you 
back to stay with us again soon.Read more")</f>
        <v>smallishIt is about 10 min walk from Waterloo Station, next to the Hilton by 
Hampton. Check in was fast and easy. Room was smallish even it is consider 
as the super room. hardly any place for luggage, but it is clean.Read 
moreDate of stay: August 2019HelpfulShareResponse from TravelodgeUK, Zack 
from The Social Media Team at Travelodge London Waterloo HotelResponded 18 
Sep 2019Thank you for reviewing your experience of our London Waterloo 
hotel. We are pleased to hear that your check in to your room was fast and 
easy and that you found your room to be cleaned to a high standard for your 
arrival, however we are sorry to read of your disappointment with the size 
of the room. We will be sure to pass your feedback on to the relevant 
department within our support centre, and we hope to be able to welcome you 
back to stay with us again soon.Read more</v>
      </c>
      <c r="U49" s="4" t="str">
        <f ca="1">IFERROR(__xludf.DUMMYFUNCTION("IMPORTXML(C50,$U$1)"),"Loading...")</f>
        <v>Loading...</v>
      </c>
    </row>
    <row r="50" spans="1:21" ht="15">
      <c r="A50" s="25" t="s">
        <v>4597</v>
      </c>
      <c r="B50" s="17" t="s">
        <v>126</v>
      </c>
      <c r="C50" s="23" t="str">
        <f t="shared" si="0"/>
        <v>https://www.tripadvisor.co.uk/Hotel_Review-g186338-d1812157-Reviews-or240-Travelodge_London_Waterloo_Hotel-London_England.html#REVIEWS</v>
      </c>
      <c r="D50" s="4" t="str">
        <f ca="1">IFERROR(__xludf.DUMMYFUNCTION("IMPORTXML(C50,$D$1)"),"Janine L wrote a review Sep 2019north wales36 contributions12 helpful votes")</f>
        <v>Janine L wrote a review Sep 2019north wales36 contributions12 helpful votes</v>
      </c>
      <c r="E50" s="4" t="str">
        <f ca="1">IFERROR(__xludf.DUMMYFUNCTION("""COMPUTED_VALUE"""),"Exactly as exoectedideal for waterloo, clean and tidy, friendly - exactly as expected for this 
type of hotel. good service, does exactly what it says on the tin. only a 
10 min walk to the london eye and the embankment. would def use againRead 
moreRevie"&amp;"w collected in partnership with TravelodgeDate of stay: September 
2019HelpfulShare")</f>
        <v>Exactly as exoectedideal for waterloo, clean and tidy, friendly - exactly as expected for this 
type of hotel. good service, does exactly what it says on the tin. only a 
10 min walk to the london eye and the embankment. would def use againRead 
moreReview collected in partnership with TravelodgeDate of stay: September 
2019HelpfulShare</v>
      </c>
      <c r="G50" s="24" t="str">
        <f ca="1">IFERROR(__xludf.DUMMYFUNCTION("IMPORTXML(C50, $G$1)"),"Mark wrote a review Sep 2019Leeds, United Kingdom6 contributions10 helpful 
votes")</f>
        <v>Mark wrote a review Sep 2019Leeds, United Kingdom6 contributions10 helpful 
votes</v>
      </c>
      <c r="H50" s="4" t="str">
        <f ca="1">IFERROR(__xludf.DUMMYFUNCTION("""COMPUTED_VALUE"""),"Basic to say the leastI’ve stayed in many basic hotels however there are basic levels of service 
you do expect. Arriving to the desk at 10 to 2 I was asked whether I had 
early check in, which I didn’t, I was then made to wait, which is fine but 
quite l"&amp;"iterally until precisely 2 to check in, despite rooms obviously 
being available. The food was passable and better than some I have stayed 
at but the time it took was desperate, this doesn’t include the various 
errors in service such as wrong drink, wro"&amp;"ng order number etc. despite 
this, the waiting staff were very polite. The room is clean and comfortable 
enough to do some work but lack of some basic amenities such as a glass in 
the bathroom, reasonable provision of coffee, sugar, milk and passage 
t"&amp;"hrough the bar to get to the door or reception let…Read moreDate of stay: 
September 20192 Helpful votesHelpfulShare")</f>
        <v>Basic to say the leastI’ve stayed in many basic hotels however there are basic levels of service 
you do expect. Arriving to the desk at 10 to 2 I was asked whether I had 
early check in, which I didn’t, I was then made to wait, which is fine but 
quite literally until precisely 2 to check in, despite rooms obviously 
being available. The food was passable and better than some I have stayed 
at but the time it took was desperate, this doesn’t include the various 
errors in service such as wrong drink, wrong order number etc. despite 
this, the waiting staff were very polite. The room is clean and comfortable 
enough to do some work but lack of some basic amenities such as a glass in 
the bathroom, reasonable provision of coffee, sugar, milk and passage 
through the bar to get to the door or reception let…Read moreDate of stay: 
September 20192 Helpful votesHelpfulShare</v>
      </c>
      <c r="I50" s="21"/>
      <c r="J50" s="21" t="str">
        <f ca="1">IFERROR(__xludf.DUMMYFUNCTION("IMPORTXML(C50, $J$1)"),"lu20932 wrote a review Sep 20191 contribution1 helpful vote")</f>
        <v>lu20932 wrote a review Sep 20191 contribution1 helpful vote</v>
      </c>
      <c r="K50" s="4" t="str">
        <f ca="1">IFERROR(__xludf.DUMMYFUNCTION("""COMPUTED_VALUE"""),"Dirty bedding, poorly maintained roomCustomer service when we first arrived didn’t come across as very 
approachable, stain on the bedding which was soon changed but not 
satisfactory enough when paying extra for a super room which to add was not 
very we"&amp;"ll maintained. Lady that greeted us at breakfast was very friendly 
and also the manager when we left. Based on the overall experience though 
we would not stay again.Read moreReview collected in partnership with 
TravelodgeDate of stay: September 20191 H"&amp;"elpful voteHelpfulShareResponse 
from TravelodgeUK, Zack from The Social Media Team at Travelodge London 
Waterloo HotelResponded 17 Sep 2019Thank you for taking the time to review 
our London Waterloo hotel. We are sorry to hear that you didn't feel our "&amp;"
staff were very approachable upon your arrival and that you found there to 
be a stain on the bedding in your room, however we are pleased to hear that 
this was resolved by our hotel team. We are also pleased to hear that you 
experienced good service f"&amp;"rom our staff at breakfast and the manager upon 
your check out from our hotel. All customer feedback is valuable to us, so 
thank you again for your comments and we hope we are able to welcome you to 
stay with us again soon.Read more")</f>
        <v>Dirty bedding, poorly maintained roomCustomer service when we first arrived didn’t come across as very 
approachable, stain on the bedding which was soon changed but not 
satisfactory enough when paying extra for a super room which to add was not 
very well maintained. Lady that greeted us at breakfast was very friendly 
and also the manager when we left. Based on the overall experience though 
we would not stay again.Read moreReview collected in partnership with 
TravelodgeDate of stay: September 20191 Helpful voteHelpfulShareResponse 
from TravelodgeUK, Zack from The Social Media Team at Travelodge London 
Waterloo HotelResponded 17 Sep 2019Thank you for taking the time to review 
our London Waterloo hotel. We are sorry to hear that you didn't feel our 
staff were very approachable upon your arrival and that you found there to 
be a stain on the bedding in your room, however we are pleased to hear that 
this was resolved by our hotel team. We are also pleased to hear that you 
experienced good service from our staff at breakfast and the manager upon 
your check out from our hotel. All customer feedback is valuable to us, so 
thank you again for your comments and we hope we are able to welcome you to 
stay with us again soon.Read more</v>
      </c>
      <c r="L50" s="21"/>
      <c r="M50" s="21" t="str">
        <f ca="1">IFERROR(__xludf.DUMMYFUNCTION("IMPORTXML(C50, $M$1)"),"David F wrote a review Sep 20192 contributions")</f>
        <v>David F wrote a review Sep 20192 contributions</v>
      </c>
      <c r="N50" s="4" t="str">
        <f ca="1">IFERROR(__xludf.DUMMYFUNCTION("""COMPUTED_VALUE"""),"Very comfortable stay in Central LondonVery quiet, clean, comfortable stay. Wouldn't win awards for architecture 
or interior design but it is exactly what it sets out to be - a good value 
basic hotel in a convenient location. I am a very light sleeper a"&amp;"nd the 
receptionist kindly put us in a room which was on a high floor towards the 
back of the hotel away from the lifts. Slept very well as a result.Read 
moreReview collected in partnership with TravelodgeDate of stay: September 
2019HelpfulShare")</f>
        <v>Very comfortable stay in Central LondonVery quiet, clean, comfortable stay. Wouldn't win awards for architecture 
or interior design but it is exactly what it sets out to be - a good value 
basic hotel in a convenient location. I am a very light sleeper and the 
receptionist kindly put us in a room which was on a high floor towards the 
back of the hotel away from the lifts. Slept very well as a result.Read 
moreReview collected in partnership with TravelodgeDate of stay: September 
2019HelpfulShare</v>
      </c>
      <c r="O50" s="21"/>
      <c r="P50" s="21" t="str">
        <f ca="1">IFERROR(__xludf.DUMMYFUNCTION("IMPORTXML(C50, $P$1)"),"Dawn E wrote a review Sep 2019Leicester, United Kingdom34 contributions12 
helpful votes")</f>
        <v>Dawn E wrote a review Sep 2019Leicester, United Kingdom34 contributions12 
helpful votes</v>
      </c>
      <c r="Q50" s="4" t="str">
        <f ca="1">IFERROR(__xludf.DUMMYFUNCTION("""COMPUTED_VALUE"""),"GoodStayed for 2 nights. Like it on the southbank 10 min walk from london eye. 
Best to use Waterloo subway but remember to use southbank exit if not long 
way around but ideal place for restaurants pubs etc. Breakfast was good. 10 
min wait for coffee. B"&amp;"edroom small but ok did Loan out a hairdryer. No 
drawer cupboards to keep underwear so left things in suitcase not enough 
hangers. Bathroom ok n small. Air con good . Cleanliness good. Will come 
back for position of hotel. But wont have breakfast as 4 "&amp;"doors down fab 
cafe £5 for full englishRead moreDate of stay: September 2019HelpfulShare")</f>
        <v>GoodStayed for 2 nights. Like it on the southbank 10 min walk from london eye. 
Best to use Waterloo subway but remember to use southbank exit if not long 
way around but ideal place for restaurants pubs etc. Breakfast was good. 10 
min wait for coffee. Bedroom small but ok did Loan out a hairdryer. No 
drawer cupboards to keep underwear so left things in suitcase not enough 
hangers. Bathroom ok n small. Air con good . Cleanliness good. Will come 
back for position of hotel. But wont have breakfast as 4 doors down fab 
cafe £5 for full englishRead moreDate of stay: September 2019HelpfulShare</v>
      </c>
      <c r="U50" s="4" t="str">
        <f ca="1">IFERROR(__xludf.DUMMYFUNCTION("IMPORTXML(C51,$U$1)"),"Loading...")</f>
        <v>Loading...</v>
      </c>
    </row>
    <row r="51" spans="1:21" ht="15">
      <c r="A51" s="5" t="s">
        <v>4660</v>
      </c>
      <c r="B51" s="17" t="s">
        <v>126</v>
      </c>
      <c r="C51" s="23" t="str">
        <f t="shared" si="0"/>
        <v>https://www.tripadvisor.co.uk/Hotel_Review-g186338-d1812157-Reviews-or245-Travelodge_London_Waterloo_Hotel-London_England.html#REVIEWS</v>
      </c>
      <c r="D51" s="4" t="str">
        <f ca="1">IFERROR(__xludf.DUMMYFUNCTION("IMPORTXML(C51,$D$1)"),"RDS61 wrote a review Sep 2019Chester, United Kingdom1,690 contributions98 
helpful votes")</f>
        <v>RDS61 wrote a review Sep 2019Chester, United Kingdom1,690 contributions98 
helpful votes</v>
      </c>
      <c r="E51" s="4" t="str">
        <f ca="1">IFERROR(__xludf.DUMMYFUNCTION("""COMPUTED_VALUE"""),"Needs to improveWe stayed here for two nights. The room we had was quite small with a very 
small toilet/shower room. There was no bath mat in the bathroom nor a 
hairdryer in the room, although you can get one from reception. There are 
also no drawers o"&amp;"r cupboards in the room on a rail with a few hangers for 
clothes. The lift creaked a little and is in need of some attention. 
Furthermore the smell of cooked breakfast wafted up the lift shaft. Overall 
it could be so much better with a little attention"&amp;" to detail. The location 
is very convenient for Waterloo stationRead moreDate of stay: September 
20191 Helpful voteHelpfulShareResponse from TravelodgeUK, Zack from The 
Social Media Team at Travelodge London Waterloo HotelResponded 15 Sep 
2019Thank yo"&amp;"u for taking the time to share your experience with us at our 
London Waterloo Travelodge. We are pleased to learn you were happy with the 
Hotels location, however please accept our apologies for the disappointment 
with your room and lack of facilities."&amp;" Your feedback is very important to 
us as it allow us to improve the service we offer. We really appreciate the 
time you have taken to write this review and we do hope you stay with us 
soon.Read more")</f>
        <v>Needs to improveWe stayed here for two nights. The room we had was quite small with a very 
small toilet/shower room. There was no bath mat in the bathroom nor a 
hairdryer in the room, although you can get one from reception. There are 
also no drawers or cupboards in the room on a rail with a few hangers for 
clothes. The lift creaked a little and is in need of some attention. 
Furthermore the smell of cooked breakfast wafted up the lift shaft. Overall 
it could be so much better with a little attention to detail. The location 
is very convenient for Waterloo stationRead moreDate of stay: September 
20191 Helpful voteHelpfulShareResponse from TravelodgeUK, Zack from The 
Social Media Team at Travelodge London Waterloo HotelResponded 15 Sep 
2019Thank you for taking the time to share your experience with us at our 
London Waterloo Travelodge. We are pleased to learn you were happy with the 
Hotels location, however please accept our apologies for the disappointment 
with your room and lack of facilities. Your feedback is very important to 
us as it allow us to improve the service we offer. We really appreciate the 
time you have taken to write this review and we do hope you stay with us 
soon.Read more</v>
      </c>
      <c r="G51" s="24" t="str">
        <f ca="1">IFERROR(__xludf.DUMMYFUNCTION("IMPORTXML(C51, $G$1)"),"Heinz wrote a review Sep 20199 contributions3 helpful votes")</f>
        <v>Heinz wrote a review Sep 20199 contributions3 helpful votes</v>
      </c>
      <c r="H51" s="4" t="str">
        <f ca="1">IFERROR(__xludf.DUMMYFUNCTION("""COMPUTED_VALUE"""),"AmazingI enjoyed my stay here. Reception were accommodating and asked if they 
could help in anyway. Staff were courteous and polite. The best travelodge 
I've stayed in and good value for money. I would stay again.Read moreDate 
of stay: June 2019Helpful"&amp;"Share")</f>
        <v>AmazingI enjoyed my stay here. Reception were accommodating and asked if they 
could help in anyway. Staff were courteous and polite. The best travelodge 
I've stayed in and good value for money. I would stay again.Read moreDate 
of stay: June 2019HelpfulShare</v>
      </c>
      <c r="I51" s="21"/>
      <c r="J51" s="21" t="str">
        <f ca="1">IFERROR(__xludf.DUMMYFUNCTION("IMPORTXML(C51, $J$1)"),"Sue wrote a review Sep 20199 contributions")</f>
        <v>Sue wrote a review Sep 20199 contributions</v>
      </c>
      <c r="K51" s="4" t="str">
        <f ca="1">IFERROR(__xludf.DUMMYFUNCTION("""COMPUTED_VALUE"""),"Best Travelodge We’ve Stayed InStayed here while visiting London to attend a concert. This is the best 
Travelodge we’ve stayed at. Was pleasantly surprised by how quiet it was to 
stay here. Comfortable. Clean and good customer service. Excellent 
breakf"&amp;"ast.Read moreDate of stay: June 2019HelpfulShare")</f>
        <v>Best Travelodge We’ve Stayed InStayed here while visiting London to attend a concert. This is the best 
Travelodge we’ve stayed at. Was pleasantly surprised by how quiet it was to 
stay here. Comfortable. Clean and good customer service. Excellent 
breakfast.Read moreDate of stay: June 2019HelpfulShare</v>
      </c>
      <c r="L51" s="21"/>
      <c r="M51" s="21" t="str">
        <f ca="1">IFERROR(__xludf.DUMMYFUNCTION("IMPORTXML(C51, $M$1)"),"201raymondw wrote a review Sep 2019Swansea, United Kingdom9 contributions2 
helpful votes")</f>
        <v>201raymondw wrote a review Sep 2019Swansea, United Kingdom9 contributions2 
helpful votes</v>
      </c>
      <c r="N51" s="4" t="str">
        <f ca="1">IFERROR(__xludf.DUMMYFUNCTION("""COMPUTED_VALUE"""),"Location,location,location.Very good value for a budget hotel. The reception area clean and tidy. The 
staff helpful pleasant and efficient. Room clean and comfortable. Bed and 
pillows allowed for a good nights sleep. Excellent location.Read moreDate 
of"&amp;" stay: September 2019HelpfulShare")</f>
        <v>Location,location,location.Very good value for a budget hotel. The reception area clean and tidy. The 
staff helpful pleasant and efficient. Room clean and comfortable. Bed and 
pillows allowed for a good nights sleep. Excellent location.Read moreDate 
of stay: September 2019HelpfulShare</v>
      </c>
      <c r="O51" s="21"/>
      <c r="P51" s="21" t="str">
        <f ca="1">IFERROR(__xludf.DUMMYFUNCTION("IMPORTXML(C51, $P$1)"),"alanhdez90 wrote a review Sep 2019Montreal, Quebec2 contributions1 helpful 
vote")</f>
        <v>alanhdez90 wrote a review Sep 2019Montreal, Quebec2 contributions1 helpful 
vote</v>
      </c>
      <c r="Q51" s="4" t="str">
        <f ca="1">IFERROR(__xludf.DUMMYFUNCTION("""COMPUTED_VALUE"""),"Trip to LondonThe hotel is fair for the price, the room is fine, just I find the shower a 
bit small and difficult to keep the water inside. Nonetheless, is a fair 
room for the price. The breakfast is EXCELLENT, the food is very good, 
quality food and t"&amp;"he people working at the kitchen/restaurant deserve a 
gold medal, they are very friendly and all the time taking care of the 
service. The location is great, you can walk to many sightseen points in 
London.Read moreReview collected in partnership with T"&amp;"ravelodgeDate of 
stay: September 2019HelpfulShare")</f>
        <v>Trip to LondonThe hotel is fair for the price, the room is fine, just I find the shower a 
bit small and difficult to keep the water inside. Nonetheless, is a fair 
room for the price. The breakfast is EXCELLENT, the food is very good, 
quality food and the people working at the kitchen/restaurant deserve a 
gold medal, they are very friendly and all the time taking care of the 
service. The location is great, you can walk to many sightseen points in 
London.Read moreReview collected in partnership with TravelodgeDate of 
stay: September 2019HelpfulShare</v>
      </c>
      <c r="U51" s="4" t="str">
        <f ca="1">IFERROR(__xludf.DUMMYFUNCTION("IMPORTXML(C52,$U$1)"),"Loading...")</f>
        <v>Loading...</v>
      </c>
    </row>
    <row r="52" spans="1:21" ht="15">
      <c r="A52" s="25" t="s">
        <v>4719</v>
      </c>
      <c r="B52" s="17" t="s">
        <v>126</v>
      </c>
      <c r="C52" s="23" t="str">
        <f t="shared" si="0"/>
        <v>https://www.tripadvisor.co.uk/Hotel_Review-g186338-d1812157-Reviews-or250-Travelodge_London_Waterloo_Hotel-London_England.html#REVIEWS</v>
      </c>
      <c r="D52" s="4" t="str">
        <f ca="1">IFERROR(__xludf.DUMMYFUNCTION("IMPORTXML(C52,$D$1)"),"sportbilly62 wrote a review Sep 2019Doncaster, United Kingdom56 
contributions23 helpful votes")</f>
        <v>sportbilly62 wrote a review Sep 2019Doncaster, United Kingdom56 
contributions23 helpful votes</v>
      </c>
      <c r="E52" s="4" t="str">
        <f ca="1">IFERROR(__xludf.DUMMYFUNCTION("""COMPUTED_VALUE"""),"Nice Quiet Location2 night stay to take in a sporting event. Lovely location away from the 
hustle and bustle of central London. 5 Minutes walk from Waterloo station. 
Very friendly staff. Room was great, lovely buffet brekky, decent bar. An 
easier going"&amp;" hotel than the busy covent garden one we normally stay in. 
Will definitely come back here when staying in London, apart from anything 
else it's a lot cheaper than Covent garden.Read moreDate of stay: September 
2019HelpfulShare")</f>
        <v>Nice Quiet Location2 night stay to take in a sporting event. Lovely location away from the 
hustle and bustle of central London. 5 Minutes walk from Waterloo station. 
Very friendly staff. Room was great, lovely buffet brekky, decent bar. An 
easier going hotel than the busy covent garden one we normally stay in. 
Will definitely come back here when staying in London, apart from anything 
else it's a lot cheaper than Covent garden.Read moreDate of stay: September 
2019HelpfulShare</v>
      </c>
      <c r="G52" s="24" t="str">
        <f ca="1">IFERROR(__xludf.DUMMYFUNCTION("IMPORTXML(C52, $G$1)"),"susannecianci wrote a review Sep 20191 contribution")</f>
        <v>susannecianci wrote a review Sep 20191 contribution</v>
      </c>
      <c r="H52" s="4" t="str">
        <f ca="1">IFERROR(__xludf.DUMMYFUNCTION("""COMPUTED_VALUE"""),"Good hotel for weekend tripsI already spent several weekends at Travelodge Central Waterloo and was 
always satisfied with the room and the service. All rooms I had so far were 
quiet and clean. The location is very good for sightseeing in London, as it 
"&amp;"is only a short walk from Waterloo station.Read moreReview collected in 
partnership with TravelodgeDate of stay: September 2019HelpfulShare")</f>
        <v>Good hotel for weekend tripsI already spent several weekends at Travelodge Central Waterloo and was 
always satisfied with the room and the service. All rooms I had so far were 
quiet and clean. The location is very good for sightseeing in London, as it 
is only a short walk from Waterloo station.Read moreReview collected in 
partnership with TravelodgeDate of stay: September 2019HelpfulShare</v>
      </c>
      <c r="I52" s="21"/>
      <c r="J52" s="21" t="str">
        <f ca="1">IFERROR(__xludf.DUMMYFUNCTION("IMPORTXML(C52, $J$1)"),"Raymond G wrote a review Sep 2019Hartlepool, United Kingdom14 
contributions5 helpful votes")</f>
        <v>Raymond G wrote a review Sep 2019Hartlepool, United Kingdom14 
contributions5 helpful votes</v>
      </c>
      <c r="K52" s="4" t="str">
        <f ca="1">IFERROR(__xludf.DUMMYFUNCTION("""COMPUTED_VALUE"""),"A basic room but only needed for sleeping and washingRoom was clean and quiet. Fairly small in size but large enough for the 
occasion. A well stocked bar on the ground floor and a popular breakfast 
room (but we actually used neither). Very close to the "&amp;"tube and Waterloo 
station.Read moreReview collected in partnership with TravelodgeDate of 
stay: September 2019HelpfulShare")</f>
        <v>A basic room but only needed for sleeping and washingRoom was clean and quiet. Fairly small in size but large enough for the 
occasion. A well stocked bar on the ground floor and a popular breakfast 
room (but we actually used neither). Very close to the tube and Waterloo 
station.Read moreReview collected in partnership with TravelodgeDate of 
stay: September 2019HelpfulShare</v>
      </c>
      <c r="L52" s="21"/>
      <c r="M52" s="21" t="str">
        <f ca="1">IFERROR(__xludf.DUMMYFUNCTION("IMPORTXML(C52, $M$1)"),"guygrant wrote a review Sep 2019Liverpool, United Kingdom10 contributions1 
helpful vote")</f>
        <v>guygrant wrote a review Sep 2019Liverpool, United Kingdom10 contributions1 
helpful vote</v>
      </c>
      <c r="N52" s="4" t="str">
        <f ca="1">IFERROR(__xludf.DUMMYFUNCTION("""COMPUTED_VALUE"""),"Where`s the Soap &amp; Shower Gel??Our room, although clean &amp; tidy didn't have hand soap or shower gel. When 
you check in late at night and start to shower, you expect there to be soap 
&amp; gel as a minimum!! I was disappointed to find basic requirements withi"&amp;"n a 
hotel room were just not met.Read moreReview collected in partnership with 
TravelodgeDate of stay: September 20191 Helpful voteHelpfulShareResponse 
from Ben T, Zack from The Social Media Team at Travelodge London Waterloo 
HotelResponded 10 Sep 201"&amp;"9Thank you for taking the time to leave your 
review. We are pleased to hear that your room was clean for your arrival at 
our hotel, however we are sorry to hear that the soap dispenser was not 
filled prior to your arrival. We will be sure to pass your "&amp;"comments on to 
the hotel so we are able to improve the service we offer. May we thank you 
for your invaluable feedback and hope you stay with us in the future.Read 
more")</f>
        <v>Where`s the Soap &amp; Shower Gel??Our room, although clean &amp; tidy didn't have hand soap or shower gel. When 
you check in late at night and start to shower, you expect there to be soap 
&amp; gel as a minimum!! I was disappointed to find basic requirements within a 
hotel room were just not met.Read moreReview collected in partnership with 
TravelodgeDate of stay: September 20191 Helpful voteHelpfulShareResponse 
from Ben T, Zack from The Social Media Team at Travelodge London Waterloo 
HotelResponded 10 Sep 2019Thank you for taking the time to leave your 
review. We are pleased to hear that your room was clean for your arrival at 
our hotel, however we are sorry to hear that the soap dispenser was not 
filled prior to your arrival. We will be sure to pass your comments on to 
the hotel so we are able to improve the service we offer. May we thank you 
for your invaluable feedback and hope you stay with us in the future.Read 
more</v>
      </c>
      <c r="O52" s="21"/>
      <c r="P52" s="21" t="str">
        <f ca="1">IFERROR(__xludf.DUMMYFUNCTION("IMPORTXML(C52, $P$1)"),"MrsCW-R wrote a review Sep 2019Somerset, United Kingdom1,811 
contributions240 helpful votes")</f>
        <v>MrsCW-R wrote a review Sep 2019Somerset, United Kingdom1,811 
contributions240 helpful votes</v>
      </c>
      <c r="Q52" s="4" t="str">
        <f ca="1">IFERROR(__xludf.DUMMYFUNCTION("""COMPUTED_VALUE"""),"Great hotel in good commutable locationHave stayed in this hotel on quite a few occasions as it is in such a good 
location to commute around London just a 5-10 minute walk south of Waterloo 
station - perfect for both tube and trains. It meets all our ne"&amp;"eds so we 
keep coming back. The staff are superb - helpful, knowledgeable and nothing 
is too much trouble. Also has a bag store if you want to go out to play 
during the day and collect your bag later. This hotel is always nice and 
clean and kept in go"&amp;"od decorative order. New - if you are staying for more 
than one night, if you want your room cleaned ensure that you hang the pink 
tag on the door handle. We forget and returned to our own mess and an 
unmade bed when we returned back after a very long "&amp;"day!! Will not make that 
mistake again. Food is good here too. …Read moreDate of stay: September 
2019HelpfulShare")</f>
        <v>Great hotel in good commutable locationHave stayed in this hotel on quite a few occasions as it is in such a good 
location to commute around London just a 5-10 minute walk south of Waterloo 
station - perfect for both tube and trains. It meets all our needs so we 
keep coming back. The staff are superb - helpful, knowledgeable and nothing 
is too much trouble. Also has a bag store if you want to go out to play 
during the day and collect your bag later. This hotel is always nice and 
clean and kept in good decorative order. New - if you are staying for more 
than one night, if you want your room cleaned ensure that you hang the pink 
tag on the door handle. We forget and returned to our own mess and an 
unmade bed when we returned back after a very long day!! Will not make that 
mistake again. Food is good here too. …Read moreDate of stay: September 
2019HelpfulShare</v>
      </c>
      <c r="U52" s="4" t="str">
        <f ca="1">IFERROR(__xludf.DUMMYFUNCTION("IMPORTXML(C53,$U$1)"),"Loading...")</f>
        <v>Loading...</v>
      </c>
    </row>
    <row r="53" spans="1:21" ht="15">
      <c r="A53" s="25" t="s">
        <v>4780</v>
      </c>
      <c r="B53" s="17" t="s">
        <v>126</v>
      </c>
      <c r="C53" s="23" t="str">
        <f t="shared" si="0"/>
        <v>https://www.tripadvisor.co.uk/Hotel_Review-g186338-d1812157-Reviews-or255-Travelodge_London_Waterloo_Hotel-London_England.html#REVIEWS</v>
      </c>
      <c r="D53" s="4" t="str">
        <f ca="1">IFERROR(__xludf.DUMMYFUNCTION("IMPORTXML(C53,$D$1)"),"Garry B wrote a review Sep 2019Haywards Heath, United Kingdom150 
contributions30 helpful votes")</f>
        <v>Garry B wrote a review Sep 2019Haywards Heath, United Kingdom150 
contributions30 helpful votes</v>
      </c>
      <c r="E53" s="4" t="str">
        <f ca="1">IFERROR(__xludf.DUMMYFUNCTION("""COMPUTED_VALUE"""),"A Good FindStaying in Travelodge's can be a bit hit and miss, however I found this one 
when I had to stay in London for work. I was so impressed, I booked it for 
a personal overnight stay after a visit to the theatre. The staff are 
friendly and profess"&amp;"ional. The hotel is spotlessly clean and the rooms are 
surprisingly large and well maintained. Breakfast was included in my deal 
and was great. Will definitely use it again as it has a great location for 
the West End, good prices and pretty quiet so yo"&amp;"u get a good nights sleep. 
Thank you.Read moreDate of stay: September 2019HelpfulShare")</f>
        <v>A Good FindStaying in Travelodge's can be a bit hit and miss, however I found this one 
when I had to stay in London for work. I was so impressed, I booked it for 
a personal overnight stay after a visit to the theatre. The staff are 
friendly and professional. The hotel is spotlessly clean and the rooms are 
surprisingly large and well maintained. Breakfast was included in my deal 
and was great. Will definitely use it again as it has a great location for 
the West End, good prices and pretty quiet so you get a good nights sleep. 
Thank you.Read moreDate of stay: September 2019HelpfulShare</v>
      </c>
      <c r="G53" s="24" t="str">
        <f ca="1">IFERROR(__xludf.DUMMYFUNCTION("IMPORTXML(C53, $G$1)"),"AmyR333 wrote a review Sep 2019Oxford, United Kingdom10 contributions2 
helpful votes")</f>
        <v>AmyR333 wrote a review Sep 2019Oxford, United Kingdom10 contributions2 
helpful votes</v>
      </c>
      <c r="H53" s="4" t="str">
        <f ca="1">IFERROR(__xludf.DUMMYFUNCTION("""COMPUTED_VALUE"""),"Family room stayThe room was spacious and clean, staff on the front desk were really nice 
both at night and in the morning. Our room was quite hard to find so some 
direction would've been handy, also some glasses and a teaspoon (for 
tea/coffee) in the "&amp;"room would've been good. Double bed was comfy, extra bed 
was very hard but we all had a good night's sleep as location of the hotel 
is quiet.Read moreDate of stay: September 2019HelpfulShare")</f>
        <v>Family room stayThe room was spacious and clean, staff on the front desk were really nice 
both at night and in the morning. Our room was quite hard to find so some 
direction would've been handy, also some glasses and a teaspoon (for 
tea/coffee) in the room would've been good. Double bed was comfy, extra bed 
was very hard but we all had a good night's sleep as location of the hotel 
is quiet.Read moreDate of stay: September 2019HelpfulShare</v>
      </c>
      <c r="I53" s="21"/>
      <c r="J53" s="21" t="str">
        <f ca="1">IFERROR(__xludf.DUMMYFUNCTION("IMPORTXML(C53, $J$1)"),"Ivana wrote a review Sep 201911 contributions1 helpful vote")</f>
        <v>Ivana wrote a review Sep 201911 contributions1 helpful vote</v>
      </c>
      <c r="K53" s="4" t="str">
        <f ca="1">IFERROR(__xludf.DUMMYFUNCTION("""COMPUTED_VALUE"""),"Great clean hotelHotel was perfectly clean (which is not common in London), everything was 
clean and working. Bathroom was clean with enough towels, Bed was 
comfortable. Breakfast was great with a possibility to take coffee and 
fruit away. It was just "&amp;"15min walk from londoneye and 10min to 
underground.Really worth for money.Read moreReview collected in partnership 
with TravelodgeDate of stay: September 2019HelpfulShare")</f>
        <v>Great clean hotelHotel was perfectly clean (which is not common in London), everything was 
clean and working. Bathroom was clean with enough towels, Bed was 
comfortable. Breakfast was great with a possibility to take coffee and 
fruit away. It was just 15min walk from londoneye and 10min to 
underground.Really worth for money.Read moreReview collected in partnership 
with TravelodgeDate of stay: September 2019HelpfulShare</v>
      </c>
      <c r="L53" s="21"/>
      <c r="M53" s="21" t="str">
        <f ca="1">IFERROR(__xludf.DUMMYFUNCTION("IMPORTXML(C53, $M$1)"),"jlinden2019 wrote a review Sep 2019Poole, United Kingdom1 contribution")</f>
        <v>jlinden2019 wrote a review Sep 2019Poole, United Kingdom1 contribution</v>
      </c>
      <c r="N53" s="4" t="str">
        <f ca="1">IFERROR(__xludf.DUMMYFUNCTION("""COMPUTED_VALUE"""),"Great HotelVery spacious family room. Comfy beds, very clean, and an air cooling unit 
which made the temperature very pleasant, we could even see the London Eye 
from our room. The location was great and the staff were always friendly 
and very helpful.R"&amp;"ead moreReview collected in partnership with 
TravelodgeDate of stay: August 2019HelpfulShare")</f>
        <v>Great HotelVery spacious family room. Comfy beds, very clean, and an air cooling unit 
which made the temperature very pleasant, we could even see the London Eye 
from our room. The location was great and the staff were always friendly 
and very helpful.Read moreReview collected in partnership with 
TravelodgeDate of stay: August 2019HelpfulShare</v>
      </c>
      <c r="O53" s="21"/>
      <c r="P53" s="21" t="str">
        <f ca="1">IFERROR(__xludf.DUMMYFUNCTION("IMPORTXML(C53, $P$1)"),"teamace27 wrote a review Sep 2019Seoul, South Korea1 contribution")</f>
        <v>teamace27 wrote a review Sep 2019Seoul, South Korea1 contribution</v>
      </c>
      <c r="Q53" s="4" t="str">
        <f ca="1">IFERROR(__xludf.DUMMYFUNCTION("""COMPUTED_VALUE"""),"Excellent location, reasonale quality and price.I stayed 8 nights with my family, and the biggest benefit is excellent 
location (near Waterloo, Southwark station) and reasonable price of course. 
This hotel was new and clean but poor facilities usuable. "&amp;"However strongly 
recommended to stay!!Read moreReview collected in partnership with 
TravelodgeDate of stay: August 2019HelpfulShare")</f>
        <v>Excellent location, reasonale quality and price.I stayed 8 nights with my family, and the biggest benefit is excellent 
location (near Waterloo, Southwark station) and reasonable price of course. 
This hotel was new and clean but poor facilities usuable. However strongly 
recommended to stay!!Read moreReview collected in partnership with 
TravelodgeDate of stay: August 2019HelpfulShare</v>
      </c>
      <c r="U53" s="4" t="str">
        <f ca="1">IFERROR(__xludf.DUMMYFUNCTION("IMPORTXML(C54,$U$1)"),"Loading...")</f>
        <v>Loading...</v>
      </c>
    </row>
    <row r="54" spans="1:21" ht="15">
      <c r="A54" s="25" t="s">
        <v>4846</v>
      </c>
      <c r="B54" s="17" t="s">
        <v>126</v>
      </c>
      <c r="C54" s="23" t="str">
        <f t="shared" si="0"/>
        <v>https://www.tripadvisor.co.uk/Hotel_Review-g186338-d1812157-Reviews-or260-Travelodge_London_Waterloo_Hotel-London_England.html#REVIEWS</v>
      </c>
      <c r="D54" s="4" t="str">
        <f ca="1">IFERROR(__xludf.DUMMYFUNCTION("IMPORTXML(C54,$D$1)"),"jackiekkennedy wrote a review Sep 20191 contribution")</f>
        <v>jackiekkennedy wrote a review Sep 20191 contribution</v>
      </c>
      <c r="E54" s="4" t="str">
        <f ca="1">IFERROR(__xludf.DUMMYFUNCTION("""COMPUTED_VALUE"""),"Great experienceStayed for two nights and enjoyed our stay. Polite, friendly staff, very 
clean hotel and food was great. Staying at this travelodge for the first 
time we were very impressed. A short distance to the train station and 
London Eye. Recomme"&amp;"nd this Travelodge - absolutely.Read moreReview 
collected in partnership with TravelodgeDate of stay: August 
2019HelpfulShare")</f>
        <v>Great experienceStayed for two nights and enjoyed our stay. Polite, friendly staff, very 
clean hotel and food was great. Staying at this travelodge for the first 
time we were very impressed. A short distance to the train station and 
London Eye. Recommend this Travelodge - absolutely.Read moreReview 
collected in partnership with TravelodgeDate of stay: August 
2019HelpfulShare</v>
      </c>
      <c r="G54" s="24" t="str">
        <f ca="1">IFERROR(__xludf.DUMMYFUNCTION("IMPORTXML(C54, $G$1)"),"Sally wrote a review Sep 2019Dorset, United Kingdom17 contributions8 
helpful votes")</f>
        <v>Sally wrote a review Sep 2019Dorset, United Kingdom17 contributions8 
helpful votes</v>
      </c>
      <c r="H54" s="4" t="str">
        <f ca="1">IFERROR(__xludf.DUMMYFUNCTION("""COMPUTED_VALUE"""),"Excellent hotel, definitely worth a visit..The hotel is in a brilliant location only a short walk from Waterloo 
station; the superooms are basically furnished but a reasonable size, clean 
and comfortable. The staff are very friendly and helpful. Access "&amp;"is good 
with 2 lifts available so you don’t wait long. The food is of good quality, 
a limited but varied menu that caters for gluten free and vegetarians and 
is very reasonably priced. The only downside is that, as always, the noisy 
inconsiderate idio"&amp;"t always seems to have a room by me...Read moreDate of 
stay: September 2019HelpfulShare")</f>
        <v>Excellent hotel, definitely worth a visit..The hotel is in a brilliant location only a short walk from Waterloo 
station; the superooms are basically furnished but a reasonable size, clean 
and comfortable. The staff are very friendly and helpful. Access is good 
with 2 lifts available so you don’t wait long. The food is of good quality, 
a limited but varied menu that caters for gluten free and vegetarians and 
is very reasonably priced. The only downside is that, as always, the noisy 
inconsiderate idiot always seems to have a room by me...Read moreDate of 
stay: September 2019HelpfulShare</v>
      </c>
      <c r="I54" s="21"/>
      <c r="J54" s="21" t="str">
        <f ca="1">IFERROR(__xludf.DUMMYFUNCTION("IMPORTXML(C54, $J$1)"),"Adil_Khan7 wrote a review Sep 2019London, United Kingdom5 contributions1 
helpful vote")</f>
        <v>Adil_Khan7 wrote a review Sep 2019London, United Kingdom5 contributions1 
helpful vote</v>
      </c>
      <c r="K54" s="4" t="str">
        <f ca="1">IFERROR(__xludf.DUMMYFUNCTION("""COMPUTED_VALUE"""),"Excellent location and facilitiesGreat location for visiting central London. The southbank was 5-10 minute 
walk away and with Waterloo station even closer it was easy to get around 
London. We booked a Super room and I was impressed with the cleanliness "&amp;"and 
decor. The room a little smaller than I imagined but it was perfectly fine 
for relaxing after a day exploring London. Lastly the staff were extremely 
friendly and helpful throughout our stay.Read moreReview collected in 
partnership with Travelodge"&amp;"Date of stay: August 2019HelpfulShare")</f>
        <v>Excellent location and facilitiesGreat location for visiting central London. The southbank was 5-10 minute 
walk away and with Waterloo station even closer it was easy to get around 
London. We booked a Super room and I was impressed with the cleanliness and 
decor. The room a little smaller than I imagined but it was perfectly fine 
for relaxing after a day exploring London. Lastly the staff were extremely 
friendly and helpful throughout our stay.Read moreReview collected in 
partnership with TravelodgeDate of stay: August 2019HelpfulShare</v>
      </c>
      <c r="L54" s="21"/>
      <c r="M54" s="21" t="str">
        <f ca="1">IFERROR(__xludf.DUMMYFUNCTION("IMPORTXML(C54, $M$1)"),"amylouiseroberts wrote a review Sep 2019Essex, United Kingdom51 
contributions7 helpful votes")</f>
        <v>amylouiseroberts wrote a review Sep 2019Essex, United Kingdom51 
contributions7 helpful votes</v>
      </c>
      <c r="N54" s="4" t="str">
        <f ca="1">IFERROR(__xludf.DUMMYFUNCTION("""COMPUTED_VALUE"""),"Excellent locationStayed here solo for one night before/after Ministry of Sound. Very close 
to Waterloo station and lots of places nearby. My room was clean and large 
- probably one of the nicest Travelodges I have stayed in. Only downside 
was my room "&amp;"was right next to the door for the lifts so there was quite 
loud banging from the door being constantly opened and closed. Apart from 
that I have no complaints.Read moreDate of stay: August 2019HelpfulShare")</f>
        <v>Excellent locationStayed here solo for one night before/after Ministry of Sound. Very close 
to Waterloo station and lots of places nearby. My room was clean and large 
- probably one of the nicest Travelodges I have stayed in. Only downside 
was my room was right next to the door for the lifts so there was quite 
loud banging from the door being constantly opened and closed. Apart from 
that I have no complaints.Read moreDate of stay: August 2019HelpfulShare</v>
      </c>
      <c r="O54" s="21"/>
      <c r="P54" s="21" t="str">
        <f ca="1">IFERROR(__xludf.DUMMYFUNCTION("IMPORTXML(C54, $P$1)"),"Marco D wrote a review Sep 20191 contribution")</f>
        <v>Marco D wrote a review Sep 20191 contribution</v>
      </c>
      <c r="Q54" s="4" t="str">
        <f ca="1">IFERROR(__xludf.DUMMYFUNCTION("""COMPUTED_VALUE"""),"london 2019summer stays of 9 days in center of London, the hotel is well located, near 
to Piccadilly-Trafalgar, train and bus station very closed room clean 
breakfast and service good assistance and service very goodRead moreReview 
collected in partner"&amp;"ship with TravelodgeDate of stay: August 
2019HelpfulShare")</f>
        <v>london 2019summer stays of 9 days in center of London, the hotel is well located, near 
to Piccadilly-Trafalgar, train and bus station very closed room clean 
breakfast and service good assistance and service very goodRead moreReview 
collected in partnership with TravelodgeDate of stay: August 
2019HelpfulShare</v>
      </c>
      <c r="U54" s="4" t="str">
        <f ca="1">IFERROR(__xludf.DUMMYFUNCTION("IMPORTXML(C55,$U$1)"),"Loading...")</f>
        <v>Loading...</v>
      </c>
    </row>
    <row r="55" spans="1:21" ht="15">
      <c r="A55" s="5" t="s">
        <v>4905</v>
      </c>
      <c r="B55" s="17" t="s">
        <v>126</v>
      </c>
      <c r="C55" s="23" t="str">
        <f t="shared" si="0"/>
        <v>https://www.tripadvisor.co.uk/Hotel_Review-g186338-d1812157-Reviews-or265-Travelodge_London_Waterloo_Hotel-London_England.html#REVIEWS</v>
      </c>
      <c r="D55" s="4" t="str">
        <f ca="1">IFERROR(__xludf.DUMMYFUNCTION("IMPORTXML(C55,$D$1)"),"Melia1998 wrote a review Sep 20192 contributions1 helpful vote")</f>
        <v>Melia1998 wrote a review Sep 20192 contributions1 helpful vote</v>
      </c>
      <c r="E55" s="4" t="str">
        <f ca="1">IFERROR(__xludf.DUMMYFUNCTION("""COMPUTED_VALUE"""),"London waterlooHad a wonderful night with my girlfriend after a night out in London, very 
close to Waterloo station. Experienced London at night and was a brief walk 
back to the hotel, not that far from the station.Read moreReview collected 
in partners"&amp;"hip with TravelodgeDate of stay: August 2019HelpfulShare")</f>
        <v>London waterlooHad a wonderful night with my girlfriend after a night out in London, very 
close to Waterloo station. Experienced London at night and was a brief walk 
back to the hotel, not that far from the station.Read moreReview collected 
in partnership with TravelodgeDate of stay: August 2019HelpfulShare</v>
      </c>
      <c r="G55" s="24" t="str">
        <f ca="1">IFERROR(__xludf.DUMMYFUNCTION("IMPORTXML(C55, $G$1)"),"RobWil62 wrote a review Sep 2019Caernarfon, United Kingdom40 
contributions33 helpful votes")</f>
        <v>RobWil62 wrote a review Sep 2019Caernarfon, United Kingdom40 
contributions33 helpful votes</v>
      </c>
      <c r="H55" s="4" t="str">
        <f ca="1">IFERROR(__xludf.DUMMYFUNCTION("""COMPUTED_VALUE"""),"Comfortable stay in Central LondonWhen we stay for short breaks in Central London we always find Travelodge 
Waterloo convenient and suitable for our needs. Located just south of 
Waterloo Bridge near the Old Vic Theatre, it is possible to walk to most 
C"&amp;"entral London attractions. The room we had on the 5th floor facing a side 
road was spacious, clean, and quiet. We did not eat at the hotel. Overall 
another comfortable stay, and we will return next time in London.Read 
moreReview collected in partnershi"&amp;"p with TravelodgeDate of stay: August 
2019HelpfulShare")</f>
        <v>Comfortable stay in Central LondonWhen we stay for short breaks in Central London we always find Travelodge 
Waterloo convenient and suitable for our needs. Located just south of 
Waterloo Bridge near the Old Vic Theatre, it is possible to walk to most 
Central London attractions. The room we had on the 5th floor facing a side 
road was spacious, clean, and quiet. We did not eat at the hotel. Overall 
another comfortable stay, and we will return next time in London.Read 
moreReview collected in partnership with TravelodgeDate of stay: August 
2019HelpfulShare</v>
      </c>
      <c r="I55" s="21"/>
      <c r="J55" s="21" t="str">
        <f ca="1">IFERROR(__xludf.DUMMYFUNCTION("IMPORTXML(C55, $J$1)"),"TandTravel wrote a review Aug 2019Valencia, Spain497 contributions82 
helpful votes")</f>
        <v>TandTravel wrote a review Aug 2019Valencia, Spain497 contributions82 
helpful votes</v>
      </c>
      <c r="K55" s="4" t="str">
        <f ca="1">IFERROR(__xludf.DUMMYFUNCTION("""COMPUTED_VALUE"""),"One of the best Travelodge in LondonHaving stayed in many Travelodge hotels around london, I have to say this 
is one of the best ones we've been too. EXCELLENT value for money, modern 
renovated rooms, very clean, SUPER helpful staff and comfy beds. Also"&amp;" very 
quiet at nights, air conditioning also is a great plus!Read moreDate of 
stay: August 2019HelpfulShare")</f>
        <v>One of the best Travelodge in LondonHaving stayed in many Travelodge hotels around london, I have to say this 
is one of the best ones we've been too. EXCELLENT value for money, modern 
renovated rooms, very clean, SUPER helpful staff and comfy beds. Also very 
quiet at nights, air conditioning also is a great plus!Read moreDate of 
stay: August 2019HelpfulShare</v>
      </c>
      <c r="L55" s="21"/>
      <c r="M55" s="21" t="str">
        <f ca="1">IFERROR(__xludf.DUMMYFUNCTION("IMPORTXML(C55, $M$1)"),"07nich wrote a review Aug 2019Cheshire, United Kingdom1 contribution")</f>
        <v>07nich wrote a review Aug 2019Cheshire, United Kingdom1 contribution</v>
      </c>
      <c r="N55" s="4" t="str">
        <f ca="1">IFERROR(__xludf.DUMMYFUNCTION("""COMPUTED_VALUE"""),"Family short break sightseeing.We had never been to London before hence we weren't too sure what to expect 
and we were a bit apprehensive about the area, travelling around etc... all 
needless worry. We arrived midday and booked straight in to our small "&amp;"
family room which was excellent, modern looking, plenty big enough and 
spotless. We dropped our bags and headed off, there were bus stops a plenty 
within 1-5 mins walk from the hotel but due to the hotels central location 
and beautiful weather we chos"&amp;"e to walk to most points of interest. 
Breakfast was fantastic, a huge choice on offer and the food was of a high 
standard, Kuh &amp; Liliana were very friendly &amp; helpful, making us feel very 
welcome each morning. Dinner was offered at a very reasonable pri"&amp;"ce indeed, 
they serve from 12-12am which was very handy when…Read moreDate of stay: 
August 20191 Helpful voteHelpfulShare")</f>
        <v>Family short break sightseeing.We had never been to London before hence we weren't too sure what to expect 
and we were a bit apprehensive about the area, travelling around etc... all 
needless worry. We arrived midday and booked straight in to our small 
family room which was excellent, modern looking, plenty big enough and 
spotless. We dropped our bags and headed off, there were bus stops a plenty 
within 1-5 mins walk from the hotel but due to the hotels central location 
and beautiful weather we chose to walk to most points of interest. 
Breakfast was fantastic, a huge choice on offer and the food was of a high 
standard, Kuh &amp; Liliana were very friendly &amp; helpful, making us feel very 
welcome each morning. Dinner was offered at a very reasonable price indeed, 
they serve from 12-12am which was very handy when…Read moreDate of stay: 
August 20191 Helpful voteHelpfulShare</v>
      </c>
      <c r="O55" s="21"/>
      <c r="P55" s="21" t="str">
        <f ca="1">IFERROR(__xludf.DUMMYFUNCTION("IMPORTXML(C55, $P$1)"),"sellykorea wrote a review Aug 20192 contributions")</f>
        <v>sellykorea wrote a review Aug 20192 contributions</v>
      </c>
      <c r="Q55" s="4" t="str">
        <f ca="1">IFERROR(__xludf.DUMMYFUNCTION("""COMPUTED_VALUE"""),"great hotel!It's great to stay with children.Good location, cleanliness, and free 
breakfast for children.The variety of food for breakfast and the size of 
the family room are large.If you want to stay, you will have to make an 
early reservation.That wa"&amp;"y, you can get a room cheaply.Read moreReview 
collected in partnership with TravelodgeDate of stay: August 
2019HelpfulShare")</f>
        <v>great hotel!It's great to stay with children.Good location, cleanliness, and free 
breakfast for children.The variety of food for breakfast and the size of 
the family room are large.If you want to stay, you will have to make an 
early reservation.That way, you can get a room cheaply.Read moreReview 
collected in partnership with TravelodgeDate of stay: August 
2019HelpfulShare</v>
      </c>
      <c r="U55" s="4" t="str">
        <f ca="1">IFERROR(__xludf.DUMMYFUNCTION("IMPORTXML(C56,$U$1)"),"Loading...")</f>
        <v>Loading...</v>
      </c>
    </row>
    <row r="56" spans="1:21" ht="15">
      <c r="A56" s="25" t="s">
        <v>4964</v>
      </c>
      <c r="B56" s="17" t="s">
        <v>126</v>
      </c>
      <c r="C56" s="23" t="str">
        <f t="shared" si="0"/>
        <v>https://www.tripadvisor.co.uk/Hotel_Review-g186338-d1812157-Reviews-or270-Travelodge_London_Waterloo_Hotel-London_England.html#REVIEWS</v>
      </c>
      <c r="D56" s="4" t="str">
        <f ca="1">IFERROR(__xludf.DUMMYFUNCTION("IMPORTXML(C56,$D$1)"),"Nanny doorstep wrote a review Aug 20191 contribution")</f>
        <v>Nanny doorstep wrote a review Aug 20191 contribution</v>
      </c>
      <c r="E56" s="4" t="str">
        <f ca="1">IFERROR(__xludf.DUMMYFUNCTION("""COMPUTED_VALUE"""),"Sons hospital stayThe staff at this hotel go above and beyond their duties for their 
customers. Especially kUH. Will definitely stay here again and recommend to 
others. We had our young granddaughter with us who they catered for in 
every wayRead moreDa"&amp;"te of stay: August 2019HelpfulShare")</f>
        <v>Sons hospital stayThe staff at this hotel go above and beyond their duties for their 
customers. Especially kUH. Will definitely stay here again and recommend to 
others. We had our young granddaughter with us who they catered for in 
every wayRead moreDate of stay: August 2019HelpfulShare</v>
      </c>
      <c r="G56" s="24" t="str">
        <f ca="1">IFERROR(__xludf.DUMMYFUNCTION("IMPORTXML(C56, $G$1)"),"Humey3 wrote a review Aug 2019Worthing, United Kingdom8 contributions4 
helpful votes")</f>
        <v>Humey3 wrote a review Aug 2019Worthing, United Kingdom8 contributions4 
helpful votes</v>
      </c>
      <c r="H56" s="4" t="str">
        <f ca="1">IFERROR(__xludf.DUMMYFUNCTION("""COMPUTED_VALUE"""),"+1")</f>
        <v>+1</v>
      </c>
      <c r="I56" s="21" t="str">
        <f ca="1">IFERROR(__xludf.DUMMYFUNCTION("""COMPUTED_VALUE"""),"Clean, value for money, friendly staff, close to station &amp; attractions!I've just come back from a 4 night stay with my children, staying in a 
small family room on the 1st floor. Room was absolutely spotless with 
air-con. We ate buffet breakfast everyday"&amp;", which was delicious. Cereal, 
toast, croissant, fruit, yoghurt and a full range of English breakfast 
items. Eat as much as you like! The breakfast staff were welcoming and 
helpful, especially Kuh &amp; Sam. The hotel itself is situated 5 mins walk 
from W"&amp;"aterloo station so ideal base for mainline and underground stations. 
It is also walkable to the southbank, London eye, dungeons, Shrek 
experience &amp; sealife. There is a cut-through to the river via Lower Marsh, 
which you can get to if you go through the"&amp;" little park. Lower Marsh has 
lots of bars, restaurants, and an Iceland! There is an alleyway off…Read 
moreDate of stay: August 2019HelpfulShare")</f>
        <v>Clean, value for money, friendly staff, close to station &amp; attractions!I've just come back from a 4 night stay with my children, staying in a 
small family room on the 1st floor. Room was absolutely spotless with 
air-con. We ate buffet breakfast everyday, which was delicious. Cereal, 
toast, croissant, fruit, yoghurt and a full range of English breakfast 
items. Eat as much as you like! The breakfast staff were welcoming and 
helpful, especially Kuh &amp; Sam. The hotel itself is situated 5 mins walk 
from Waterloo station so ideal base for mainline and underground stations. 
It is also walkable to the southbank, London eye, dungeons, Shrek 
experience &amp; sealife. There is a cut-through to the river via Lower Marsh, 
which you can get to if you go through the little park. Lower Marsh has 
lots of bars, restaurants, and an Iceland! There is an alleyway off…Read 
moreDate of stay: August 2019HelpfulShare</v>
      </c>
      <c r="J56" s="21" t="str">
        <f ca="1">IFERROR(__xludf.DUMMYFUNCTION("IMPORTXML(C56, $J$1)"),"#N/A")</f>
        <v>#N/A</v>
      </c>
      <c r="L56" s="21"/>
      <c r="M56" s="21" t="str">
        <f ca="1">IFERROR(__xludf.DUMMYFUNCTION("IMPORTXML(C56, $M$1)"),"kateksc wrote a review Aug 2019Worcester, United Kingdom11 contributions5 
helpful votes")</f>
        <v>kateksc wrote a review Aug 2019Worcester, United Kingdom11 contributions5 
helpful votes</v>
      </c>
      <c r="N56" s="4" t="str">
        <f ca="1">IFERROR(__xludf.DUMMYFUNCTION("""COMPUTED_VALUE"""),"Exactly what was requiredThe hotel was in a good central location, clean, welcoming, efficient. 
Provided everything we needed at a reasonable cost. Have stayed there 
before and will again, as it is a good base for seeing London. Very 
happy.Read moreRev"&amp;"iew collected in partnership with TravelodgeDate of stay: 
August 2019HelpfulShare")</f>
        <v>Exactly what was requiredThe hotel was in a good central location, clean, welcoming, efficient. 
Provided everything we needed at a reasonable cost. Have stayed there 
before and will again, as it is a good base for seeing London. Very 
happy.Read moreReview collected in partnership with TravelodgeDate of stay: 
August 2019HelpfulShare</v>
      </c>
      <c r="O56" s="21"/>
      <c r="P56" s="21" t="str">
        <f ca="1">IFERROR(__xludf.DUMMYFUNCTION("IMPORTXML(C56, $P$1)"),"mummyfi2019 wrote a review Aug 2019Lincoln, United Kingdom6 contributions")</f>
        <v>mummyfi2019 wrote a review Aug 2019Lincoln, United Kingdom6 contributions</v>
      </c>
      <c r="Q56" s="4" t="str">
        <f ca="1">IFERROR(__xludf.DUMMYFUNCTION("""COMPUTED_VALUE"""),"Great budget hotelGreat budget hotel, very good sized room &amp; bed, very clean, very quiet, air 
con was fantastic! Great location for London Eye and to the rest of 
London’s attractions. Only let down was the breakfast! The hot items 
weren’t hot, there wa"&amp;"s virtually nothing for gluten and dairy intolerant 
guests to eat, so paying £18 for a plate of beans and two croissants 
stopped us from eating there again! We found so many other fab places to 
eat though that it did us a favour! I would definitely sta"&amp;"y there again, 
just not partake in breakfast!!! Oh and take your own pillow if you like 
soft squishy ones, these are like bricks!!!Read moreReview collected in 
partnership with TravelodgeDate of stay: August 2019HelpfulShare")</f>
        <v>Great budget hotelGreat budget hotel, very good sized room &amp; bed, very clean, very quiet, air 
con was fantastic! Great location for London Eye and to the rest of 
London’s attractions. Only let down was the breakfast! The hot items 
weren’t hot, there was virtually nothing for gluten and dairy intolerant 
guests to eat, so paying £18 for a plate of beans and two croissants 
stopped us from eating there again! We found so many other fab places to 
eat though that it did us a favour! I would definitely stay there again, 
just not partake in breakfast!!! Oh and take your own pillow if you like 
soft squishy ones, these are like bricks!!!Read moreReview collected in 
partnership with TravelodgeDate of stay: August 2019HelpfulShare</v>
      </c>
      <c r="U56" s="4" t="str">
        <f ca="1">IFERROR(__xludf.DUMMYFUNCTION("IMPORTXML(C57,$U$1)"),"Loading...")</f>
        <v>Loading...</v>
      </c>
    </row>
    <row r="57" spans="1:21" ht="15">
      <c r="A57" s="25" t="s">
        <v>5007</v>
      </c>
      <c r="B57" s="17" t="s">
        <v>126</v>
      </c>
      <c r="C57" s="23" t="str">
        <f t="shared" si="0"/>
        <v>https://www.tripadvisor.co.uk/Hotel_Review-g186338-d1812157-Reviews-or275-Travelodge_London_Waterloo_Hotel-London_England.html#REVIEWS</v>
      </c>
      <c r="D57" s="4" t="str">
        <f ca="1">IFERROR(__xludf.DUMMYFUNCTION("IMPORTXML(C57,$D$1)"),"glosholidaymaker998 wrote a review Aug 2019Gloucester, United Kingdom15 
contributions22 helpful votes")</f>
        <v>glosholidaymaker998 wrote a review Aug 2019Gloucester, United Kingdom15 
contributions22 helpful votes</v>
      </c>
      <c r="E57" s="4" t="str">
        <f ca="1">IFERROR(__xludf.DUMMYFUNCTION("""COMPUTED_VALUE"""),"Family mini break to LondonGreat location! We had booked tickets for Sea Life Centre and Shrek 
Experience and this hotel was around a 20 minute walk to these attractions. 
We booked 2 family rooms for 2 adults and 4 children. Rooms were larger 
than expe"&amp;"cted, spotlessly clean with plenty of towels and extra pillows if 
needed. We borrowed a hair dryer from reception free of charge. Breakfast 
was brilliant! Kids eat free breakfast and there was plenty of choice - 
full English and continental. Good selec"&amp;"tion of coffee and tea. Lovely cold 
fruit juices and iced water. The restaurant was clean. Even though it was 
very busy, staff cleared and cleaned the tables quickly. We had the same 
staff both mornings - Juliana, Judith and Yesica. They always gave us"&amp;" and 
especially the children a warm welcome. When our 6…Read moreDate of stay: 
August 2019HelpfulShare")</f>
        <v>Family mini break to LondonGreat location! We had booked tickets for Sea Life Centre and Shrek 
Experience and this hotel was around a 20 minute walk to these attractions. 
We booked 2 family rooms for 2 adults and 4 children. Rooms were larger 
than expected, spotlessly clean with plenty of towels and extra pillows if 
needed. We borrowed a hair dryer from reception free of charge. Breakfast 
was brilliant! Kids eat free breakfast and there was plenty of choice - 
full English and continental. Good selection of coffee and tea. Lovely cold 
fruit juices and iced water. The restaurant was clean. Even though it was 
very busy, staff cleared and cleaned the tables quickly. We had the same 
staff both mornings - Juliana, Judith and Yesica. They always gave us and 
especially the children a warm welcome. When our 6…Read moreDate of stay: 
August 2019HelpfulShare</v>
      </c>
      <c r="G57" s="24" t="str">
        <f ca="1">IFERROR(__xludf.DUMMYFUNCTION("IMPORTXML(C57, $G$1)"),"hiebertkaitlyn wrote a review Aug 2019Worcester, United Kingdom15 
contributions4 helpful votes")</f>
        <v>hiebertkaitlyn wrote a review Aug 2019Worcester, United Kingdom15 
contributions4 helpful votes</v>
      </c>
      <c r="H57" s="4" t="str">
        <f ca="1">IFERROR(__xludf.DUMMYFUNCTION("""COMPUTED_VALUE"""),"Clean and FriendlyWhen we arrived they were able to store our luggage before check in. The 
rooms were extremely clean and the beds were comfortable. The bedrooms 
didn't come with hair driers but you're able to ask for them at reception 
which is open 24"&amp;" hours. It's also located in a convenient location and 
extremely accessible from various locations throughout London.Read moreDate 
of stay: August 2019HelpfulShare")</f>
        <v>Clean and FriendlyWhen we arrived they were able to store our luggage before check in. The 
rooms were extremely clean and the beds were comfortable. The bedrooms 
didn't come with hair driers but you're able to ask for them at reception 
which is open 24 hours. It's also located in a convenient location and 
extremely accessible from various locations throughout London.Read moreDate 
of stay: August 2019HelpfulShare</v>
      </c>
      <c r="I57" s="21"/>
      <c r="J57" s="21" t="str">
        <f ca="1">IFERROR(__xludf.DUMMYFUNCTION("IMPORTXML(C57, $J$1)"),"#N/A")</f>
        <v>#N/A</v>
      </c>
      <c r="L57" s="21"/>
      <c r="M57" s="21" t="str">
        <f ca="1">IFERROR(__xludf.DUMMYFUNCTION("IMPORTXML(C57, $M$1)"),"Julian D wrote a review Aug 2019London, United Kingdom2 contributions")</f>
        <v>Julian D wrote a review Aug 2019London, United Kingdom2 contributions</v>
      </c>
      <c r="N57" s="4" t="str">
        <f ca="1">IFERROR(__xludf.DUMMYFUNCTION("""COMPUTED_VALUE"""),"Could have been betterGood location but stay ruin by poor aspects of the hotel: had to change 
rooms due to broken toilet seat and no TV. 2nd room had leaking air-con 
which we have to turn off. No Wi-Fi - paid for it but it stopped after the 
30 mins fre"&amp;"e. Staff blamed our equipment! Poor.Read moreReview collected in 
partnership with TravelodgeDate of stay: August 2019HelpfulShare")</f>
        <v>Could have been betterGood location but stay ruin by poor aspects of the hotel: had to change 
rooms due to broken toilet seat and no TV. 2nd room had leaking air-con 
which we have to turn off. No Wi-Fi - paid for it but it stopped after the 
30 mins free. Staff blamed our equipment! Poor.Read moreReview collected in 
partnership with TravelodgeDate of stay: August 2019HelpfulShare</v>
      </c>
      <c r="O57" s="21"/>
      <c r="P57" s="21" t="str">
        <f ca="1">IFERROR(__xludf.DUMMYFUNCTION("IMPORTXML(C57, $P$1)"),"Carme B wrote a review Aug 2019Palma de Mallorca, Spain6 contributions1 
helpful vote")</f>
        <v>Carme B wrote a review Aug 2019Palma de Mallorca, Spain6 contributions1 
helpful vote</v>
      </c>
      <c r="Q57" s="4" t="str">
        <f ca="1">IFERROR(__xludf.DUMMYFUNCTION("""COMPUTED_VALUE"""),"Great value for moneyIt's been a really nice experience. Great value for money. The breakfast 
perhaps was a bit overpriced, but we also had dinner at the restaurant and 
it was very nice. As for the rooms they had everything we could wish for, 
perhaps a"&amp;" mini fridge would have been nice, and we would have loved to have 
a switch to turn off the toilet smell extractor. The only solution we found 
was to keep the toilet door closed at all times. Aside from that, very good 
hotel! Close to buses and undergr"&amp;"ounds, only 5 min to waterloo station. 
When we go back to London, we'll probably choose this same hotel.Read 
moreReview collected in partnership with TravelodgeDate of stay: August 
2019HelpfulShare")</f>
        <v>Great value for moneyIt's been a really nice experience. Great value for money. The breakfast 
perhaps was a bit overpriced, but we also had dinner at the restaurant and 
it was very nice. As for the rooms they had everything we could wish for, 
perhaps a mini fridge would have been nice, and we would have loved to have 
a switch to turn off the toilet smell extractor. The only solution we found 
was to keep the toilet door closed at all times. Aside from that, very good 
hotel! Close to buses and undergrounds, only 5 min to waterloo station. 
When we go back to London, we'll probably choose this same hotel.Read 
moreReview collected in partnership with TravelodgeDate of stay: August 
2019HelpfulShare</v>
      </c>
      <c r="U57" s="4" t="str">
        <f ca="1">IFERROR(__xludf.DUMMYFUNCTION("IMPORTXML(C58,$U$1)"),"Loading...")</f>
        <v>Loading...</v>
      </c>
    </row>
    <row r="58" spans="1:21" ht="15">
      <c r="A58" s="25" t="s">
        <v>5072</v>
      </c>
      <c r="B58" s="17" t="s">
        <v>126</v>
      </c>
      <c r="C58" s="23" t="str">
        <f t="shared" si="0"/>
        <v>https://www.tripadvisor.co.uk/Hotel_Review-g186338-d1812157-Reviews-or280-Travelodge_London_Waterloo_Hotel-London_England.html#REVIEWS</v>
      </c>
      <c r="D58" s="4" t="str">
        <f ca="1">IFERROR(__xludf.DUMMYFUNCTION("IMPORTXML(C58,$D$1)"),"Mark D wrote a review Aug 2019Gloucester, United Kingdom20 contributions17 
helpful votes")</f>
        <v>Mark D wrote a review Aug 2019Gloucester, United Kingdom20 contributions17 
helpful votes</v>
      </c>
      <c r="E58" s="4" t="str">
        <f ca="1">IFERROR(__xludf.DUMMYFUNCTION("""COMPUTED_VALUE"""),"Surprisingly nice hotelThis was actually our first time staying in a travelodge (we're a family of 
5) and I'll admit to having had fairly low expectations. My pre conceptions 
were unfounded, as this was a surprisingly nice - albeit functional and not 
l"&amp;"uxury - hotel. The rooms were clean and comfortable, and as equipped as 
you need them to be if using the hotel as a base for exploring the city. 
The staff were exemplary; polite, friendly, helpful. The location was 
superb for exploring this side of tow"&amp;"n. In all, I'd highly recommend this 
hotel as a base for your London sightseeing at a more reasonable price then 
most of the other hotels nearby (many of which Ive stayed at on business, 
and none of which are significantly better). I'd use this hotel a"&amp;"gain, and 
after my experience here, I'd try other…Read moreDate of stay: August 
2019HelpfulShare")</f>
        <v>Surprisingly nice hotelThis was actually our first time staying in a travelodge (we're a family of 
5) and I'll admit to having had fairly low expectations. My pre conceptions 
were unfounded, as this was a surprisingly nice - albeit functional and not 
luxury - hotel. The rooms were clean and comfortable, and as equipped as 
you need them to be if using the hotel as a base for exploring the city. 
The staff were exemplary; polite, friendly, helpful. The location was 
superb for exploring this side of town. In all, I'd highly recommend this 
hotel as a base for your London sightseeing at a more reasonable price then 
most of the other hotels nearby (many of which Ive stayed at on business, 
and none of which are significantly better). I'd use this hotel again, and 
after my experience here, I'd try other…Read moreDate of stay: August 
2019HelpfulShare</v>
      </c>
      <c r="G58" s="24" t="str">
        <f ca="1">IFERROR(__xludf.DUMMYFUNCTION("IMPORTXML(C58, $G$1)"),"Laura Tetley wrote a review Aug 2019Melbourne, Australia3 contributions")</f>
        <v>Laura Tetley wrote a review Aug 2019Melbourne, Australia3 contributions</v>
      </c>
      <c r="H58" s="4" t="str">
        <f ca="1">IFERROR(__xludf.DUMMYFUNCTION("""COMPUTED_VALUE"""),"Great stayStayed here over night with a friend and we both loved it, the room was 
clean and modern and staff were helpful and friendly. The location is 
excellent, 10 minute walk from Southbank and close to convenience shops. We 
got a really good deal o"&amp;"n the price and would definitely stay here 
again!Read moreDate of stay: July 2019HelpfulShare")</f>
        <v>Great stayStayed here over night with a friend and we both loved it, the room was 
clean and modern and staff were helpful and friendly. The location is 
excellent, 10 minute walk from Southbank and close to convenience shops. We 
got a really good deal on the price and would definitely stay here 
again!Read moreDate of stay: July 2019HelpfulShare</v>
      </c>
      <c r="I58" s="21"/>
      <c r="J58" s="21" t="str">
        <f ca="1">IFERROR(__xludf.DUMMYFUNCTION("IMPORTXML(C58, $J$1)"),"Dabeast1974 wrote a review Aug 20192 contributions")</f>
        <v>Dabeast1974 wrote a review Aug 20192 contributions</v>
      </c>
      <c r="K58" s="4" t="str">
        <f ca="1">IFERROR(__xludf.DUMMYFUNCTION("""COMPUTED_VALUE"""),"OutstandingWe used this hotel for the first time as a family holiday. Our hopes and 
expectations were exceeded. The general service provided by the staff was 
fantastic. From front desk at check in, to breakfast, to bar staff, to 
checking out. The hotel"&amp;" is very clean, with a comprehensive breakfast to 
meet most people's needs.Thanks to all those that supported us during our 
stay, really appreciated.Read moreDate of stay: August 2019HelpfulShare")</f>
        <v>OutstandingWe used this hotel for the first time as a family holiday. Our hopes and 
expectations were exceeded. The general service provided by the staff was 
fantastic. From front desk at check in, to breakfast, to bar staff, to 
checking out. The hotel is very clean, with a comprehensive breakfast to 
meet most people's needs.Thanks to all those that supported us during our 
stay, really appreciated.Read moreDate of stay: August 2019HelpfulShare</v>
      </c>
      <c r="L58" s="21"/>
      <c r="M58" s="21" t="str">
        <f ca="1">IFERROR(__xludf.DUMMYFUNCTION("IMPORTXML(C58, $M$1)"),"Jacqueline H wrote a review Aug 20194 contributions")</f>
        <v>Jacqueline H wrote a review Aug 20194 contributions</v>
      </c>
      <c r="N58" s="4" t="str">
        <f ca="1">IFERROR(__xludf.DUMMYFUNCTION("""COMPUTED_VALUE"""),"Good value in great locationTravelodge are improving their hotels to a much better standard. This one 
is one of the better ones I have stayed in and the breakfast was very good 
- much improved. This is a good budget hotel in a great location near to 
Wa"&amp;"terloo with easy access to tube, buses and a walk to the river.Read 
moreReview collected in partnership with TravelodgeDate of stay: August 
2019HelpfulShare")</f>
        <v>Good value in great locationTravelodge are improving their hotels to a much better standard. This one 
is one of the better ones I have stayed in and the breakfast was very good 
- much improved. This is a good budget hotel in a great location near to 
Waterloo with easy access to tube, buses and a walk to the river.Read 
moreReview collected in partnership with TravelodgeDate of stay: August 
2019HelpfulShare</v>
      </c>
      <c r="O58" s="21"/>
      <c r="P58" s="21" t="str">
        <f ca="1">IFERROR(__xludf.DUMMYFUNCTION("IMPORTXML(C58, $P$1)"),"Svenja H wrote a review Aug 20193 contributions")</f>
        <v>Svenja H wrote a review Aug 20193 contributions</v>
      </c>
      <c r="Q58" s="4" t="str">
        <f ca="1">IFERROR(__xludf.DUMMYFUNCTION("""COMPUTED_VALUE"""),"Absolutely great!We stayed in this hotel for our vacation and are absolutely happy. The room 
was clean and the furniture nice. The staff was friendly and always 
helpful. Ms Kuh made the breakfast very enjoyable. I can absolutely 
recommend trying the br"&amp;"eakfast as it is really tasty. Thank you so much for 
a great vacation stay.Read moreDate of stay: August 2019HelpfulShare")</f>
        <v>Absolutely great!We stayed in this hotel for our vacation and are absolutely happy. The room 
was clean and the furniture nice. The staff was friendly and always 
helpful. Ms Kuh made the breakfast very enjoyable. I can absolutely 
recommend trying the breakfast as it is really tasty. Thank you so much for 
a great vacation stay.Read moreDate of stay: August 2019HelpfulShare</v>
      </c>
      <c r="U58" s="4" t="str">
        <f ca="1">IFERROR(__xludf.DUMMYFUNCTION("IMPORTXML(C59,$U$1)"),"Loading...")</f>
        <v>Loading...</v>
      </c>
    </row>
    <row r="59" spans="1:21" ht="15">
      <c r="A59" s="5" t="s">
        <v>5124</v>
      </c>
      <c r="B59" s="17" t="s">
        <v>126</v>
      </c>
      <c r="C59" s="23" t="str">
        <f t="shared" si="0"/>
        <v>https://www.tripadvisor.co.uk/Hotel_Review-g186338-d1812157-Reviews-or285-Travelodge_London_Waterloo_Hotel-London_England.html#REVIEWS</v>
      </c>
      <c r="D59" s="4" t="str">
        <f ca="1">IFERROR(__xludf.DUMMYFUNCTION("IMPORTXML(C59,$D$1)"),"_lindakeast wrote a review Aug 2019Par, United Kingdom2 contributions")</f>
        <v>_lindakeast wrote a review Aug 2019Par, United Kingdom2 contributions</v>
      </c>
      <c r="E59" s="4" t="str">
        <f ca="1">IFERROR(__xludf.DUMMYFUNCTION("""COMPUTED_VALUE"""),"Family stayFriendly and accommodating staff. Kuh and her dining room team lovely.Very 
comfy bed, plenty of room and aids in the bathroom for elderly mother. 
Clean, superb choice at breakfast. Great location. Will stay here next 
time.Read moreReview col"&amp;"lected in partnership with TravelodgeDate of stay: 
August 2019HelpfulShare")</f>
        <v>Family stayFriendly and accommodating staff. Kuh and her dining room team lovely.Very 
comfy bed, plenty of room and aids in the bathroom for elderly mother. 
Clean, superb choice at breakfast. Great location. Will stay here next 
time.Read moreReview collected in partnership with TravelodgeDate of stay: 
August 2019HelpfulShare</v>
      </c>
      <c r="G59" s="24" t="str">
        <f ca="1">IFERROR(__xludf.DUMMYFUNCTION("IMPORTXML(C59, $G$1)"),"password1Cardiff wrote a review Aug 2019Cardiff, United Kingdom70 
contributions35 helpful votes")</f>
        <v>password1Cardiff wrote a review Aug 2019Cardiff, United Kingdom70 
contributions35 helpful votes</v>
      </c>
      <c r="H59" s="4" t="str">
        <f ca="1">IFERROR(__xludf.DUMMYFUNCTION("""COMPUTED_VALUE"""),"Birthday weekend treatArrived Friday 9 August for a long weekend birthday treat. Everything was 
exceptional. Easy and friendly check in, lovely clean large room, spotless 
bathroom (always on my check list!). Room on the 8th floor with a view 
which was "&amp;"lovely and quiet, no noise from outside even with the window 
open. Great location just 10 mins walk from Waterloo Station (Lambeth North 
underground nearby also which we found was quicker to get to). A 15 minute 
walk from the hotel and your at Westmins"&amp;"ter - perfect location for 
sightseeing the wonderful things London has to offer. Hotel was excellent - 
we had dinner there on the Friday evening. Great value for money and really 
tasty. Served by the lovely Arteyo (a credit to your organisation). All i"&amp;"n 
all a great stay and would definitely stay…Read moreDate of stay: August 
2019HelpfulShare")</f>
        <v>Birthday weekend treatArrived Friday 9 August for a long weekend birthday treat. Everything was 
exceptional. Easy and friendly check in, lovely clean large room, spotless 
bathroom (always on my check list!). Room on the 8th floor with a view 
which was lovely and quiet, no noise from outside even with the window 
open. Great location just 10 mins walk from Waterloo Station (Lambeth North 
underground nearby also which we found was quicker to get to). A 15 minute 
walk from the hotel and your at Westminster - perfect location for 
sightseeing the wonderful things London has to offer. Hotel was excellent - 
we had dinner there on the Friday evening. Great value for money and really 
tasty. Served by the lovely Arteyo (a credit to your organisation). All in 
all a great stay and would definitely stay…Read moreDate of stay: August 
2019HelpfulShare</v>
      </c>
      <c r="I59" s="21"/>
      <c r="J59" s="21" t="str">
        <f ca="1">IFERROR(__xludf.DUMMYFUNCTION("IMPORTXML(C59, $J$1)"),"cjalilou wrote a review Aug 2019Isle of Wight, United Kingdom2 contributions")</f>
        <v>cjalilou wrote a review Aug 2019Isle of Wight, United Kingdom2 contributions</v>
      </c>
      <c r="K59" s="4" t="str">
        <f ca="1">IFERROR(__xludf.DUMMYFUNCTION("""COMPUTED_VALUE"""),"One night stayAir in the drains making horrendous noise in the night and early morning. 
Blackout curtains poorly fitted. Stifling hot room for breakfast. Expected 
more for a family treat! Paid nearly £200 for a night and had little 
sleep.Read moreRevie"&amp;"w collected in partnership with TravelodgeDate of stay: 
August 2019HelpfulShare")</f>
        <v>One night stayAir in the drains making horrendous noise in the night and early morning. 
Blackout curtains poorly fitted. Stifling hot room for breakfast. Expected 
more for a family treat! Paid nearly £200 for a night and had little 
sleep.Read moreReview collected in partnership with TravelodgeDate of stay: 
August 2019HelpfulShare</v>
      </c>
      <c r="L59" s="21"/>
      <c r="M59" s="21" t="str">
        <f ca="1">IFERROR(__xludf.DUMMYFUNCTION("IMPORTXML(C59, $M$1)"),"JJ2103 wrote a review Aug 2019Basingstoke, United Kingdom261 
contributions20 helpful votes")</f>
        <v>JJ2103 wrote a review Aug 2019Basingstoke, United Kingdom261 
contributions20 helpful votes</v>
      </c>
      <c r="N59" s="4" t="str">
        <f ca="1">IFERROR(__xludf.DUMMYFUNCTION("""COMPUTED_VALUE"""),"Family stayGreat stay. Friendly staff very welcoming. Arrived early and staff let us 
leave our cases while we went sight seeing. Room was very big had plenty of 
room we had a double bed and two singles. Found the room a little warm but 
staff provided a"&amp;" fan. The Hotel was very clean in all areas. We also used 
the bar area. We stayed in Room 810 and had a view of London eye. Breakfast 
was very nice and again staff very friendly and helpful. We was allowed to 
leave cases after we checked out while we w"&amp;"ent sight seeing. Hotel is only 
a short walk from Waterloo station. Next time in London would definitely 
book again and recommend to friends and family.Read moreDate of stay: 
August 20191 Helpful voteHelpfulShare")</f>
        <v>Family stayGreat stay. Friendly staff very welcoming. Arrived early and staff let us 
leave our cases while we went sight seeing. Room was very big had plenty of 
room we had a double bed and two singles. Found the room a little warm but 
staff provided a fan. The Hotel was very clean in all areas. We also used 
the bar area. We stayed in Room 810 and had a view of London eye. Breakfast 
was very nice and again staff very friendly and helpful. We was allowed to 
leave cases after we checked out while we went sight seeing. Hotel is only 
a short walk from Waterloo station. Next time in London would definitely 
book again and recommend to friends and family.Read moreDate of stay: 
August 20191 Helpful voteHelpfulShare</v>
      </c>
      <c r="O59" s="21"/>
      <c r="P59" s="21" t="str">
        <f ca="1">IFERROR(__xludf.DUMMYFUNCTION("IMPORTXML(C59, $P$1)"),"#N/A")</f>
        <v>#N/A</v>
      </c>
      <c r="U59" s="4" t="str">
        <f ca="1">IFERROR(__xludf.DUMMYFUNCTION("IMPORTXML(C60,$U$1)"),"Loading...")</f>
        <v>Loading...</v>
      </c>
    </row>
    <row r="60" spans="1:21" ht="15">
      <c r="A60" s="25" t="s">
        <v>5166</v>
      </c>
      <c r="B60" s="17" t="s">
        <v>126</v>
      </c>
      <c r="C60" s="23" t="str">
        <f t="shared" si="0"/>
        <v>https://www.tripadvisor.co.uk/Hotel_Review-g186338-d1812157-Reviews-or290-Travelodge_London_Waterloo_Hotel-London_England.html#REVIEWS</v>
      </c>
      <c r="D60" s="4" t="str">
        <f ca="1">IFERROR(__xludf.DUMMYFUNCTION("IMPORTXML(C60,$D$1)"),"Pennie Marshall wrote a review Aug 2019Stoke-on-Trent, United Kingdom3 
contributions")</f>
        <v>Pennie Marshall wrote a review Aug 2019Stoke-on-Trent, United Kingdom3 
contributions</v>
      </c>
      <c r="E60" s="4" t="str">
        <f ca="1">IFERROR(__xludf.DUMMYFUNCTION("""COMPUTED_VALUE"""),"Great location !!Great service, lovely food, very helpful and friendly especially Kuh, 
Sunju, Andreea and the very bubbly lady behind the bar working on Friday 
night(09/08) sorry didn't catch the name. Anyway thankyou so much for the 
hospitality..Will "&amp;"definitely return xRead moreDate of stay: August 
2019HelpfulShare")</f>
        <v>Great location !!Great service, lovely food, very helpful and friendly especially Kuh, 
Sunju, Andreea and the very bubbly lady behind the bar working on Friday 
night(09/08) sorry didn't catch the name. Anyway thankyou so much for the 
hospitality..Will definitely return xRead moreDate of stay: August 
2019HelpfulShare</v>
      </c>
      <c r="G60" s="24" t="str">
        <f ca="1">IFERROR(__xludf.DUMMYFUNCTION("IMPORTXML(C60, $G$1)"),"#N/A")</f>
        <v>#N/A</v>
      </c>
      <c r="I60" s="21"/>
      <c r="J60" s="21" t="str">
        <f ca="1">IFERROR(__xludf.DUMMYFUNCTION("IMPORTXML(C60, $J$1)"),"Viki wrote a review Aug 20197 contributions")</f>
        <v>Viki wrote a review Aug 20197 contributions</v>
      </c>
      <c r="K60" s="4" t="str">
        <f ca="1">IFERROR(__xludf.DUMMYFUNCTION("""COMPUTED_VALUE"""),"+1")</f>
        <v>+1</v>
      </c>
      <c r="L60" s="21" t="str">
        <f ca="1">IFERROR(__xludf.DUMMYFUNCTION("""COMPUTED_VALUE"""),"Great Visit!Really good hotel and well located. You can reach the London Eye and some 
other attractions like the Big Ben, Westminster Abbey or the Downing Street 
in less than 15 minutes whrn you go by feet. The team was really kind and 
also friendly an"&amp;"d courteous. We had a really great stay and would come back 
every time!Read moreDate of stay: July 2019HelpfulShare")</f>
        <v>Great Visit!Really good hotel and well located. You can reach the London Eye and some 
other attractions like the Big Ben, Westminster Abbey or the Downing Street 
in less than 15 minutes whrn you go by feet. The team was really kind and 
also friendly and courteous. We had a really great stay and would come back 
every time!Read moreDate of stay: July 2019HelpfulShare</v>
      </c>
      <c r="M60" s="21" t="str">
        <f ca="1">IFERROR(__xludf.DUMMYFUNCTION("IMPORTXML(C60, $M$1)"),"#N/A")</f>
        <v>#N/A</v>
      </c>
      <c r="O60" s="21"/>
      <c r="P60" s="21" t="str">
        <f ca="1">IFERROR(__xludf.DUMMYFUNCTION("IMPORTXML(C60, $P$1)"),"Lia M wrote a review Aug 20191 contribution")</f>
        <v>Lia M wrote a review Aug 20191 contribution</v>
      </c>
      <c r="Q60" s="4" t="str">
        <f ca="1">IFERROR(__xludf.DUMMYFUNCTION("""COMPUTED_VALUE"""),"Miss Lia MSuper friendly staff, made us all very welcome from the minute of our 
arrival to departure. Our stay was comfortable and pleasant, and the 
central location is ideal if you want to visit all attractions in London. I 
would definitely return at "&amp;"a later visit!Read moreDate of stay: August 
2019HelpfulShare")</f>
        <v>Miss Lia MSuper friendly staff, made us all very welcome from the minute of our 
arrival to departure. Our stay was comfortable and pleasant, and the 
central location is ideal if you want to visit all attractions in London. I 
would definitely return at a later visit!Read moreDate of stay: August 
2019HelpfulShare</v>
      </c>
      <c r="U60" s="4" t="str">
        <f ca="1">IFERROR(__xludf.DUMMYFUNCTION("IMPORTXML(C61,$U$1)"),"Loading...")</f>
        <v>Loading...</v>
      </c>
    </row>
    <row r="61" spans="1:21" ht="15">
      <c r="A61" s="25" t="s">
        <v>5213</v>
      </c>
      <c r="B61" s="17" t="s">
        <v>126</v>
      </c>
      <c r="C61" s="23" t="str">
        <f t="shared" si="0"/>
        <v>https://www.tripadvisor.co.uk/Hotel_Review-g186338-d1812157-Reviews-or295-Travelodge_London_Waterloo_Hotel-London_England.html#REVIEWS</v>
      </c>
      <c r="D61" s="4" t="str">
        <f ca="1">IFERROR(__xludf.DUMMYFUNCTION("IMPORTXML(C61,$D$1)"),"Elliot wrote a review Aug 20192 contributions")</f>
        <v>Elliot wrote a review Aug 20192 contributions</v>
      </c>
      <c r="E61" s="4" t="str">
        <f ca="1">IFERROR(__xludf.DUMMYFUNCTION("""COMPUTED_VALUE"""),"Brilliant staff who were always welcoming, very accommodating and brilliant 
to talk to.Very comfortable bed and great air conditioning. Staff were amazing for the 
two nights we stayed here. Would definitely recommend staying here... very 
reasonably pri"&amp;"ced for a stay in London. They just need to get Sky Sports 
and that would have been the cherry on the top!Read moreDate of stay: 
August 2019HelpfulShare")</f>
        <v>Brilliant staff who were always welcoming, very accommodating and brilliant 
to talk to.Very comfortable bed and great air conditioning. Staff were amazing for the 
two nights we stayed here. Would definitely recommend staying here... very 
reasonably priced for a stay in London. They just need to get Sky Sports 
and that would have been the cherry on the top!Read moreDate of stay: 
August 2019HelpfulShare</v>
      </c>
      <c r="G61" s="24" t="str">
        <f ca="1">IFERROR(__xludf.DUMMYFUNCTION("IMPORTXML(C61, $G$1)"),"traceynadin wrote a review Aug 2019Wiltshire, United Kingdom20 
contributions3 helpful votes")</f>
        <v>traceynadin wrote a review Aug 2019Wiltshire, United Kingdom20 
contributions3 helpful votes</v>
      </c>
      <c r="H61" s="4" t="str">
        <f ca="1">IFERROR(__xludf.DUMMYFUNCTION("""COMPUTED_VALUE"""),"Great location for sights and transport networkWe stayed at this travelodge, which was perfect for our short break. Staff 
were great, keeping our luggage before and after check in was such a great 
help. good value too! would recommend for comfort, clear"&amp;"ness and location, 
with a hearty breakfastRead moreDate of stay: August 20191 Helpful 
voteHelpfulShare")</f>
        <v>Great location for sights and transport networkWe stayed at this travelodge, which was perfect for our short break. Staff 
were great, keeping our luggage before and after check in was such a great 
help. good value too! would recommend for comfort, clearness and location, 
with a hearty breakfastRead moreDate of stay: August 20191 Helpful 
voteHelpfulShare</v>
      </c>
      <c r="I61" s="21"/>
      <c r="J61" s="21" t="str">
        <f ca="1">IFERROR(__xludf.DUMMYFUNCTION("IMPORTXML(C61, $J$1)"),"Teresa R wrote a review Aug 2019Andover, United Kingdom253 contributions66 
helpful votes")</f>
        <v>Teresa R wrote a review Aug 2019Andover, United Kingdom253 contributions66 
helpful votes</v>
      </c>
      <c r="K61" s="4" t="str">
        <f ca="1">IFERROR(__xludf.DUMMYFUNCTION("""COMPUTED_VALUE"""),"Good hotel in great central locationMy disabled husband and I always stay here when we visit London as they 
always look after us and all his needs really well. Clean and comfortable 
rooms. They give us a large ground floor quiet room to accommodate his "&amp;"
mobility scooter and a shower instead of a bath. Lovely helpful and 
friendly staff especially Yesica who was always happy and welcoming and 
very understanding of my husbands mobility issues. Front of house very 
helpful and they arranged our taxi to an"&amp;"d from the Theatre. Good breakfast 
and the Hotel is excellent value (we only paid £85 total inc. 2 breakfasts) 
as it is only 8 minutes walk to London Eye and the buzzy Embankment. We 
shall be back!Read moreDate of stay: August 2019HelpfulShare")</f>
        <v>Good hotel in great central locationMy disabled husband and I always stay here when we visit London as they 
always look after us and all his needs really well. Clean and comfortable 
rooms. They give us a large ground floor quiet room to accommodate his 
mobility scooter and a shower instead of a bath. Lovely helpful and 
friendly staff especially Yesica who was always happy and welcoming and 
very understanding of my husbands mobility issues. Front of house very 
helpful and they arranged our taxi to and from the Theatre. Good breakfast 
and the Hotel is excellent value (we only paid £85 total inc. 2 breakfasts) 
as it is only 8 minutes walk to London Eye and the buzzy Embankment. We 
shall be back!Read moreDate of stay: August 2019HelpfulShare</v>
      </c>
      <c r="L61" s="21"/>
      <c r="M61" s="21" t="str">
        <f ca="1">IFERROR(__xludf.DUMMYFUNCTION("IMPORTXML(C61, $M$1)"),"Mark M wrote a review Aug 2019Poole, United Kingdom3 contributions")</f>
        <v>Mark M wrote a review Aug 2019Poole, United Kingdom3 contributions</v>
      </c>
      <c r="N61" s="4" t="str">
        <f ca="1">IFERROR(__xludf.DUMMYFUNCTION("""COMPUTED_VALUE"""),"Trvelodge Waterloo LondonVery good.. rooms clean and comfortable More storage and clothes hooks 
would make all the difference; Need cubby holes for storage of underwear,. 
very convenient location, staff friendly and helpful. Bed comfortable.Read 
moreRe"&amp;"view collected in partnership with TravelodgeDate of stay: August 
2019HelpfulShare")</f>
        <v>Trvelodge Waterloo LondonVery good.. rooms clean and comfortable More storage and clothes hooks 
would make all the difference; Need cubby holes for storage of underwear,. 
very convenient location, staff friendly and helpful. Bed comfortable.Read 
moreReview collected in partnership with TravelodgeDate of stay: August 
2019HelpfulShare</v>
      </c>
      <c r="O61" s="21"/>
      <c r="P61" s="21" t="str">
        <f ca="1">IFERROR(__xludf.DUMMYFUNCTION("IMPORTXML(C61, $P$1)"),"littlerichie2001uk wrote a review Aug 201920 contributions13 helpful votes")</f>
        <v>littlerichie2001uk wrote a review Aug 201920 contributions13 helpful votes</v>
      </c>
      <c r="Q61" s="4" t="str">
        <f ca="1">IFERROR(__xludf.DUMMYFUNCTION("""COMPUTED_VALUE"""),"Great stayThis hotel was great, we found this a few years back and now always use it. 
One particular staff member to praise is Kuh, who welcomed us to breakfast 
every morning and worked so hard, and never stopped. She did admin whilst 
still acknowledge"&amp;"d every guest as they left; a true asset to the hotel!Read 
moreDate of stay: August 2019HelpfulShare")</f>
        <v>Great stayThis hotel was great, we found this a few years back and now always use it. 
One particular staff member to praise is Kuh, who welcomed us to breakfast 
every morning and worked so hard, and never stopped. She did admin whilst 
still acknowledged every guest as they left; a true asset to the hotel!Read 
moreDate of stay: August 2019HelpfulShare</v>
      </c>
      <c r="U61" s="4" t="str">
        <f ca="1">IFERROR(__xludf.DUMMYFUNCTION("IMPORTXML(C62,$U$1)"),"Loading...")</f>
        <v>Loading...</v>
      </c>
    </row>
    <row r="62" spans="1:21" ht="15">
      <c r="A62" s="25" t="s">
        <v>5265</v>
      </c>
      <c r="B62" s="17" t="s">
        <v>126</v>
      </c>
      <c r="C62" s="23" t="str">
        <f t="shared" si="0"/>
        <v>https://www.tripadvisor.co.uk/Hotel_Review-g186338-d1812157-Reviews-or300-Travelodge_London_Waterloo_Hotel-London_England.html#REVIEWS</v>
      </c>
      <c r="D62" s="4" t="str">
        <f ca="1">IFERROR(__xludf.DUMMYFUNCTION("IMPORTXML(C62,$D$1)"),"Rafasuzy wrote a review Aug 2019Glasgow, United Kingdom131 contributions83 
helpful votes")</f>
        <v>Rafasuzy wrote a review Aug 2019Glasgow, United Kingdom131 contributions83 
helpful votes</v>
      </c>
      <c r="E62" s="4" t="str">
        <f ca="1">IFERROR(__xludf.DUMMYFUNCTION("""COMPUTED_VALUE"""),"Great hotel!REALLY nice staff and all helped when we checked in and also at meals. Very 
understanding that my disabled husband couldn't eat a full meal, so allowed 
him to take small amounts at no extra charge. Lovely staff at reception and 
in the dinin"&amp;"g areas, especially Judit, a lovely young lady. Great bus stops 
very near to get you into central London.Read moreDate of stay: August 
2019HelpfulShare")</f>
        <v>Great hotel!REALLY nice staff and all helped when we checked in and also at meals. Very 
understanding that my disabled husband couldn't eat a full meal, so allowed 
him to take small amounts at no extra charge. Lovely staff at reception and 
in the dining areas, especially Judit, a lovely young lady. Great bus stops 
very near to get you into central London.Read moreDate of stay: August 
2019HelpfulShare</v>
      </c>
      <c r="G62" s="24" t="str">
        <f ca="1">IFERROR(__xludf.DUMMYFUNCTION("IMPORTXML(C62, $G$1)"),"Candy-Stone47 wrote a review Aug 20191 contribution1 helpful vote")</f>
        <v>Candy-Stone47 wrote a review Aug 20191 contribution1 helpful vote</v>
      </c>
      <c r="H62" s="4" t="str">
        <f ca="1">IFERROR(__xludf.DUMMYFUNCTION("""COMPUTED_VALUE"""),"Get locatation, friendly helpful staffMy daughter and I stayed here for one night and had two fabulous days in 
London. The hotel staff were really helpful and looked after our luggage 
from when we arrived until check in and the next day from check out u"&amp;"ntil 
our evening tray. It was really helpful and meant we could enjoy our time 
in London.Read moreReview collected in partnership with TravelodgeDate of 
stay: August 20191 Helpful voteHelpfulShare")</f>
        <v>Get locatation, friendly helpful staffMy daughter and I stayed here for one night and had two fabulous days in 
London. The hotel staff were really helpful and looked after our luggage 
from when we arrived until check in and the next day from check out until 
our evening tray. It was really helpful and meant we could enjoy our time 
in London.Read moreReview collected in partnership with TravelodgeDate of 
stay: August 20191 Helpful voteHelpfulShare</v>
      </c>
      <c r="I62" s="21"/>
      <c r="J62" s="21" t="str">
        <f ca="1">IFERROR(__xludf.DUMMYFUNCTION("IMPORTXML(C62, $J$1)"),"Layla wrote a review Aug 20191 contribution")</f>
        <v>Layla wrote a review Aug 20191 contribution</v>
      </c>
      <c r="K62" s="4" t="str">
        <f ca="1">IFERROR(__xludf.DUMMYFUNCTION("""COMPUTED_VALUE"""),"Brilliant stayThe hotel was located 15min away on foot from major attractions and it was 
really easy to not only get to palaces but get a taxi when needed. We had 
breakfast included in our stay which was always very good. One morning my 
little sister g"&amp;"ot sick during breakfast and the staff there were very 
helpful. Even after the incident they went out of their way to ask if she 
is okay. One member of staff in particular stood out, Kuh. She asked my 
sister on several occasions how she’s feeling and a"&amp;"lways welcomed us with a 
smile. When my sister was sick she reassured us everything was okay. We 
don’t usually leave reviews but it was because of this member of staff that 
we are leaving this one, she really deserves to be recognised for her 
amazing "&amp;"work. Thank you KuhRead moreDate of stay: August 2019HelpfulShare")</f>
        <v>Brilliant stayThe hotel was located 15min away on foot from major attractions and it was 
really easy to not only get to palaces but get a taxi when needed. We had 
breakfast included in our stay which was always very good. One morning my 
little sister got sick during breakfast and the staff there were very 
helpful. Even after the incident they went out of their way to ask if she 
is okay. One member of staff in particular stood out, Kuh. She asked my 
sister on several occasions how she’s feeling and always welcomed us with a 
smile. When my sister was sick she reassured us everything was okay. We 
don’t usually leave reviews but it was because of this member of staff that 
we are leaving this one, she really deserves to be recognised for her 
amazing work. Thank you KuhRead moreDate of stay: August 2019HelpfulShare</v>
      </c>
      <c r="L62" s="21"/>
      <c r="M62" s="21" t="str">
        <f ca="1">IFERROR(__xludf.DUMMYFUNCTION("IMPORTXML(C62, $M$1)"),"Rosemary C wrote a review Aug 2019Cambridge, United Kingdom117 
contributions29 helpful votes")</f>
        <v>Rosemary C wrote a review Aug 2019Cambridge, United Kingdom117 
contributions29 helpful votes</v>
      </c>
      <c r="N62" s="4" t="str">
        <f ca="1">IFERROR(__xludf.DUMMYFUNCTION("""COMPUTED_VALUE"""),"View of the Shard!Such a good location for the Old Vic Theatre. Good value - good breakfast - 
all the necessities and very nice friendly staff! Only annoyance - the 
windows don't open wide enough and the air con was not powerful. However a 
fan was prov"&amp;"ided, so it was fine.Read moreDate of stay: August 
2019HelpfulShare")</f>
        <v>View of the Shard!Such a good location for the Old Vic Theatre. Good value - good breakfast - 
all the necessities and very nice friendly staff! Only annoyance - the 
windows don't open wide enough and the air con was not powerful. However a 
fan was provided, so it was fine.Read moreDate of stay: August 
2019HelpfulShare</v>
      </c>
      <c r="O62" s="21"/>
      <c r="P62" s="21" t="str">
        <f ca="1">IFERROR(__xludf.DUMMYFUNCTION("IMPORTXML(C62, $P$1)"),"Vincienne F wrote a review Aug 2019Malta10 contributions1 helpful vote")</f>
        <v>Vincienne F wrote a review Aug 2019Malta10 contributions1 helpful vote</v>
      </c>
      <c r="Q62" s="4" t="str">
        <f ca="1">IFERROR(__xludf.DUMMYFUNCTION("""COMPUTED_VALUE"""),"Pleasant stayPerfect location, central with nearby train station, yet not too busy area. 
Good breakfast, but not exceptional for a sweet tooth. Limited WiFi - only 
2 devices per room. Comfy bed but the extra pillows were not clean.Read 
moreReview colle"&amp;"cted in partnership with TravelodgeDate of stay: August 
2019HelpfulShare")</f>
        <v>Pleasant stayPerfect location, central with nearby train station, yet not too busy area. 
Good breakfast, but not exceptional for a sweet tooth. Limited WiFi - only 
2 devices per room. Comfy bed but the extra pillows were not clean.Read 
moreReview collected in partnership with TravelodgeDate of stay: August 
2019HelpfulShare</v>
      </c>
      <c r="U62" s="4" t="str">
        <f ca="1">IFERROR(__xludf.DUMMYFUNCTION("IMPORTXML(C63,$U$1)"),"Loading...")</f>
        <v>Loading...</v>
      </c>
    </row>
    <row r="63" spans="1:21" ht="15">
      <c r="A63" s="5" t="s">
        <v>5308</v>
      </c>
      <c r="B63" s="17" t="s">
        <v>126</v>
      </c>
      <c r="C63" s="23" t="str">
        <f t="shared" si="0"/>
        <v>https://www.tripadvisor.co.uk/Hotel_Review-g186338-d1812157-Reviews-or305-Travelodge_London_Waterloo_Hotel-London_England.html#REVIEWS</v>
      </c>
      <c r="D63" s="4" t="str">
        <f ca="1">IFERROR(__xludf.DUMMYFUNCTION("IMPORTXML(C63,$D$1)"),"Steph wrote a review Aug 20195 contributions")</f>
        <v>Steph wrote a review Aug 20195 contributions</v>
      </c>
      <c r="E63" s="4" t="str">
        <f ca="1">IFERROR(__xludf.DUMMYFUNCTION("""COMPUTED_VALUE"""),"Good serviceVisited during August everyone was very helpful and polite. Kuh served us 
at breakfast and was very pleasant and helpful. Breakfast was very nice 
constantly filled up and a good selection. Check out was very quick and 
easy, we were offered "&amp;"a taxi by Anna and hilina who were very pleasant.Read 
moreDate of stay: August 2019HelpfulShare")</f>
        <v>Good serviceVisited during August everyone was very helpful and polite. Kuh served us 
at breakfast and was very pleasant and helpful. Breakfast was very nice 
constantly filled up and a good selection. Check out was very quick and 
easy, we were offered a taxi by Anna and hilina who were very pleasant.Read 
moreDate of stay: August 2019HelpfulShare</v>
      </c>
      <c r="G63" s="24" t="str">
        <f ca="1">IFERROR(__xludf.DUMMYFUNCTION("IMPORTXML(C63, $G$1)"),"traveller2g0 wrote a review Aug 2019Chester, United Kingdom135 
contributions32 helpful votes")</f>
        <v>traveller2g0 wrote a review Aug 2019Chester, United Kingdom135 
contributions32 helpful votes</v>
      </c>
      <c r="H63" s="4" t="str">
        <f ca="1">IFERROR(__xludf.DUMMYFUNCTION("""COMPUTED_VALUE"""),"Excellent stayI stayed for 2 x nights (Sunday + Monday) with my daughter and grandson, 
and we had a lovely stay. We were able to check-in half hour early and had 
a family room on the 5th floor. We felt safe as you have to use your 
keycard to access mos"&amp;"t areas, including the lift. The room was clean and 
comfortable with aircon if required. Included in the price was breakfast 
which was plentiful, and wifi. I want to say a special thank you to Kuh, 
who went out of her way to make us feel welcome during"&amp;" evening meal and 
breakfast. We had an evening meal which was really lovely and very 
reasonably priced - 2 x main, 1 x kids meal + 2 x desserts + soft drinks, 
which came to under £40. I will definitely return.Read moreDate of stay: 
August 2019HelpfulS"&amp;"hare")</f>
        <v>Excellent stayI stayed for 2 x nights (Sunday + Monday) with my daughter and grandson, 
and we had a lovely stay. We were able to check-in half hour early and had 
a family room on the 5th floor. We felt safe as you have to use your 
keycard to access most areas, including the lift. The room was clean and 
comfortable with aircon if required. Included in the price was breakfast 
which was plentiful, and wifi. I want to say a special thank you to Kuh, 
who went out of her way to make us feel welcome during evening meal and 
breakfast. We had an evening meal which was really lovely and very 
reasonably priced - 2 x main, 1 x kids meal + 2 x desserts + soft drinks, 
which came to under £40. I will definitely return.Read moreDate of stay: 
August 2019HelpfulShare</v>
      </c>
      <c r="I63" s="21"/>
      <c r="J63" s="21" t="str">
        <f ca="1">IFERROR(__xludf.DUMMYFUNCTION("IMPORTXML(C63, $J$1)"),"#N/A")</f>
        <v>#N/A</v>
      </c>
      <c r="L63" s="21"/>
      <c r="M63" s="21" t="str">
        <f ca="1">IFERROR(__xludf.DUMMYFUNCTION("IMPORTXML(C63, $M$1)"),"Mohammed R wrote a review Aug 20193 contributions")</f>
        <v>Mohammed R wrote a review Aug 20193 contributions</v>
      </c>
      <c r="N63" s="4" t="str">
        <f ca="1">IFERROR(__xludf.DUMMYFUNCTION("""COMPUTED_VALUE"""),"Couple visit 2 nightsGood and clean hotel. Staff very good too. Nice selection of food for 
breakfast too. Would highly recommend. A little pricey for me but expected 
for a city hotel. I would visit again most definitely. Thanks.Read moreDate 
of stay: D"&amp;"ecember 2018HelpfulShare")</f>
        <v>Couple visit 2 nightsGood and clean hotel. Staff very good too. Nice selection of food for 
breakfast too. Would highly recommend. A little pricey for me but expected 
for a city hotel. I would visit again most definitely. Thanks.Read moreDate 
of stay: December 2018HelpfulShare</v>
      </c>
      <c r="O63" s="21"/>
      <c r="P63" s="21" t="str">
        <f ca="1">IFERROR(__xludf.DUMMYFUNCTION("IMPORTXML(C63, $P$1)"),"DebnMartMidGlamorgan wrote a review Aug 2019Mid Glamorgan70 contributions49 
helpful votes")</f>
        <v>DebnMartMidGlamorgan wrote a review Aug 2019Mid Glamorgan70 contributions49 
helpful votes</v>
      </c>
      <c r="Q63" s="4" t="str">
        <f ca="1">IFERROR(__xludf.DUMMYFUNCTION("""COMPUTED_VALUE"""),"Excellent locationWe stayed here 4th August as we were seeing the final show of ‘Bare’ the 
musical at The Vaults, which was excellent. The theatre was about a 10 
minute walk. Waterloo station is about a 5 minute walk, so staying here is 
perfect for get"&amp;"ting to any part of London. The staff at this hotel are all 
very cheery and helpful. I have no idea why someone would comment 
otherwise. The room was great, with air conditioning, and a window that 
opens. The bathroom was tiny but the shower was great,"&amp;" really powerful. 
Breakfast was excellent. Started at 6 so great for those wanting an early 
start. There’s definitely plenty to fill up on, both hot and cold. And they 
provide take out cups, if you need that extra cuppa for your walk to the 
train/car."&amp;" This hotel has a bar and serves drink and food…Read moreDate of 
stay: August 2019HelpfulShare")</f>
        <v>Excellent locationWe stayed here 4th August as we were seeing the final show of ‘Bare’ the 
musical at The Vaults, which was excellent. The theatre was about a 10 
minute walk. Waterloo station is about a 5 minute walk, so staying here is 
perfect for getting to any part of London. The staff at this hotel are all 
very cheery and helpful. I have no idea why someone would comment 
otherwise. The room was great, with air conditioning, and a window that 
opens. The bathroom was tiny but the shower was great, really powerful. 
Breakfast was excellent. Started at 6 so great for those wanting an early 
start. There’s definitely plenty to fill up on, both hot and cold. And they 
provide take out cups, if you need that extra cuppa for your walk to the 
train/car. This hotel has a bar and serves drink and food…Read moreDate of 
stay: August 2019HelpfulShare</v>
      </c>
      <c r="U63" s="4" t="str">
        <f ca="1">IFERROR(__xludf.DUMMYFUNCTION("IMPORTXML(C64,$U$1)"),"Loading...")</f>
        <v>Loading...</v>
      </c>
    </row>
    <row r="64" spans="1:21" ht="15">
      <c r="A64" s="25" t="s">
        <v>5350</v>
      </c>
      <c r="B64" s="17" t="s">
        <v>126</v>
      </c>
      <c r="C64" s="23" t="str">
        <f t="shared" si="0"/>
        <v>https://www.tripadvisor.co.uk/Hotel_Review-g186338-d1812157-Reviews-or310-Travelodge_London_Waterloo_Hotel-London_England.html#REVIEWS</v>
      </c>
      <c r="D64" s="4" t="str">
        <f ca="1">IFERROR(__xludf.DUMMYFUNCTION("IMPORTXML(C64,$D$1)"),"Saija wrote a review Aug 2019Seinajoki, Finland1 contribution")</f>
        <v>Saija wrote a review Aug 2019Seinajoki, Finland1 contribution</v>
      </c>
      <c r="E64" s="4" t="str">
        <f ca="1">IFERROR(__xludf.DUMMYFUNCTION("""COMPUTED_VALUE"""),"Excellent stay, friendly staffStayed in this hotel for four nights with daughter. Rooms are comfortable 
and clean. Staff is lovely and helpful. Hotel is good location and quite. 
We had great sleeps. Breakfast was also good, had it every day.Read 
moreDa"&amp;"te of stay: August 2019HelpfulShare")</f>
        <v>Excellent stay, friendly staffStayed in this hotel for four nights with daughter. Rooms are comfortable 
and clean. Staff is lovely and helpful. Hotel is good location and quite. 
We had great sleeps. Breakfast was also good, had it every day.Read 
moreDate of stay: August 2019HelpfulShare</v>
      </c>
      <c r="G64" s="24" t="str">
        <f ca="1">IFERROR(__xludf.DUMMYFUNCTION("IMPORTXML(C64, $G$1)"),"crescenthpotter wrote a review Aug 2019Eastleigh, United Kingdom1 
contribution")</f>
        <v>crescenthpotter wrote a review Aug 2019Eastleigh, United Kingdom1 
contribution</v>
      </c>
      <c r="H64" s="4" t="str">
        <f ca="1">IFERROR(__xludf.DUMMYFUNCTION("""COMPUTED_VALUE"""),"ExcellentMost friendly and helpful staff, nothing was too much trouble. Food was 
really good. Room was quiet even though overlooked the main road, 
everything was clean and neat. Would fully recommend this hotel and would 
stay again when in London.Read "&amp;"moreReview collected in partnership with 
this hotelDate of stay: August 2019HelpfulShare")</f>
        <v>ExcellentMost friendly and helpful staff, nothing was too much trouble. Food was 
really good. Room was quiet even though overlooked the main road, 
everything was clean and neat. Would fully recommend this hotel and would 
stay again when in London.Read moreReview collected in partnership with 
this hotelDate of stay: August 2019HelpfulShare</v>
      </c>
      <c r="I64" s="21"/>
      <c r="J64" s="21" t="str">
        <f ca="1">IFERROR(__xludf.DUMMYFUNCTION("IMPORTXML(C64, $J$1)"),"terri788 wrote a review Aug 20191 contribution")</f>
        <v>terri788 wrote a review Aug 20191 contribution</v>
      </c>
      <c r="K64" s="4" t="str">
        <f ca="1">IFERROR(__xludf.DUMMYFUNCTION("""COMPUTED_VALUE"""),"Great value, good amenitiesA decent place to stay, handy for NT and the tube. But if you book a twin 
room you have to know one another VERY well, or risk setting off an alarm 
if you move the beds apart. Good food, much improved on previous stays at 
the"&amp;" same hotel. Friendly staff, good value for money.Read moreReview 
collected in partnership with TravelodgeDate of stay: August 
2019HelpfulShare")</f>
        <v>Great value, good amenitiesA decent place to stay, handy for NT and the tube. But if you book a twin 
room you have to know one another VERY well, or risk setting off an alarm 
if you move the beds apart. Good food, much improved on previous stays at 
the same hotel. Friendly staff, good value for money.Read moreReview 
collected in partnership with TravelodgeDate of stay: August 
2019HelpfulShare</v>
      </c>
      <c r="L64" s="21"/>
      <c r="M64" s="21" t="str">
        <f ca="1">IFERROR(__xludf.DUMMYFUNCTION("IMPORTXML(C64, $M$1)"),"mikey20082019 wrote a review Aug 2019Bristol, United Kingdom1 contribution")</f>
        <v>mikey20082019 wrote a review Aug 2019Bristol, United Kingdom1 contribution</v>
      </c>
      <c r="N64" s="4" t="str">
        <f ca="1">IFERROR(__xludf.DUMMYFUNCTION("""COMPUTED_VALUE"""),"Great valueI always stay at travelodge. Good value, clean and I know what to expect. 
Air con and shower worked well. Room was comfortable. Bed linen clean. Good 
price and location. I think the staff could be more cheerful though.Read 
moreReview collect"&amp;"ed in partnership with TravelodgeDate of stay: August 
2019HelpfulShare")</f>
        <v>Great valueI always stay at travelodge. Good value, clean and I know what to expect. 
Air con and shower worked well. Room was comfortable. Bed linen clean. Good 
price and location. I think the staff could be more cheerful though.Read 
moreReview collected in partnership with TravelodgeDate of stay: August 
2019HelpfulShare</v>
      </c>
      <c r="O64" s="21"/>
      <c r="P64" s="21" t="str">
        <f ca="1">IFERROR(__xludf.DUMMYFUNCTION("IMPORTXML(C64, $P$1)"),"852lesleyc wrote a review Aug 2019Devon, United Kingdom4 contributions3 
helpful votes")</f>
        <v>852lesleyc wrote a review Aug 2019Devon, United Kingdom4 contributions3 
helpful votes</v>
      </c>
      <c r="Q64" s="4" t="str">
        <f ca="1">IFERROR(__xludf.DUMMYFUNCTION("""COMPUTED_VALUE"""),"Waterloo TravelodgeThis is a great place to stay. It is central, being only 500 yrds from 
Waterloo station but the rooms are cheaper than many other areas of London. 
The staff are always very pleasant and willing to help. The breakfast is of 
good quali"&amp;"ty and a large selection - they provide soy milk and can get 
lemon for tea if asked.Read moreReview collected in partnership with 
TravelodgeDate of stay: August 2019HelpfulShare")</f>
        <v>Waterloo TravelodgeThis is a great place to stay. It is central, being only 500 yrds from 
Waterloo station but the rooms are cheaper than many other areas of London. 
The staff are always very pleasant and willing to help. The breakfast is of 
good quality and a large selection - they provide soy milk and can get 
lemon for tea if asked.Read moreReview collected in partnership with 
TravelodgeDate of stay: August 2019HelpfulShare</v>
      </c>
      <c r="U64" s="4" t="str">
        <f ca="1">IFERROR(__xludf.DUMMYFUNCTION("IMPORTXML(C65,$U$1)"),"Loading...")</f>
        <v>Loading...</v>
      </c>
    </row>
    <row r="65" spans="1:21" ht="15">
      <c r="A65" s="25" t="s">
        <v>5400</v>
      </c>
      <c r="B65" s="17" t="s">
        <v>126</v>
      </c>
      <c r="C65" s="23" t="str">
        <f t="shared" si="0"/>
        <v>https://www.tripadvisor.co.uk/Hotel_Review-g186338-d1812157-Reviews-or315-Travelodge_London_Waterloo_Hotel-London_England.html#REVIEWS</v>
      </c>
      <c r="D65" s="4" t="str">
        <f ca="1">IFERROR(__xludf.DUMMYFUNCTION("IMPORTXML(C65,$D$1)"),"#N/A")</f>
        <v>#N/A</v>
      </c>
      <c r="G65" s="24" t="str">
        <f ca="1">IFERROR(__xludf.DUMMYFUNCTION("IMPORTXML(C65, $G$1)"),"#N/A")</f>
        <v>#N/A</v>
      </c>
      <c r="I65" s="21"/>
      <c r="J65" s="21" t="str">
        <f ca="1">IFERROR(__xludf.DUMMYFUNCTION("IMPORTXML(C65, $J$1)"),"mary m wrote a review Aug 2019Belfast City Region, United Kingdom4 
contributions")</f>
        <v>mary m wrote a review Aug 2019Belfast City Region, United Kingdom4 
contributions</v>
      </c>
      <c r="K65" s="4" t="str">
        <f ca="1">IFERROR(__xludf.DUMMYFUNCTION("""COMPUTED_VALUE"""),"Comfort &amp; Location 10/10Very comfortable rooms beds were very comfortable and breakfaat was amazing 
staff excelled and within walking distance to all attractions will 
definitely be back in this hotel treated like kings and queensRead 
moreReview collect"&amp;"ed in partnership with TravelodgeDate of stay: July 
2019HelpfulShare")</f>
        <v>Comfort &amp; Location 10/10Very comfortable rooms beds were very comfortable and breakfaat was amazing 
staff excelled and within walking distance to all attractions will 
definitely be back in this hotel treated like kings and queensRead 
moreReview collected in partnership with TravelodgeDate of stay: July 
2019HelpfulShare</v>
      </c>
      <c r="L65" s="21"/>
      <c r="M65" s="21" t="str">
        <f ca="1">IFERROR(__xludf.DUMMYFUNCTION("IMPORTXML(C65, $M$1)"),"Gizella M wrote a review Aug 20192 contributions1 helpful vote")</f>
        <v>Gizella M wrote a review Aug 20192 contributions1 helpful vote</v>
      </c>
      <c r="N65" s="4" t="str">
        <f ca="1">IFERROR(__xludf.DUMMYFUNCTION("""COMPUTED_VALUE"""),"Very helpful, amazingly understanding and kind staff members! They won't 
let you down!I was on a 5 -day work related training, started early and finished late in 
the office. Our breakfast was included in the stay. As life it is what it 
is, I can't eat "&amp;"usually early in the morning, so after I explained myself 
to Kuh who greets people warmly and friendly and asks for the room number 
at the restaurant entrance, she willingly handed a paper food bag to me to 
help myself with some fruits and some other b"&amp;"its, so I would be able to eat 
something later on during the day. I thought: WOW! That's fab! Just what I 
needed! Thank you very much for being so thoughtful and caring about me!!! 
Among the team members Andreea was also attentive and checking if I nee"&amp;"ded 
anything or any help around the breakfast area. Each one of them was 
smiling and was working hard like busy bees.…Read moreDate of stay: July 
20191 Helpful voteHelpfulShare")</f>
        <v>Very helpful, amazingly understanding and kind staff members! They won't 
let you down!I was on a 5 -day work related training, started early and finished late in 
the office. Our breakfast was included in the stay. As life it is what it 
is, I can't eat usually early in the morning, so after I explained myself 
to Kuh who greets people warmly and friendly and asks for the room number 
at the restaurant entrance, she willingly handed a paper food bag to me to 
help myself with some fruits and some other bits, so I would be able to eat 
something later on during the day. I thought: WOW! That's fab! Just what I 
needed! Thank you very much for being so thoughtful and caring about me!!! 
Among the team members Andreea was also attentive and checking if I needed 
anything or any help around the breakfast area. Each one of them was 
smiling and was working hard like busy bees.…Read moreDate of stay: July 
20191 Helpful voteHelpfulShare</v>
      </c>
      <c r="O65" s="21"/>
      <c r="P65" s="21" t="str">
        <f ca="1">IFERROR(__xludf.DUMMYFUNCTION("IMPORTXML(C65, $P$1)"),"Spursfanathome wrote a review Aug 201910 contributions8 helpful votes")</f>
        <v>Spursfanathome wrote a review Aug 201910 contributions8 helpful votes</v>
      </c>
      <c r="Q65" s="4" t="str">
        <f ca="1">IFERROR(__xludf.DUMMYFUNCTION("""COMPUTED_VALUE"""),"Dirty!!We stayed here for one night and I’m so glad it was only one. The road 
leading to the hotel is dark and full of drug paraphernalia and empty beer 
cans. The room had no air con and was dirty. The bathroom/shower was quite 
grim. The only good thin"&amp;"gs are the reception area is clean and the 
breakfast was ok. I would definitely pay more and stay elsewhere.Read 
moreDate of stay: July 2019HelpfulShare")</f>
        <v>Dirty!!We stayed here for one night and I’m so glad it was only one. The road 
leading to the hotel is dark and full of drug paraphernalia and empty beer 
cans. The room had no air con and was dirty. The bathroom/shower was quite 
grim. The only good things are the reception area is clean and the 
breakfast was ok. I would definitely pay more and stay elsewhere.Read 
moreDate of stay: July 2019HelpfulShare</v>
      </c>
      <c r="U65" s="4" t="str">
        <f ca="1">IFERROR(__xludf.DUMMYFUNCTION("IMPORTXML(C66,$U$1)"),"Loading...")</f>
        <v>Loading...</v>
      </c>
    </row>
    <row r="66" spans="1:21" ht="15">
      <c r="A66" s="25" t="s">
        <v>5441</v>
      </c>
      <c r="B66" s="17" t="s">
        <v>126</v>
      </c>
      <c r="C66" s="23" t="str">
        <f t="shared" si="0"/>
        <v>https://www.tripadvisor.co.uk/Hotel_Review-g186338-d1812157-Reviews-or320-Travelodge_London_Waterloo_Hotel-London_England.html#REVIEWS</v>
      </c>
      <c r="D66" s="4" t="str">
        <f ca="1">IFERROR(__xludf.DUMMYFUNCTION("IMPORTXML(C66,$D$1)"),"Alistair E wrote a review Aug 2019Ipswich, United Kingdom68 contributions34 
helpful votes")</f>
        <v>Alistair E wrote a review Aug 2019Ipswich, United Kingdom68 contributions34 
helpful votes</v>
      </c>
      <c r="E66" s="4" t="str">
        <f ca="1">IFERROR(__xludf.DUMMYFUNCTION("""COMPUTED_VALUE"""),"Friendly, Efficient StaffWe booked two rooms here, a Super Room for our daughter and a Standard Room 
for us; on arrival a very friendly and helpful Receptionist upgraded us! 
The rooms were nicely equipped but our bathroom was very small and did have 
a "&amp;"tiny sink which was surprising for a superior room. The a/c did not work 
in either room and although we were offered the chance to swap rooms we 
chose not to as we were only there for a couple of nights and we were 
provided with fans and complimentary "&amp;"drinks which was a welcome touch. The 
breakfast was very good and again the staff were excellent, even providing 
us with a bag and boxes to take breakfast up to our daughter who was 
running late. I can't praise the attitude of the staff enough at this "&amp;"
venue. We had booked because it was close to where we were…Read moreDate of 
stay: July 2019HelpfulShare")</f>
        <v>Friendly, Efficient StaffWe booked two rooms here, a Super Room for our daughter and a Standard Room 
for us; on arrival a very friendly and helpful Receptionist upgraded us! 
The rooms were nicely equipped but our bathroom was very small and did have 
a tiny sink which was surprising for a superior room. The a/c did not work 
in either room and although we were offered the chance to swap rooms we 
chose not to as we were only there for a couple of nights and we were 
provided with fans and complimentary drinks which was a welcome touch. The 
breakfast was very good and again the staff were excellent, even providing 
us with a bag and boxes to take breakfast up to our daughter who was 
running late. I can't praise the attitude of the staff enough at this 
venue. We had booked because it was close to where we were…Read moreDate of 
stay: July 2019HelpfulShare</v>
      </c>
      <c r="G66" s="24" t="str">
        <f ca="1">IFERROR(__xludf.DUMMYFUNCTION("IMPORTXML(C66, $G$1)"),"#N/A")</f>
        <v>#N/A</v>
      </c>
      <c r="I66" s="21"/>
      <c r="J66" s="21" t="str">
        <f ca="1">IFERROR(__xludf.DUMMYFUNCTION("IMPORTXML(C66, $J$1)"),"Blair wrote a review Jul 2019Brighton, United Kingdom4 contributions")</f>
        <v>Blair wrote a review Jul 2019Brighton, United Kingdom4 contributions</v>
      </c>
      <c r="K66" s="4" t="str">
        <f ca="1">IFERROR(__xludf.DUMMYFUNCTION("""COMPUTED_VALUE"""),"Lovely!!!!Amazing location and staff! There is a good choice of food, the check in 
very efficient. A big thanks to the staff that helped us and gave us all 
the info we wanted. Will be coming back for sure. I would definitely 
recommend itRead moreDate o"&amp;"f stay: July 2019HelpfulShare")</f>
        <v>Lovely!!!!Amazing location and staff! There is a good choice of food, the check in 
very efficient. A big thanks to the staff that helped us and gave us all 
the info we wanted. Will be coming back for sure. I would definitely 
recommend itRead moreDate of stay: July 2019HelpfulShare</v>
      </c>
      <c r="L66" s="21"/>
      <c r="M66" s="21" t="str">
        <f ca="1">IFERROR(__xludf.DUMMYFUNCTION("IMPORTXML(C66, $M$1)"),"Rachel M wrote a review Jul 20192 contributions")</f>
        <v>Rachel M wrote a review Jul 20192 contributions</v>
      </c>
      <c r="N66" s="4" t="str">
        <f ca="1">IFERROR(__xludf.DUMMYFUNCTION("""COMPUTED_VALUE"""),"Rachel MI booked my London Tour holiday through my trusted travel agent Roray from 
DialAFlight. Thank you so much Roray for the perfect location. Waterloo 
Travelodge is a beautiful place to lodge the breakfast was perfect every 
morning we had the cheer"&amp;"ful Kuh to make sure we were happy. The dinner did 
not meet my standards having ordered the half chicken on two different 
days,it appeared burnt and very hard to chew. On both occasions we had 
Lyndsey and Jennifer they need to listen to customers.Read "&amp;"moreDate of 
stay: July 2019HelpfulShare")</f>
        <v>Rachel MI booked my London Tour holiday through my trusted travel agent Roray from 
DialAFlight. Thank you so much Roray for the perfect location. Waterloo 
Travelodge is a beautiful place to lodge the breakfast was perfect every 
morning we had the cheerful Kuh to make sure we were happy. The dinner did 
not meet my standards having ordered the half chicken on two different 
days,it appeared burnt and very hard to chew. On both occasions we had 
Lyndsey and Jennifer they need to listen to customers.Read moreDate of 
stay: July 2019HelpfulShare</v>
      </c>
      <c r="O66" s="21"/>
      <c r="P66" s="21" t="str">
        <f ca="1">IFERROR(__xludf.DUMMYFUNCTION("IMPORTXML(C66, $P$1)"),"kenardern wrote a review Jul 20192 contributions")</f>
        <v>kenardern wrote a review Jul 20192 contributions</v>
      </c>
      <c r="Q66" s="4" t="str">
        <f ca="1">IFERROR(__xludf.DUMMYFUNCTION("""COMPUTED_VALUE"""),"waterloo travelodgeexcellent place to stay. friendly efficient staff. room very clean. great 
location. we just stayed the one night. got there early but staff said 
early checkin was fine. only a short walk to waterloo station. sound 
proofing was good.R"&amp;"ead moreReview collected in partnership with 
TravelodgeDate of stay: July 2019HelpfulShare")</f>
        <v>waterloo travelodgeexcellent place to stay. friendly efficient staff. room very clean. great 
location. we just stayed the one night. got there early but staff said 
early checkin was fine. only a short walk to waterloo station. sound 
proofing was good.Read moreReview collected in partnership with 
TravelodgeDate of stay: July 2019HelpfulShare</v>
      </c>
      <c r="U66" s="4" t="str">
        <f ca="1">IFERROR(__xludf.DUMMYFUNCTION("IMPORTXML(C67,$U$1)"),"Loading...")</f>
        <v>Loading...</v>
      </c>
    </row>
    <row r="67" spans="1:21" ht="15">
      <c r="A67" s="5" t="s">
        <v>5489</v>
      </c>
      <c r="B67" s="17" t="s">
        <v>126</v>
      </c>
      <c r="C67" s="23" t="str">
        <f t="shared" si="0"/>
        <v>https://www.tripadvisor.co.uk/Hotel_Review-g186338-d1812157-Reviews-or325-Travelodge_London_Waterloo_Hotel-London_England.html#REVIEWS</v>
      </c>
      <c r="D67" s="4" t="str">
        <f ca="1">IFERROR(__xludf.DUMMYFUNCTION("IMPORTXML(C67,$D$1)"),"sll3wn41l3 wrote a review Jul 2019Somerset, United Kingdom1 contribution")</f>
        <v>sll3wn41l3 wrote a review Jul 2019Somerset, United Kingdom1 contribution</v>
      </c>
      <c r="E67" s="4" t="str">
        <f ca="1">IFERROR(__xludf.DUMMYFUNCTION("""COMPUTED_VALUE"""),"SightseeingFantastic quiet hotel a 15 minute walk from the London Eye. Staff were 
friendly and helpful. Our room was very spacious and clean and a 5 minute 
walk from Waterloo station. We will stay here again when we next visit 
London.Read moreReview co"&amp;"llected in partnership with TravelodgeDate of 
stay: July 2019HelpfulShare")</f>
        <v>SightseeingFantastic quiet hotel a 15 minute walk from the London Eye. Staff were 
friendly and helpful. Our room was very spacious and clean and a 5 minute 
walk from Waterloo station. We will stay here again when we next visit 
London.Read moreReview collected in partnership with TravelodgeDate of 
stay: July 2019HelpfulShare</v>
      </c>
      <c r="G67" s="24" t="str">
        <f ca="1">IFERROR(__xludf.DUMMYFUNCTION("IMPORTXML(C67, $G$1)"),"Pixel2015 wrote a review Jul 2019Stockport, United Kingdom2 contributions")</f>
        <v>Pixel2015 wrote a review Jul 2019Stockport, United Kingdom2 contributions</v>
      </c>
      <c r="H67" s="4" t="str">
        <f ca="1">IFERROR(__xludf.DUMMYFUNCTION("""COMPUTED_VALUE"""),"Brilliant venue for theatre goersWe didn't want a load of hassle after visiting the Old Vic for a show. So, 
knowing that Travelodges tend to have reasonable standards, we booked the 
one down the road. Was so impressed with its friendliness and cleanline"&amp;"ss. 
Very comfortable. Plus there were things that were far better thought 
through than in far more expensive hotels. Such as a powerful hairdryer 
connected next door to a large mirror, which in turn was by the window 
giving you natural light for make-"&amp;"up. Great cafe bar downstairs serving 
food at all hours, handy for when we returned late. Couldn't fault the 
breakfast. Staff were extremely nice too.Read moreReview collected in 
partnership with TravelodgeDate of stay: July 2019HelpfulShare")</f>
        <v>Brilliant venue for theatre goersWe didn't want a load of hassle after visiting the Old Vic for a show. So, 
knowing that Travelodges tend to have reasonable standards, we booked the 
one down the road. Was so impressed with its friendliness and cleanliness. 
Very comfortable. Plus there were things that were far better thought 
through than in far more expensive hotels. Such as a powerful hairdryer 
connected next door to a large mirror, which in turn was by the window 
giving you natural light for make-up. Great cafe bar downstairs serving 
food at all hours, handy for when we returned late. Couldn't fault the 
breakfast. Staff were extremely nice too.Read moreReview collected in 
partnership with TravelodgeDate of stay: July 2019HelpfulShare</v>
      </c>
      <c r="I67" s="21"/>
      <c r="J67" s="21" t="str">
        <f ca="1">IFERROR(__xludf.DUMMYFUNCTION("IMPORTXML(C67, $J$1)"),"janet foss wrote a review Jul 20191 contribution")</f>
        <v>janet foss wrote a review Jul 20191 contribution</v>
      </c>
      <c r="K67" s="4" t="str">
        <f ca="1">IFERROR(__xludf.DUMMYFUNCTION("""COMPUTED_VALUE"""),"Very clean and friendly staff nothing was to much trouble. A massive thank 
you to Debora.We were able to leave our luggage before our check in time . Thank you 
Debora nothing was to much trouble. very clean and helpful travelodge and 
staff. Our room wa"&amp;"s lovely and comfortable with air conditioning a god send 
in this hot weather.Read moreDate of stay: July 2019HelpfulShare")</f>
        <v>Very clean and friendly staff nothing was to much trouble. A massive thank 
you to Debora.We were able to leave our luggage before our check in time . Thank you 
Debora nothing was to much trouble. very clean and helpful travelodge and 
staff. Our room was lovely and comfortable with air conditioning a god send 
in this hot weather.Read moreDate of stay: July 2019HelpfulShare</v>
      </c>
      <c r="L67" s="21"/>
      <c r="M67" s="21" t="str">
        <f ca="1">IFERROR(__xludf.DUMMYFUNCTION("IMPORTXML(C67, $M$1)"),"Nscoop90 wrote a review Jul 2019Portsmouth, United Kingdom5 contributions5 
helpful votes")</f>
        <v>Nscoop90 wrote a review Jul 2019Portsmouth, United Kingdom5 contributions5 
helpful votes</v>
      </c>
      <c r="N67" s="4" t="str">
        <f ca="1">IFERROR(__xludf.DUMMYFUNCTION("""COMPUTED_VALUE"""),"Excellent value for moneyVery clean hotel and rooms, staff extremely helpful. Good size rooms, comfy 
beds and excellent bathroom facilities. Tea and coffee in room and even a 
bottle opener. Only criticism is that was no hairdryer in the room. I took 
my"&amp;" own but there was no plug socket close enough to a mirror to be able to 
style my hair properlyRead moreDate of stay: July 2019HelpfulShare")</f>
        <v>Excellent value for moneyVery clean hotel and rooms, staff extremely helpful. Good size rooms, comfy 
beds and excellent bathroom facilities. Tea and coffee in room and even a 
bottle opener. Only criticism is that was no hairdryer in the room. I took 
my own but there was no plug socket close enough to a mirror to be able to 
style my hair properlyRead moreDate of stay: July 2019HelpfulShare</v>
      </c>
      <c r="O67" s="21"/>
      <c r="P67" s="21" t="str">
        <f ca="1">IFERROR(__xludf.DUMMYFUNCTION("IMPORTXML(C67, $P$1)"),"Sam W wrote a review Jul 2019Paignton, England, United Kingdom18 
contributions7 helpful votes")</f>
        <v>Sam W wrote a review Jul 2019Paignton, England, United Kingdom18 
contributions7 helpful votes</v>
      </c>
      <c r="Q67" s="4" t="str">
        <f ca="1">IFERROR(__xludf.DUMMYFUNCTION("""COMPUTED_VALUE"""),"Clean, nice Travelodge with friendly staffHad a good stay at the Travelodge in Waterloo, it was clean, quite, and 
good value for money. The breakfast was good and Kuh was extra friendly and 
nice. She went out of her way to ensure we had a great stay!Rea"&amp;"d moreDate 
of stay: July 2019HelpfulShare")</f>
        <v>Clean, nice Travelodge with friendly staffHad a good stay at the Travelodge in Waterloo, it was clean, quite, and 
good value for money. The breakfast was good and Kuh was extra friendly and 
nice. She went out of her way to ensure we had a great stay!Read moreDate 
of stay: July 2019HelpfulShare</v>
      </c>
      <c r="U67" s="4" t="str">
        <f ca="1">IFERROR(__xludf.DUMMYFUNCTION("IMPORTXML(C68,$U$1)"),"Loading...")</f>
        <v>Loading...</v>
      </c>
    </row>
    <row r="68" spans="1:21" ht="15">
      <c r="A68" s="25" t="s">
        <v>5540</v>
      </c>
      <c r="B68" s="17" t="s">
        <v>126</v>
      </c>
      <c r="C68" s="23" t="str">
        <f t="shared" si="0"/>
        <v>https://www.tripadvisor.co.uk/Hotel_Review-g186338-d1812157-Reviews-or330-Travelodge_London_Waterloo_Hotel-London_England.html#REVIEWS</v>
      </c>
      <c r="D68" s="4" t="str">
        <f ca="1">IFERROR(__xludf.DUMMYFUNCTION("IMPORTXML(C68,$D$1)"),"#N/A")</f>
        <v>#N/A</v>
      </c>
      <c r="G68" s="24" t="str">
        <f ca="1">IFERROR(__xludf.DUMMYFUNCTION("IMPORTXML(C68, $G$1)"),"BabsInsights wrote a review Jul 2019Isle of Wight, United Kingdom311 
contributions41 helpful votes")</f>
        <v>BabsInsights wrote a review Jul 2019Isle of Wight, United Kingdom311 
contributions41 helpful votes</v>
      </c>
      <c r="H68" s="4" t="str">
        <f ca="1">IFERROR(__xludf.DUMMYFUNCTION("""COMPUTED_VALUE"""),"AverageClean, accommodating staff, well presented- typical of the newer TL’s. 
disappointments include no soap in the sink no dispenser, no reminder that 
they no longer leave hairdryers in the rooms, narrow single beds pushed 
together but made up separa"&amp;"tely so little room to move on a hot night where 
the aircon won’t go below 22. No gluten free bread available (how hard can 
it be to keep some in a freezer?) and a very slow draining shower so 
paddled this morning around the wet room. Hey ho, I suppose"&amp;" that’s London’s 
middle market for you.Read moreDate of stay: July 2019HelpfulShareResponse 
from TravelodgeUK, Ben from the Social Media Team at Travelodge London 
Waterloo HotelResponded 24 Jul 2019Thank you for taking the time to write a 
review about"&amp;" our London Waterloo hotel. We're pleased to hear that you 
found the team to be helpful and well presented however we are sorry to 
learn of your disappointment with the room and gluten free breakfast 
options. It’s really important to us that our hotel "&amp;"teams provide a 
fantastic service to our guests and remain professional at all times so we 
are so pleased to learn that this was delivered. We appreciate all the 
feedback we receive and our Hotel Managers regularly review their 
TripAdvisor reviews in "&amp;"order to fix any issues raised and pass on feedback 
to their team. Thank you once again and we do hope you will stay with us in 
the future.Read more")</f>
        <v>AverageClean, accommodating staff, well presented- typical of the newer TL’s. 
disappointments include no soap in the sink no dispenser, no reminder that 
they no longer leave hairdryers in the rooms, narrow single beds pushed 
together but made up separately so little room to move on a hot night where 
the aircon won’t go below 22. No gluten free bread available (how hard can 
it be to keep some in a freezer?) and a very slow draining shower so 
paddled this morning around the wet room. Hey ho, I suppose that’s London’s 
middle market for you.Read moreDate of stay: July 2019HelpfulShareResponse 
from TravelodgeUK, Ben from the Social Media Team at Travelodge London 
Waterloo HotelResponded 24 Jul 2019Thank you for taking the time to write a 
review about our London Waterloo hotel. We're pleased to hear that you 
found the team to be helpful and well presented however we are sorry to 
learn of your disappointment with the room and gluten free breakfast 
options. It’s really important to us that our hotel teams provide a 
fantastic service to our guests and remain professional at all times so we 
are so pleased to learn that this was delivered. We appreciate all the 
feedback we receive and our Hotel Managers regularly review their 
TripAdvisor reviews in order to fix any issues raised and pass on feedback 
to their team. Thank you once again and we do hope you will stay with us in 
the future.Read more</v>
      </c>
      <c r="I68" s="21"/>
      <c r="J68" s="21" t="str">
        <f ca="1">IFERROR(__xludf.DUMMYFUNCTION("IMPORTXML(C68, $J$1)"),"Adrian H wrote a review Jul 20191 contribution1 helpful vote")</f>
        <v>Adrian H wrote a review Jul 20191 contribution1 helpful vote</v>
      </c>
      <c r="K68" s="4" t="str">
        <f ca="1">IFERROR(__xludf.DUMMYFUNCTION("""COMPUTED_VALUE"""),"One night onlyThe rooms though sparse are adequate although a shelf in the shower would 
be useful. On the hottest day of the year so far the ac performed well 
although the condensation soaked the carpet and half filled the bin 
overnight when I put it b"&amp;"eneath it. Kuh at breakfast was really helpful but 
the rooms were stiflingly hot, to the extent that I left before I had 
finished.Read moreDate of stay: July 2019HelpfulShareResponse from 
TravelodgeUK, Ben from the Social Media Team at Travelodge Londo"&amp;"n Waterloo 
HotelResponded 24 Jul 2019Thank you for taking the time to write a review 
about our London Waterloo hotel. We're pleased to hear that you benefited 
from the air conditioning in the room and you found Kuh at breakfast to be 
helpful however w"&amp;"e are sorry to learn that the unit was leaking. We 
appreciate all the feedback we receive and our Hotel Managers regularly 
review their TripAdvisor reviews in order to fix any issues raised and pass 
on feedback to their team. Thank you once again and w"&amp;"e do hope you will 
stay with us in the future.Read more")</f>
        <v>One night onlyThe rooms though sparse are adequate although a shelf in the shower would 
be useful. On the hottest day of the year so far the ac performed well 
although the condensation soaked the carpet and half filled the bin 
overnight when I put it beneath it. Kuh at breakfast was really helpful but 
the rooms were stiflingly hot, to the extent that I left before I had 
finished.Read moreDate of stay: July 2019HelpfulShareResponse from 
TravelodgeUK, Ben from the Social Media Team at Travelodge London Waterloo 
HotelResponded 24 Jul 2019Thank you for taking the time to write a review 
about our London Waterloo hotel. We're pleased to hear that you benefited 
from the air conditioning in the room and you found Kuh at breakfast to be 
helpful however we are sorry to learn that the unit was leaking. We 
appreciate all the feedback we receive and our Hotel Managers regularly 
review their TripAdvisor reviews in order to fix any issues raised and pass 
on feedback to their team. Thank you once again and we do hope you will 
stay with us in the future.Read more</v>
      </c>
      <c r="L68" s="21"/>
      <c r="M68" s="21" t="str">
        <f ca="1">IFERROR(__xludf.DUMMYFUNCTION("IMPORTXML(C68, $M$1)"),"Jill B wrote a review Jul 2019Cheltenham, United Kingdom2 contributions")</f>
        <v>Jill B wrote a review Jul 2019Cheltenham, United Kingdom2 contributions</v>
      </c>
      <c r="N68" s="4" t="str">
        <f ca="1">IFERROR(__xludf.DUMMYFUNCTION("""COMPUTED_VALUE"""),"BusinessGood overall stay - staff very helpful - found Barbora in the dining area 
particularly helpful. It is conveniently situated and the breakfast is 
substantial. The evening specials are also good value. Close walking 
distance to theatre and restau"&amp;"rants as well as stations and bus routes and 
the Tube.Read moreDate of stay: May 2019HelpfulShare")</f>
        <v>BusinessGood overall stay - staff very helpful - found Barbora in the dining area 
particularly helpful. It is conveniently situated and the breakfast is 
substantial. The evening specials are also good value. Close walking 
distance to theatre and restaurants as well as stations and bus routes and 
the Tube.Read moreDate of stay: May 2019HelpfulShare</v>
      </c>
      <c r="O68" s="21"/>
      <c r="P68" s="21" t="str">
        <f ca="1">IFERROR(__xludf.DUMMYFUNCTION("IMPORTXML(C68, $P$1)"),"#N/A")</f>
        <v>#N/A</v>
      </c>
      <c r="U68" s="4" t="str">
        <f ca="1">IFERROR(__xludf.DUMMYFUNCTION("IMPORTXML(C69,$U$1)"),"Loading...")</f>
        <v>Loading...</v>
      </c>
    </row>
    <row r="69" spans="1:21" ht="15">
      <c r="A69" s="25" t="s">
        <v>5581</v>
      </c>
      <c r="B69" s="17" t="s">
        <v>126</v>
      </c>
      <c r="C69" s="23" t="str">
        <f t="shared" si="0"/>
        <v>https://www.tripadvisor.co.uk/Hotel_Review-g186338-d1812157-Reviews-or335-Travelodge_London_Waterloo_Hotel-London_England.html#REVIEWS</v>
      </c>
      <c r="D69" s="4" t="str">
        <f ca="1">IFERROR(__xludf.DUMMYFUNCTION("IMPORTXML(C69,$D$1)"),"Sightsee33668182807 wrote a review Jul 20191 contribution")</f>
        <v>Sightsee33668182807 wrote a review Jul 20191 contribution</v>
      </c>
      <c r="E69" s="4" t="str">
        <f ca="1">IFERROR(__xludf.DUMMYFUNCTION("""COMPUTED_VALUE"""),"Waterloo Central TravelodgeI took a party of 12 friends to London for the weekend staying Friday until 
Sunday, from check in everything went so well with a very pleasant young 
lady on reception who explained everything in detail. The rooms were a 
littl"&amp;"e small but indeed very clean and tidy and the condition of this 
property first class, we particularly liked the ambience of the place which 
is very ideally placed for all London attractions and very near to Waterloo 
station. all the staff were well dr"&amp;"illed and very helpful and the service 
was great, breakfast very good and well priced especially for London. 
Everyone of our party complimented this hotel and when in London next we 
will make this place our destination.Read moreReview collected in 
par"&amp;"tnership with TravelodgeDate of stay: July 2019HelpfulShare")</f>
        <v>Waterloo Central TravelodgeI took a party of 12 friends to London for the weekend staying Friday until 
Sunday, from check in everything went so well with a very pleasant young 
lady on reception who explained everything in detail. The rooms were a 
little small but indeed very clean and tidy and the condition of this 
property first class, we particularly liked the ambience of the place which 
is very ideally placed for all London attractions and very near to Waterloo 
station. all the staff were well drilled and very helpful and the service 
was great, breakfast very good and well priced especially for London. 
Everyone of our party complimented this hotel and when in London next we 
will make this place our destination.Read moreReview collected in 
partnership with TravelodgeDate of stay: July 2019HelpfulShare</v>
      </c>
      <c r="G69" s="24" t="str">
        <f ca="1">IFERROR(__xludf.DUMMYFUNCTION("IMPORTXML(C69, $G$1)"),"abigailheffer wrote a review Jul 20191 contribution")</f>
        <v>abigailheffer wrote a review Jul 20191 contribution</v>
      </c>
      <c r="H69" s="4" t="str">
        <f ca="1">IFERROR(__xludf.DUMMYFUNCTION("""COMPUTED_VALUE"""),"Brilliant hotelGreat value for money and good location for everything.. will definitely be 
booking back here.. the room was clean and tidy the beds were comfier then 
expected... the breakfast was good aswel the staff are very helpful with 
everything we"&amp;" needed.Read moreReview collected in partnership with 
TravelodgeDate of stay: July 2019HelpfulShare")</f>
        <v>Brilliant hotelGreat value for money and good location for everything.. will definitely be 
booking back here.. the room was clean and tidy the beds were comfier then 
expected... the breakfast was good aswel the staff are very helpful with 
everything we needed.Read moreReview collected in partnership with 
TravelodgeDate of stay: July 2019HelpfulShare</v>
      </c>
      <c r="I69" s="21"/>
      <c r="J69" s="21" t="str">
        <f ca="1">IFERROR(__xludf.DUMMYFUNCTION("IMPORTXML(C69, $J$1)"),"dermotcole wrote a review Jul 2019scotland20 contributions15 helpful votes")</f>
        <v>dermotcole wrote a review Jul 2019scotland20 contributions15 helpful votes</v>
      </c>
      <c r="K69" s="4" t="str">
        <f ca="1">IFERROR(__xludf.DUMMYFUNCTION("""COMPUTED_VALUE"""),"PerfectQuick one nighter in London, last Saturday. Good location a short walk from 
Waterloo, and a very clean, modern and quiet hotel for a pretty reasonable 
price. Even though my room faced Waterloo Road, there was little street 
noise. Bar and cafe on"&amp;" site which looked modern and well stocked. Great 
value choice for central London.Read moreDate of stay: July 2019HelpfulShare")</f>
        <v>PerfectQuick one nighter in London, last Saturday. Good location a short walk from 
Waterloo, and a very clean, modern and quiet hotel for a pretty reasonable 
price. Even though my room faced Waterloo Road, there was little street 
noise. Bar and cafe on site which looked modern and well stocked. Great 
value choice for central London.Read moreDate of stay: July 2019HelpfulShare</v>
      </c>
      <c r="L69" s="21"/>
      <c r="M69" s="21" t="str">
        <f ca="1">IFERROR(__xludf.DUMMYFUNCTION("IMPORTXML(C69, $M$1)"),"Jennifer P wrote a review Jul 20191 contribution")</f>
        <v>Jennifer P wrote a review Jul 20191 contribution</v>
      </c>
      <c r="N69" s="4" t="str">
        <f ca="1">IFERROR(__xludf.DUMMYFUNCTION("""COMPUTED_VALUE"""),"Great value, great location.This is a great value hotel, a perfect base for sight seeing in London. It 
is functional and clean. The food is of a good standard and the staff are 
friendly and professional. Many thanks to Kuh our server this morning for 
h"&amp;"er polite and helpful service.Read moreDate of stay: July 2019HelpfulShare")</f>
        <v>Great value, great location.This is a great value hotel, a perfect base for sight seeing in London. It 
is functional and clean. The food is of a good standard and the staff are 
friendly and professional. Many thanks to Kuh our server this morning for 
her polite and helpful service.Read moreDate of stay: July 2019HelpfulShare</v>
      </c>
      <c r="O69" s="21"/>
      <c r="P69" s="21" t="str">
        <f ca="1">IFERROR(__xludf.DUMMYFUNCTION("IMPORTXML(C69, $P$1)"),"Amanda L wrote a review Jul 2019Dalgety Bay, United Kingdom2 contributions")</f>
        <v>Amanda L wrote a review Jul 2019Dalgety Bay, United Kingdom2 contributions</v>
      </c>
      <c r="Q69" s="4" t="str">
        <f ca="1">IFERROR(__xludf.DUMMYFUNCTION("""COMPUTED_VALUE"""),"Fantastic HotelWe visited from 2/7 - 8/7. There were 3 adults in a family room. Our room 
was huge with plenty of room for us. The hotel was easily found from 
Waterloo tube station, less than 5 minute walk. On the way there are small 
a Sainsbury’s and a"&amp;" Tesco. We arrived early and asked if we could leave our 
cases, no problem at all. The staff were so friendly and asked us when we 
would roughly be back. We told them and they told us to have a lovely day. 
They gave us a map of London which was fabulou"&amp;"s and we used it the whole 
time we were there. Our room had a view of the London Eye. You know that in 
a Travelodge there isn’t a wardrobe but we each had 4 coathangers which was 
great. Tea and coffee facilities in our room were perfect. The bathroom w"&amp;"as 
a good size and the shower had great pressure…Read moreDate of stay: July 
2019HelpfulShare")</f>
        <v>Fantastic HotelWe visited from 2/7 - 8/7. There were 3 adults in a family room. Our room 
was huge with plenty of room for us. The hotel was easily found from 
Waterloo tube station, less than 5 minute walk. On the way there are small 
a Sainsbury’s and a Tesco. We arrived early and asked if we could leave our 
cases, no problem at all. The staff were so friendly and asked us when we 
would roughly be back. We told them and they told us to have a lovely day. 
They gave us a map of London which was fabulous and we used it the whole 
time we were there. Our room had a view of the London Eye. You know that in 
a Travelodge there isn’t a wardrobe but we each had 4 coathangers which was 
great. Tea and coffee facilities in our room were perfect. The bathroom was 
a good size and the shower had great pressure…Read moreDate of stay: July 
2019HelpfulShare</v>
      </c>
      <c r="U69" s="4" t="str">
        <f ca="1">IFERROR(__xludf.DUMMYFUNCTION("IMPORTXML(C70,$U$1)"),"Loading...")</f>
        <v>Loading...</v>
      </c>
    </row>
    <row r="70" spans="1:21" ht="15">
      <c r="A70" s="25" t="s">
        <v>5638</v>
      </c>
      <c r="B70" s="17" t="s">
        <v>126</v>
      </c>
      <c r="C70" s="23" t="str">
        <f t="shared" si="0"/>
        <v>https://www.tripadvisor.co.uk/Hotel_Review-g186338-d1812157-Reviews-or340-Travelodge_London_Waterloo_Hotel-London_England.html#REVIEWS</v>
      </c>
      <c r="D70" s="4" t="str">
        <f ca="1">IFERROR(__xludf.DUMMYFUNCTION("IMPORTXML(C70,$D$1)"),"Marmaduke wrote a review Jul 2019Newcastle-under-Lyme, United Kingdom1 
contribution")</f>
        <v>Marmaduke wrote a review Jul 2019Newcastle-under-Lyme, United Kingdom1 
contribution</v>
      </c>
      <c r="E70" s="4" t="str">
        <f ca="1">IFERROR(__xludf.DUMMYFUNCTION("""COMPUTED_VALUE"""),"Waterloo TravelodgeAn excellent hotel ideally located for our concert at The Royal Festival 
Hall. A clean and comfortable room with air conditioning which worked 
perfectly. All staff very friendly and helpful. A comprehensive breakfast 
menuRead moreRev"&amp;"iew collected in partnership with TravelodgeDate of stay: 
July 2019HelpfulShare")</f>
        <v>Waterloo TravelodgeAn excellent hotel ideally located for our concert at The Royal Festival 
Hall. A clean and comfortable room with air conditioning which worked 
perfectly. All staff very friendly and helpful. A comprehensive breakfast 
menuRead moreReview collected in partnership with TravelodgeDate of stay: 
July 2019HelpfulShare</v>
      </c>
      <c r="G70" s="24" t="str">
        <f ca="1">IFERROR(__xludf.DUMMYFUNCTION("IMPORTXML(C70, $G$1)"),"loungedog wrote a review Jul 2019illinois65 contributions28 helpful votes")</f>
        <v>loungedog wrote a review Jul 2019illinois65 contributions28 helpful votes</v>
      </c>
      <c r="H70" s="4" t="str">
        <f ca="1">IFERROR(__xludf.DUMMYFUNCTION("""COMPUTED_VALUE"""),"pleasantly surprisedWe booked our trip to London last minute and were very pleased with the 
hotel. The staff was friendly and helpful. My husband and son are very 
tall, so rooms with 2 double beds (or full size beds) will not work for us. 
This room was"&amp;" large for London, and had a king sized bed plus an extra twin 
bed. Room was quiet at night, and we were able to get a good night's sleep. 
Location was great. We were walking distance to many attractions including 
London Eye and Buckingham Palace. Ther"&amp;"e are lots of shops and restaurants 
within a 5 minute walk from the hotel, and both the Waterloo and Southwark 
tube stations are a short walk. We particularly enjoyed the Duke of Sussex 
pub and the Three Stags pubs - both had great food, and were an ea"&amp;"sy walk 
from the hotel. The only thing I'd change is…Read moreDate of stay: July 
2019HelpfulShare")</f>
        <v>pleasantly surprisedWe booked our trip to London last minute and were very pleased with the 
hotel. The staff was friendly and helpful. My husband and son are very 
tall, so rooms with 2 double beds (or full size beds) will not work for us. 
This room was large for London, and had a king sized bed plus an extra twin 
bed. Room was quiet at night, and we were able to get a good night's sleep. 
Location was great. We were walking distance to many attractions including 
London Eye and Buckingham Palace. There are lots of shops and restaurants 
within a 5 minute walk from the hotel, and both the Waterloo and Southwark 
tube stations are a short walk. We particularly enjoyed the Duke of Sussex 
pub and the Three Stags pubs - both had great food, and were an easy walk 
from the hotel. The only thing I'd change is…Read moreDate of stay: July 
2019HelpfulShare</v>
      </c>
      <c r="I70" s="21"/>
      <c r="J70" s="21" t="str">
        <f ca="1">IFERROR(__xludf.DUMMYFUNCTION("IMPORTXML(C70, $J$1)"),"Tinkerbell068 wrote a review Jul 2019Glasgow, United Kingdom30 
contributions16 helpful votes")</f>
        <v>Tinkerbell068 wrote a review Jul 2019Glasgow, United Kingdom30 
contributions16 helpful votes</v>
      </c>
      <c r="K70" s="4" t="str">
        <f ca="1">IFERROR(__xludf.DUMMYFUNCTION("""COMPUTED_VALUE"""),"Favourite London hotelMy sister and I stay here every year in our annual trip to London. Spotless 
hotel, great location, great staff, well run and well replenished breakfast 
service. Good quality of food. Only downside for us was 3 male guests 
standing"&amp;" at the bar on Sunday night, guzzling beer , talking loudly and 
swearing. They should have been asked to sit down as it’s not a pub, the 
bar isn’t really the sort of place not big enough to have people standing 
there for hours drinking, as well as bein"&amp;"g in reception- quite off- 
putting. . The younger bar staff could also do with learning about 
different choice of drinks and how to prepare them but otherwise it is a 
great hotel.Read moreReview collected in partnership with TravelodgeDate of 
stay: Ju"&amp;"ly 2019HelpfulShare")</f>
        <v>Favourite London hotelMy sister and I stay here every year in our annual trip to London. Spotless 
hotel, great location, great staff, well run and well replenished breakfast 
service. Good quality of food. Only downside for us was 3 male guests 
standing at the bar on Sunday night, guzzling beer , talking loudly and 
swearing. They should have been asked to sit down as it’s not a pub, the 
bar isn’t really the sort of place not big enough to have people standing 
there for hours drinking, as well as being in reception- quite off- 
putting. . The younger bar staff could also do with learning about 
different choice of drinks and how to prepare them but otherwise it is a 
great hotel.Read moreReview collected in partnership with TravelodgeDate of 
stay: July 2019HelpfulShare</v>
      </c>
      <c r="L70" s="21"/>
      <c r="M70" s="21" t="str">
        <f ca="1">IFERROR(__xludf.DUMMYFUNCTION("IMPORTXML(C70, $M$1)"),"#N/A")</f>
        <v>#N/A</v>
      </c>
      <c r="O70" s="21"/>
      <c r="P70" s="21" t="str">
        <f ca="1">IFERROR(__xludf.DUMMYFUNCTION("IMPORTXML(C70, $P$1)"),"KatieP wrote a review Jul 20195 contributions1 helpful vote")</f>
        <v>KatieP wrote a review Jul 20195 contributions1 helpful vote</v>
      </c>
      <c r="Q70" s="4" t="str">
        <f ca="1">IFERROR(__xludf.DUMMYFUNCTION("""COMPUTED_VALUE"""),"London WeekendMe and my husband stayed here on our weekend trip to London. This is the 
2nd time we've stayed here due to the location and how nice the hotel was. 
Everything is on your doorstep in Waterloo, and the staff are extremely 
helpful here at th"&amp;"is Travelodge ����Read moreDate of stay: July 
2019HelpfulShare")</f>
        <v>London WeekendMe and my husband stayed here on our weekend trip to London. This is the 
2nd time we've stayed here due to the location and how nice the hotel was. 
Everything is on your doorstep in Waterloo, and the staff are extremely 
helpful here at this Travelodge ����Read moreDate of stay: July 
2019HelpfulShare</v>
      </c>
      <c r="U70" s="4" t="str">
        <f ca="1">IFERROR(__xludf.DUMMYFUNCTION("IMPORTXML(C71,$U$1)"),"Loading...")</f>
        <v>Loading...</v>
      </c>
    </row>
    <row r="71" spans="1:21" ht="15">
      <c r="A71" s="5" t="s">
        <v>5689</v>
      </c>
      <c r="B71" s="17" t="s">
        <v>126</v>
      </c>
      <c r="C71" s="23" t="str">
        <f t="shared" si="0"/>
        <v>https://www.tripadvisor.co.uk/Hotel_Review-g186338-d1812157-Reviews-or345-Travelodge_London_Waterloo_Hotel-London_England.html#REVIEWS</v>
      </c>
      <c r="D71" s="4" t="str">
        <f ca="1">IFERROR(__xludf.DUMMYFUNCTION("IMPORTXML(C71,$D$1)"),"António Vasco d wrote a review Jul 2019Porto, Portugal7 contributions")</f>
        <v>António Vasco d wrote a review Jul 2019Porto, Portugal7 contributions</v>
      </c>
      <c r="E71" s="4" t="str">
        <f ca="1">IFERROR(__xludf.DUMMYFUNCTION("""COMPUTED_VALUE"""),"Visit to LondonBig enough, comfortable and clean room. Only the bathroom needed some small 
repairs to be perfect. Excellent location, near buses and metro and train 
station. Coffee and tea in the room, always nice. Front desk nice and 
efficient .Read m"&amp;"oreReview collected in partnership with TravelodgeDate of 
stay: July 2019HelpfulShare")</f>
        <v>Visit to LondonBig enough, comfortable and clean room. Only the bathroom needed some small 
repairs to be perfect. Excellent location, near buses and metro and train 
station. Coffee and tea in the room, always nice. Front desk nice and 
efficient .Read moreReview collected in partnership with TravelodgeDate of 
stay: July 2019HelpfulShare</v>
      </c>
      <c r="G71" s="24" t="str">
        <f ca="1">IFERROR(__xludf.DUMMYFUNCTION("IMPORTXML(C71, $G$1)"),"#N/A")</f>
        <v>#N/A</v>
      </c>
      <c r="I71" s="21"/>
      <c r="J71" s="21" t="str">
        <f ca="1">IFERROR(__xludf.DUMMYFUNCTION("IMPORTXML(C71, $J$1)"),"Emily H wrote a review Jul 2019Cincinnati, Ohio42 contributions27 helpful 
votes")</f>
        <v>Emily H wrote a review Jul 2019Cincinnati, Ohio42 contributions27 helpful 
votes</v>
      </c>
      <c r="K71" s="4" t="str">
        <f ca="1">IFERROR(__xludf.DUMMYFUNCTION("""COMPUTED_VALUE"""),"Great Hotel in Central LondonGreat value hotel. Only a few minute walk to the Waterloo station. Hotel 
room was very quiet and the bed was comfortable. There is a bar / 
restaurant on the ground floor, but many places nearby if you don't want to 
get the "&amp;"breakfast from the hotel. Would stay here again.Read moreDate of 
stay: July 2019HelpfulShare")</f>
        <v>Great Hotel in Central LondonGreat value hotel. Only a few minute walk to the Waterloo station. Hotel 
room was very quiet and the bed was comfortable. There is a bar / 
restaurant on the ground floor, but many places nearby if you don't want to 
get the breakfast from the hotel. Would stay here again.Read moreDate of 
stay: July 2019HelpfulShare</v>
      </c>
      <c r="L71" s="21"/>
      <c r="M71" s="21" t="str">
        <f ca="1">IFERROR(__xludf.DUMMYFUNCTION("IMPORTXML(C71, $M$1)"),"Celia D wrote a review Jul 2019Macclesfield, United Kingdom37 
contributions8 helpful votes")</f>
        <v>Celia D wrote a review Jul 2019Macclesfield, United Kingdom37 
contributions8 helpful votes</v>
      </c>
      <c r="N71" s="4" t="str">
        <f ca="1">IFERROR(__xludf.DUMMYFUNCTION("""COMPUTED_VALUE"""),"Great location &amp; Friendly staffThis Travelodge is a great place to stay as the location is ideal for 
exploring London - get to anywhere in minutes! Could see the London Eye 
from my bedroom window. Good place for wheelchair users - dropped 
reception, li"&amp;"fts, bedroom roomy and wet room. Just a note that if, like me, 
you need a bit of support in the shower, the drop-down stool was a bit 
small and slippery - I'm sure Travelodge will address this. Had a great 
time and the staff were friendly, helpful and "&amp;"genuinely wanted us to have a 
nice holiday. Stayed 5 nights here and would DEFINITELY come again - 
location, location, location AND we had Waterloo Foodie Fortnight - so 
eating out was exciting and different.Read moreReview collected in 
partnership wi"&amp;"th TravelodgeDate of stay: July 2019HelpfulShare")</f>
        <v>Great location &amp; Friendly staffThis Travelodge is a great place to stay as the location is ideal for 
exploring London - get to anywhere in minutes! Could see the London Eye 
from my bedroom window. Good place for wheelchair users - dropped 
reception, lifts, bedroom roomy and wet room. Just a note that if, like me, 
you need a bit of support in the shower, the drop-down stool was a bit 
small and slippery - I'm sure Travelodge will address this. Had a great 
time and the staff were friendly, helpful and genuinely wanted us to have a 
nice holiday. Stayed 5 nights here and would DEFINITELY come again - 
location, location, location AND we had Waterloo Foodie Fortnight - so 
eating out was exciting and different.Read moreReview collected in 
partnership with TravelodgeDate of stay: July 2019HelpfulShare</v>
      </c>
      <c r="O71" s="21"/>
      <c r="P71" s="21" t="str">
        <f ca="1">IFERROR(__xludf.DUMMYFUNCTION("IMPORTXML(C71, $P$1)"),"#N/A")</f>
        <v>#N/A</v>
      </c>
      <c r="U71" s="4" t="str">
        <f ca="1">IFERROR(__xludf.DUMMYFUNCTION("IMPORTXML(C72,$U$1)"),"Loading...")</f>
        <v>Loading...</v>
      </c>
    </row>
    <row r="72" spans="1:21" ht="15">
      <c r="A72" s="25" t="s">
        <v>5736</v>
      </c>
      <c r="B72" s="17" t="s">
        <v>126</v>
      </c>
      <c r="C72" s="23" t="str">
        <f t="shared" si="0"/>
        <v>https://www.tripadvisor.co.uk/Hotel_Review-g186338-d1812157-Reviews-or350-Travelodge_London_Waterloo_Hotel-London_England.html#REVIEWS</v>
      </c>
      <c r="D72" s="4" t="str">
        <f ca="1">IFERROR(__xludf.DUMMYFUNCTION("IMPORTXML(C72,$D$1)"),"ianjwilliams wrote a review Jul 2019Llanfairpwllgwyngyll, United Kingdom1 
contribution")</f>
        <v>ianjwilliams wrote a review Jul 2019Llanfairpwllgwyngyll, United Kingdom1 
contribution</v>
      </c>
      <c r="E72" s="4" t="str">
        <f ca="1">IFERROR(__xludf.DUMMYFUNCTION("""COMPUTED_VALUE"""),"Nice hotel. Great Value for money!This Travelodge is great value for money. Ideal location and really nice 
rooms which had air conditioning. This was awesome as we were in London 
when it and was 34oc! Staff were very friendly too. Very recommend!Read 
m"&amp;"oreReview collected in partnership with TravelodgeDate of stay: June 
2019HelpfulShare")</f>
        <v>Nice hotel. Great Value for money!This Travelodge is great value for money. Ideal location and really nice 
rooms which had air conditioning. This was awesome as we were in London 
when it and was 34oc! Staff were very friendly too. Very recommend!Read 
moreReview collected in partnership with TravelodgeDate of stay: June 
2019HelpfulShare</v>
      </c>
      <c r="G72" s="24" t="str">
        <f ca="1">IFERROR(__xludf.DUMMYFUNCTION("IMPORTXML(C72, $G$1)"),"TravelAgentTracey wrote a review Jul 2019South Shields36 contributions13 
helpful votes")</f>
        <v>TravelAgentTracey wrote a review Jul 2019South Shields36 contributions13 
helpful votes</v>
      </c>
      <c r="H72" s="4" t="str">
        <f ca="1">IFERROR(__xludf.DUMMYFUNCTION("""COMPUTED_VALUE"""),"GreatWell I’ve stayed in many a posh hotel in London and payed more than double 
than I have to stay at this hotel! This Travelodge was everything I needed 
Great service Great Staff Great Location Great Comfort and defo Great 
breakfast. I will certainly"&amp;" backRead moreDate of stay: July 2019HelpfulShare")</f>
        <v>GreatWell I’ve stayed in many a posh hotel in London and payed more than double 
than I have to stay at this hotel! This Travelodge was everything I needed 
Great service Great Staff Great Location Great Comfort and defo Great 
breakfast. I will certainly backRead moreDate of stay: July 2019HelpfulShare</v>
      </c>
      <c r="I72" s="21"/>
      <c r="J72" s="21" t="str">
        <f ca="1">IFERROR(__xludf.DUMMYFUNCTION("IMPORTXML(C72, $J$1)"),"James C wrote a review Jul 20191 contribution")</f>
        <v>James C wrote a review Jul 20191 contribution</v>
      </c>
      <c r="K72" s="4" t="str">
        <f ca="1">IFERROR(__xludf.DUMMYFUNCTION("""COMPUTED_VALUE"""),"If I big this up, I'll spoil it for myself!Great location, very friendly staff, especially Lindsay, who was full of 
life and a pleasure to talk to. Room was comfortable and clean. Happy hour 
from 4pm until 6pm EVERY day. Perfect 2 day stay. Thank you Tr"&amp;"avelodge!Read 
moreReview collected in partnership with TravelodgeDate of stay: July 
2019HelpfulShare")</f>
        <v>If I big this up, I'll spoil it for myself!Great location, very friendly staff, especially Lindsay, who was full of 
life and a pleasure to talk to. Room was comfortable and clean. Happy hour 
from 4pm until 6pm EVERY day. Perfect 2 day stay. Thank you Travelodge!Read 
moreReview collected in partnership with TravelodgeDate of stay: July 
2019HelpfulShare</v>
      </c>
      <c r="L72" s="21"/>
      <c r="M72" s="21" t="str">
        <f ca="1">IFERROR(__xludf.DUMMYFUNCTION("IMPORTXML(C72, $M$1)"),"sagger-hayward wrote a review Jul 2019Isle of Wight, United Kingdom3 
contributions")</f>
        <v>sagger-hayward wrote a review Jul 2019Isle of Wight, United Kingdom3 
contributions</v>
      </c>
      <c r="N72" s="4" t="str">
        <f ca="1">IFERROR(__xludf.DUMMYFUNCTION("""COMPUTED_VALUE"""),"Great Service.Wow What a great time we had..So Happy we chose this Travelodge as very 
convenient to Waterloo station plus excellent staff. The lady behind the 
desk called Humayra was really helpful and also bothered to find us to let 
us know our room w"&amp;"as ready. Also on check out we said we were going just to 
get some lunch before traveling and she kindly suggested that we could 
leave our cases and pick them up later. Also Raisa was great in helping 
sort out our needs. Thank youRead moreDate of stay:"&amp;" July 2019HelpfulShare")</f>
        <v>Great Service.Wow What a great time we had..So Happy we chose this Travelodge as very 
convenient to Waterloo station plus excellent staff. The lady behind the 
desk called Humayra was really helpful and also bothered to find us to let 
us know our room was ready. Also on check out we said we were going just to 
get some lunch before traveling and she kindly suggested that we could 
leave our cases and pick them up later. Also Raisa was great in helping 
sort out our needs. Thank youRead moreDate of stay: July 2019HelpfulShare</v>
      </c>
      <c r="O72" s="21"/>
      <c r="P72" s="21" t="str">
        <f ca="1">IFERROR(__xludf.DUMMYFUNCTION("IMPORTXML(C72, $P$1)"),"#N/A")</f>
        <v>#N/A</v>
      </c>
      <c r="U72" s="4" t="str">
        <f ca="1">IFERROR(__xludf.DUMMYFUNCTION("IMPORTXML(C73,$U$1)"),"Loading...")</f>
        <v>Loading...</v>
      </c>
    </row>
    <row r="73" spans="1:21" ht="15">
      <c r="A73" s="25" t="s">
        <v>5743</v>
      </c>
      <c r="B73" s="17" t="s">
        <v>126</v>
      </c>
      <c r="C73" s="23" t="str">
        <f t="shared" si="0"/>
        <v>https://www.tripadvisor.co.uk/Hotel_Review-g186338-d1812157-Reviews-or355-Travelodge_London_Waterloo_Hotel-London_England.html#REVIEWS</v>
      </c>
      <c r="D73" s="4" t="str">
        <f ca="1">IFERROR(__xludf.DUMMYFUNCTION("IMPORTXML(C73,$D$1)"),"Kevypee wrote a review Jul 2019Hythe, United Kingdom66 contributions37 
helpful votes")</f>
        <v>Kevypee wrote a review Jul 2019Hythe, United Kingdom66 contributions37 
helpful votes</v>
      </c>
      <c r="E73" s="4" t="str">
        <f ca="1">IFERROR(__xludf.DUMMYFUNCTION("""COMPUTED_VALUE"""),"Place to rest your headNot a terrible location, easy to walk to the river and main central sights. 
Hotel is clean and well maintained. Rooms were as expected. Breakfast was 
better than expected, although still nothing that special. Staff were 
really fr"&amp;"iendly, helpful and welcoming.Read moreDate of stay: July 
2019HelpfulShareResponse from TravelodgeUK, Tilly from The Social Media 
Team at Travelodge London Waterloo HotelResponded 19 Jul 2019Thank you for 
your review of our London Waterloo Hotel We are"&amp;" delighted to hear that you 
were impressed with your stay. It is our aim to provide an enjoyable stay 
to all of our guests, and feedback like yours is always a pleasure to 
receive. Thanks again for taking the time to submit your review, we hope to 
wel"&amp;"come you back to stay with us again in the near future.Read more")</f>
        <v>Place to rest your headNot a terrible location, easy to walk to the river and main central sights. 
Hotel is clean and well maintained. Rooms were as expected. Breakfast was 
better than expected, although still nothing that special. Staff were 
really friendly, helpful and welcoming.Read moreDate of stay: July 
2019HelpfulShareResponse from TravelodgeUK, Tilly from The Social Media 
Team at Travelodge London Waterloo HotelResponded 19 Jul 2019Thank you for 
your review of our London Waterloo Hotel We are delighted to hear that you 
were impressed with your stay. It is our aim to provide an enjoyable stay 
to all of our guests, and feedback like yours is always a pleasure to 
receive. Thanks again for taking the time to submit your review, we hope to 
welcome you back to stay with us again in the near future.Read more</v>
      </c>
      <c r="G73" s="24" t="str">
        <f ca="1">IFERROR(__xludf.DUMMYFUNCTION("IMPORTXML(C73, $G$1)"),"#N/A")</f>
        <v>#N/A</v>
      </c>
      <c r="I73" s="21"/>
      <c r="J73" s="21" t="str">
        <f ca="1">IFERROR(__xludf.DUMMYFUNCTION("IMPORTXML(C73, $J$1)"),"#N/A")</f>
        <v>#N/A</v>
      </c>
      <c r="L73" s="21"/>
      <c r="M73" s="21" t="str">
        <f ca="1">IFERROR(__xludf.DUMMYFUNCTION("IMPORTXML(C73, $M$1)"),"Rasan wrote a review Jul 20191 contribution1 helpful vote")</f>
        <v>Rasan wrote a review Jul 20191 contribution1 helpful vote</v>
      </c>
      <c r="N73" s="4" t="str">
        <f ca="1">IFERROR(__xludf.DUMMYFUNCTION("""COMPUTED_VALUE"""),"Excellent location, friendly staffI stayed there with 2 other friends. It was clean, with an excellent 
location; 5 minutes walk to the Waterloo station, and 20 minutes walk to 
the London eye. Staff were friendly, especially Nieza and Marcio who were 
ve"&amp;"ry helpful. The Lavazza bar and coffee shop was cosy and lively.Read 
moreDate of stay: June 2019HelpfulShare")</f>
        <v>Excellent location, friendly staffI stayed there with 2 other friends. It was clean, with an excellent 
location; 5 minutes walk to the Waterloo station, and 20 minutes walk to 
the London eye. Staff were friendly, especially Nieza and Marcio who were 
very helpful. The Lavazza bar and coffee shop was cosy and lively.Read 
moreDate of stay: June 2019HelpfulShare</v>
      </c>
      <c r="O73" s="21"/>
      <c r="P73" s="21" t="str">
        <f ca="1">IFERROR(__xludf.DUMMYFUNCTION("IMPORTXML(C73, $P$1)"),"Natalie F wrote a review Jul 2019Birmingham, United Kingdom10 
contributions2 helpful votes")</f>
        <v>Natalie F wrote a review Jul 2019Birmingham, United Kingdom10 
contributions2 helpful votes</v>
      </c>
      <c r="Q73" s="4" t="str">
        <f ca="1">IFERROR(__xludf.DUMMYFUNCTION("""COMPUTED_VALUE"""),"Birthday tripThe hotel was situated in an excellent spot not too far from the station. 
The hotel receptionist was very professional and provided us with a 
fantastic upgrade at our request due to us being tall customers. Thank you 
Hilina, you’re one of "&amp;"the best staff members we’ve met !!!Read moreDate of 
stay: June 2019HelpfulShare")</f>
        <v>Birthday tripThe hotel was situated in an excellent spot not too far from the station. 
The hotel receptionist was very professional and provided us with a 
fantastic upgrade at our request due to us being tall customers. Thank you 
Hilina, you’re one of the best staff members we’ve met !!!Read moreDate of 
stay: June 2019HelpfulShare</v>
      </c>
      <c r="U73" s="4" t="str">
        <f ca="1">IFERROR(__xludf.DUMMYFUNCTION("IMPORTXML(C74,$U$1)"),"Loading...")</f>
        <v>Loading...</v>
      </c>
    </row>
    <row r="74" spans="1:21" ht="15">
      <c r="A74" s="25" t="s">
        <v>5744</v>
      </c>
      <c r="B74" s="17" t="s">
        <v>126</v>
      </c>
      <c r="C74" s="23" t="str">
        <f t="shared" si="0"/>
        <v>https://www.tripadvisor.co.uk/Hotel_Review-g186338-d1812157-Reviews-or360-Travelodge_London_Waterloo_Hotel-London_England.html#REVIEWS</v>
      </c>
      <c r="D74" s="4" t="str">
        <f ca="1">IFERROR(__xludf.DUMMYFUNCTION("IMPORTXML(C74,$D$1)"),"kendrickpi wrote a review Jul 2019Leeds, United Kingdom27 contributions5 
helpful votes")</f>
        <v>kendrickpi wrote a review Jul 2019Leeds, United Kingdom27 contributions5 
helpful votes</v>
      </c>
      <c r="E74" s="4" t="str">
        <f ca="1">IFERROR(__xludf.DUMMYFUNCTION("""COMPUTED_VALUE"""),"Faith restored: Doris is a hitWhen travelling for work, one hotel room is much like the next; so long as 
it is clean, the bed firm, and the shower works, does one remember one trip 
from another? Well this morning, at breakfast, when my desired beverage "&amp;"
failed to be dispensed, Doris was thankfully on hand and sprang into action 
to make sure I got my favoured morning brew. It’s kindnesses such as these 
that make the start to the day and any stay at any hotel all the more 
memorable. Thank you Doris, th"&amp;"ank your Travelodge.Read moreDate of stay: 
July 2019HelpfulShare")</f>
        <v>Faith restored: Doris is a hitWhen travelling for work, one hotel room is much like the next; so long as 
it is clean, the bed firm, and the shower works, does one remember one trip 
from another? Well this morning, at breakfast, when my desired beverage 
failed to be dispensed, Doris was thankfully on hand and sprang into action 
to make sure I got my favoured morning brew. It’s kindnesses such as these 
that make the start to the day and any stay at any hotel all the more 
memorable. Thank you Doris, thank your Travelodge.Read moreDate of stay: 
July 2019HelpfulShare</v>
      </c>
      <c r="G74" s="24" t="str">
        <f ca="1">IFERROR(__xludf.DUMMYFUNCTION("IMPORTXML(C74, $G$1)"),"Cosmopolitan542058 wrote a review Jul 20191 contribution1 helpful vote")</f>
        <v>Cosmopolitan542058 wrote a review Jul 20191 contribution1 helpful vote</v>
      </c>
      <c r="H74" s="4" t="str">
        <f ca="1">IFERROR(__xludf.DUMMYFUNCTION("""COMPUTED_VALUE"""),"Perfect locationIf you need to be close to Waterloo main line trains and the underground 
then this is hotel is only a few minutes walk away. It also has a nice bar 
area which was most welcome after a long day out and about in London.Read 
moreReview col"&amp;"lected in partnership with TravelodgeDate of stay: June 
2019HelpfulShare")</f>
        <v>Perfect locationIf you need to be close to Waterloo main line trains and the underground 
then this is hotel is only a few minutes walk away. It also has a nice bar 
area which was most welcome after a long day out and about in London.Read 
moreReview collected in partnership with TravelodgeDate of stay: June 
2019HelpfulShare</v>
      </c>
      <c r="I74" s="21"/>
      <c r="J74" s="21" t="str">
        <f ca="1">IFERROR(__xludf.DUMMYFUNCTION("IMPORTXML(C74, $J$1)"),"Venture31245517909 wrote a review Jul 2019Isle of Portland, United Kingdom1 
contribution")</f>
        <v>Venture31245517909 wrote a review Jul 2019Isle of Portland, United Kingdom1 
contribution</v>
      </c>
      <c r="K74" s="4" t="str">
        <f ca="1">IFERROR(__xludf.DUMMYFUNCTION("""COMPUTED_VALUE"""),"Happy stayEverything was great, very friendly and helpful staff. Clean and 
functional, well located. Considering it’s position the hotel was not 
noisy. The staff appeared busy but very attentive to visitors needs.Read 
moreReview collected in partnershi"&amp;"p with TravelodgeDate of stay: July 
2019HelpfulShare")</f>
        <v>Happy stayEverything was great, very friendly and helpful staff. Clean and 
functional, well located. Considering it’s position the hotel was not 
noisy. The staff appeared busy but very attentive to visitors needs.Read 
moreReview collected in partnership with TravelodgeDate of stay: July 
2019HelpfulShare</v>
      </c>
      <c r="L74" s="21"/>
      <c r="M74" s="21" t="str">
        <f ca="1">IFERROR(__xludf.DUMMYFUNCTION("IMPORTXML(C74, $M$1)"),"Samantha J wrote a review Jul 2019Bournemouth, United Kingdom8 contributions")</f>
        <v>Samantha J wrote a review Jul 2019Bournemouth, United Kingdom8 contributions</v>
      </c>
      <c r="N74" s="4" t="str">
        <f ca="1">IFERROR(__xludf.DUMMYFUNCTION("""COMPUTED_VALUE"""),"Excellent StayRoom very clean, comfortable and quiet. All of the staff team were friendly 
and polite and we were made to feel very welcome.. The bar was clean and 
inviting, just the place to chill out after a day in london. we would 
definitely stay her"&amp;"e againRead moreReview collected in partnership with 
TravelodgeDate of stay: June 2019HelpfulShare")</f>
        <v>Excellent StayRoom very clean, comfortable and quiet. All of the staff team were friendly 
and polite and we were made to feel very welcome.. The bar was clean and 
inviting, just the place to chill out after a day in london. we would 
definitely stay here againRead moreReview collected in partnership with 
TravelodgeDate of stay: June 2019HelpfulShare</v>
      </c>
      <c r="O74" s="21"/>
      <c r="P74" s="21" t="str">
        <f ca="1">IFERROR(__xludf.DUMMYFUNCTION("IMPORTXML(C74, $P$1)"),"#N/A")</f>
        <v>#N/A</v>
      </c>
      <c r="U74" s="4" t="str">
        <f ca="1">IFERROR(__xludf.DUMMYFUNCTION("IMPORTXML(C75,$U$1)"),"Loading...")</f>
        <v>Loading...</v>
      </c>
    </row>
    <row r="75" spans="1:21" ht="15">
      <c r="A75" s="5" t="s">
        <v>5745</v>
      </c>
      <c r="B75" s="17" t="s">
        <v>126</v>
      </c>
      <c r="C75" s="23" t="str">
        <f t="shared" si="0"/>
        <v>https://www.tripadvisor.co.uk/Hotel_Review-g186338-d1812157-Reviews-or365-Travelodge_London_Waterloo_Hotel-London_England.html#REVIEWS</v>
      </c>
      <c r="D75" s="4" t="str">
        <f ca="1">IFERROR(__xludf.DUMMYFUNCTION("IMPORTXML(C75,$D$1)"),"karl v wrote a review Jul 20191 contribution")</f>
        <v>karl v wrote a review Jul 20191 contribution</v>
      </c>
      <c r="E75" s="4" t="str">
        <f ca="1">IFERROR(__xludf.DUMMYFUNCTION("""COMPUTED_VALUE"""),"Very clean but smallLovey friendly staff. A lot of room and fairly small. The bathroom was 
fairly cramped. Was very clean and the aircon was a very nice touch in the 
heat. The whole hotel was clean. The bed and pillows were uncomfortable but 
as expecte"&amp;"d at that price. We went for a concert at Wembley so only stayed 
a night. Ideal for that kind of thing. Couldn’t last a week in the room 
howeverRead moreReview collected in partnership with TravelodgeDate of 
stay: June 2019HelpfulShare")</f>
        <v>Very clean but smallLovey friendly staff. A lot of room and fairly small. The bathroom was 
fairly cramped. Was very clean and the aircon was a very nice touch in the 
heat. The whole hotel was clean. The bed and pillows were uncomfortable but 
as expected at that price. We went for a concert at Wembley so only stayed 
a night. Ideal for that kind of thing. Couldn’t last a week in the room 
howeverRead moreReview collected in partnership with TravelodgeDate of 
stay: June 2019HelpfulShare</v>
      </c>
      <c r="G75" s="24" t="str">
        <f ca="1">IFERROR(__xludf.DUMMYFUNCTION("IMPORTXML(C75, $G$1)"),"Trail38644855920 wrote a review Jul 2019Kidderminster, United Kingdom1 
contribution")</f>
        <v>Trail38644855920 wrote a review Jul 2019Kidderminster, United Kingdom1 
contribution</v>
      </c>
      <c r="H75" s="4" t="str">
        <f ca="1">IFERROR(__xludf.DUMMYFUNCTION("""COMPUTED_VALUE"""),"Excellent StayGreat room, shower, food, location and staff. Felt really comfortable in 
room which was spotless and air conditioning was superb especially as 
outside temperature was 33c Great overall value for money. We will 
definitely stay again.Read m"&amp;"oreReview collected in partnership with 
TravelodgeDate of stay: June 2019HelpfulShare")</f>
        <v>Excellent StayGreat room, shower, food, location and staff. Felt really comfortable in 
room which was spotless and air conditioning was superb especially as 
outside temperature was 33c Great overall value for money. We will 
definitely stay again.Read moreReview collected in partnership with 
TravelodgeDate of stay: June 2019HelpfulShare</v>
      </c>
      <c r="I75" s="21"/>
      <c r="J75" s="21" t="str">
        <f ca="1">IFERROR(__xludf.DUMMYFUNCTION("IMPORTXML(C75, $J$1)"),"Departure13673657292 wrote a review Jul 2019Gosport, United Kingdom1 
contribution")</f>
        <v>Departure13673657292 wrote a review Jul 2019Gosport, United Kingdom1 
contribution</v>
      </c>
      <c r="K75" s="4" t="str">
        <f ca="1">IFERROR(__xludf.DUMMYFUNCTION("""COMPUTED_VALUE"""),"Location, location, location!Great hotel with all the basic amenities you would like for a short weekend 
break. Close to Tube and mainline station, very clean and tidy with 
friendly staff. Having its own 24/7 bar was a great bonus and the breakfast 
was"&amp;" plentiful. Would definitely return.Read moreReview collected in 
partnership with TravelodgeDate of stay: June 2019HelpfulShare")</f>
        <v>Location, location, location!Great hotel with all the basic amenities you would like for a short weekend 
break. Close to Tube and mainline station, very clean and tidy with 
friendly staff. Having its own 24/7 bar was a great bonus and the breakfast 
was plentiful. Would definitely return.Read moreReview collected in 
partnership with TravelodgeDate of stay: June 2019HelpfulShare</v>
      </c>
      <c r="L75" s="21"/>
      <c r="M75" s="21" t="str">
        <f ca="1">IFERROR(__xludf.DUMMYFUNCTION("IMPORTXML(C75, $M$1)"),"Frankienorman wrote a review Jun 2019Greater Manchester, United Kingdom126 
contributions15 helpful votes")</f>
        <v>Frankienorman wrote a review Jun 2019Greater Manchester, United Kingdom126 
contributions15 helpful votes</v>
      </c>
      <c r="N75" s="4" t="str">
        <f ca="1">IFERROR(__xludf.DUMMYFUNCTION("""COMPUTED_VALUE"""),"Great valueBooked to stay here with friends whilst seeing a concert at Wembley. We 
booked a family room which was a good size and spotlessly clean, we were on 
the 8the floor with a partial view of the London eye. The hotel was in easy 
walking distance "&amp;"to Waterloo tube station and easy to get around sites of 
London. Very easy to get to Wembley stadium too. Staff all lovely and would 
definitely stay again.Read moreReview collected in partnership with 
TravelodgeDate of stay: June 2019HelpfulShare")</f>
        <v>Great valueBooked to stay here with friends whilst seeing a concert at Wembley. We 
booked a family room which was a good size and spotlessly clean, we were on 
the 8the floor with a partial view of the London eye. The hotel was in easy 
walking distance to Waterloo tube station and easy to get around sites of 
London. Very easy to get to Wembley stadium too. Staff all lovely and would 
definitely stay again.Read moreReview collected in partnership with 
TravelodgeDate of stay: June 2019HelpfulShare</v>
      </c>
      <c r="O75" s="21"/>
      <c r="P75" s="21" t="str">
        <f ca="1">IFERROR(__xludf.DUMMYFUNCTION("IMPORTXML(C75, $P$1)"),"royandliane wrote a review Jun 2019Isle of Wight, United Kingdom11 
contributions2 helpful votes")</f>
        <v>royandliane wrote a review Jun 2019Isle of Wight, United Kingdom11 
contributions2 helpful votes</v>
      </c>
      <c r="Q75" s="4" t="str">
        <f ca="1">IFERROR(__xludf.DUMMYFUNCTION("""COMPUTED_VALUE"""),"Ideal for quick visit to LondonMy first visit to this Travelodge but probably not my last. The welcome on 
arrival was friendly and informative. Room was clean and well presented. I 
fell short of 5 stars due to the poor breakfast. It is a buffet style wh"&amp;"ich 
means the variation of heat of the food and options as things ran out. I 
would like to suggest that bathmats should be supplied to prevent the floor 
getting wet when stepping from the shower.Read moreDate of stay: June 
2019HelpfulShare")</f>
        <v>Ideal for quick visit to LondonMy first visit to this Travelodge but probably not my last. The welcome on 
arrival was friendly and informative. Room was clean and well presented. I 
fell short of 5 stars due to the poor breakfast. It is a buffet style which 
means the variation of heat of the food and options as things ran out. I 
would like to suggest that bathmats should be supplied to prevent the floor 
getting wet when stepping from the shower.Read moreDate of stay: June 
2019HelpfulShare</v>
      </c>
      <c r="U75" s="4" t="str">
        <f ca="1">IFERROR(__xludf.DUMMYFUNCTION("IMPORTXML(C76,$U$1)"),"Loading...")</f>
        <v>Loading...</v>
      </c>
    </row>
    <row r="76" spans="1:21" ht="15">
      <c r="A76" s="25" t="s">
        <v>5794</v>
      </c>
      <c r="B76" s="17" t="s">
        <v>126</v>
      </c>
      <c r="C76" s="23" t="str">
        <f t="shared" si="0"/>
        <v>https://www.tripadvisor.co.uk/Hotel_Review-g186338-d1812157-Reviews-or370-Travelodge_London_Waterloo_Hotel-London_England.html#REVIEWS</v>
      </c>
      <c r="D76" s="4" t="str">
        <f ca="1">IFERROR(__xludf.DUMMYFUNCTION("IMPORTXML(C76,$D$1)"),"Chloe Cornett wrote a review Jun 20191 contribution")</f>
        <v>Chloe Cornett wrote a review Jun 20191 contribution</v>
      </c>
      <c r="E76" s="4" t="str">
        <f ca="1">IFERROR(__xludf.DUMMYFUNCTION("""COMPUTED_VALUE"""),"Great!Very clean with super nice staff. Large dining area and lounge area to wait 
in until my room was ready. After arriving from an international flight, 
this was a perfect rest stop for my first night. Would recommend!Read 
moreDate of stay: June 2019"&amp;"HelpfulShare")</f>
        <v>Great!Very clean with super nice staff. Large dining area and lounge area to wait 
in until my room was ready. After arriving from an international flight, 
this was a perfect rest stop for my first night. Would recommend!Read 
moreDate of stay: June 2019HelpfulShare</v>
      </c>
      <c r="G76" s="24" t="str">
        <f ca="1">IFERROR(__xludf.DUMMYFUNCTION("IMPORTXML(C76, $G$1)"),"Andrea B wrote a review Jun 2019Belfast, United Kingdom9 contributions8 
helpful votes")</f>
        <v>Andrea B wrote a review Jun 2019Belfast, United Kingdom9 contributions8 
helpful votes</v>
      </c>
      <c r="H76" s="4" t="str">
        <f ca="1">IFERROR(__xludf.DUMMYFUNCTION("""COMPUTED_VALUE"""),"Weekend breakStayed in the travelodge waterloo central...this is our second visit and 
once again it has been amazing...the staff are very friendly especially 
Lindsey who is an absolute credit to the travelodge...she is so friendly 
and welcoming...she r"&amp;"eally is a breath of fresh air...she couldnt do enough 
for us...its staff like Lindsey that keeps us coming backRead moreDate of 
stay: June 2019HelpfulShare")</f>
        <v>Weekend breakStayed in the travelodge waterloo central...this is our second visit and 
once again it has been amazing...the staff are very friendly especially 
Lindsey who is an absolute credit to the travelodge...she is so friendly 
and welcoming...she really is a breath of fresh air...she couldnt do enough 
for us...its staff like Lindsey that keeps us coming backRead moreDate of 
stay: June 2019HelpfulShare</v>
      </c>
      <c r="I76" s="21"/>
      <c r="J76" s="21" t="str">
        <f ca="1">IFERROR(__xludf.DUMMYFUNCTION("IMPORTXML(C76, $J$1)"),"Diane P wrote a review Jun 20191 contribution")</f>
        <v>Diane P wrote a review Jun 20191 contribution</v>
      </c>
      <c r="K76" s="4" t="str">
        <f ca="1">IFERROR(__xludf.DUMMYFUNCTION("""COMPUTED_VALUE"""),"Wonderful serviceClean rooms. Full bar and lounge. Great waitress, Raisley, in the 
restaurant. She is attentive, lively, sweet. Hotel is convenient to 
Waterloo station and Underground. A great old pub around the corner, The 
Stage Door.Read moreDate of "&amp;"stay: June 2019HelpfulShare")</f>
        <v>Wonderful serviceClean rooms. Full bar and lounge. Great waitress, Raisley, in the 
restaurant. She is attentive, lively, sweet. Hotel is convenient to 
Waterloo station and Underground. A great old pub around the corner, The 
Stage Door.Read moreDate of stay: June 2019HelpfulShare</v>
      </c>
      <c r="L76" s="21"/>
      <c r="M76" s="21" t="str">
        <f ca="1">IFERROR(__xludf.DUMMYFUNCTION("IMPORTXML(C76, $M$1)"),"#N/A")</f>
        <v>#N/A</v>
      </c>
      <c r="O76" s="21"/>
      <c r="P76" s="21" t="str">
        <f ca="1">IFERROR(__xludf.DUMMYFUNCTION("IMPORTXML(C76, $P$1)"),"Imri_Uvda wrote a review Jun 2019Tel Aviv, Israel6 contributions1 helpful 
vote")</f>
        <v>Imri_Uvda wrote a review Jun 2019Tel Aviv, Israel6 contributions1 helpful 
vote</v>
      </c>
      <c r="Q76" s="4" t="str">
        <f ca="1">IFERROR(__xludf.DUMMYFUNCTION("""COMPUTED_VALUE"""),"Relatively good location and price. Not very clean.The bathroom wasn't clean when I came in, and I had to clean it myself 
(also no soap in the shower dispenser). The wall-to-wall carpet in the hall 
could use a good wash too. My credit card was charged w"&amp;"ith my arrival, but 
the hotel allowed itself to keep the credit card deposit (which equals the 
payment of eight days) for 30 more days. (I learned it just by talking to 
my credit card company, the hotel didn't inform me that in any time).Read 
moreDate"&amp;" of stay: June 2019HelpfulShareResponse from TravelodgeUK, Molly 
from the Social Media Team at Travelodge London Waterloo HotelResponded 27 
Jun 2019Thank you for submitting your review. We are sorry to learn of your 
disappointment following your recent"&amp;" stay with us. We hope to ensure all of 
our guests have a pleasant stay, and we are sorry that we did not achieve 
this on this occasion. If you wish to contact us directly to leave more 
feedback please get in touch with our Customer Services team via o"&amp;"ur 
website. Thank you again for your comments.Read more")</f>
        <v>Relatively good location and price. Not very clean.The bathroom wasn't clean when I came in, and I had to clean it myself 
(also no soap in the shower dispenser). The wall-to-wall carpet in the hall 
could use a good wash too. My credit card was charged with my arrival, but 
the hotel allowed itself to keep the credit card deposit (which equals the 
payment of eight days) for 30 more days. (I learned it just by talking to 
my credit card company, the hotel didn't inform me that in any time).Read 
moreDate of stay: June 2019HelpfulShareResponse from TravelodgeUK, Molly 
from the Social Media Team at Travelodge London Waterloo HotelResponded 27 
Jun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v>
      </c>
      <c r="U76" s="4" t="str">
        <f ca="1">IFERROR(__xludf.DUMMYFUNCTION("IMPORTXML(C77,$U$1)"),"Loading...")</f>
        <v>Loading...</v>
      </c>
    </row>
    <row r="77" spans="1:21" ht="15">
      <c r="A77" s="25" t="s">
        <v>5841</v>
      </c>
      <c r="B77" s="17" t="s">
        <v>126</v>
      </c>
      <c r="C77" s="23" t="str">
        <f t="shared" si="0"/>
        <v>https://www.tripadvisor.co.uk/Hotel_Review-g186338-d1812157-Reviews-or375-Travelodge_London_Waterloo_Hotel-London_England.html#REVIEWS</v>
      </c>
      <c r="D77" s="4" t="str">
        <f ca="1">IFERROR(__xludf.DUMMYFUNCTION("IMPORTXML(C77,$D$1)"),"128Margaret wrote a review Jun 2019Guildford, United Kingdom4 
contributions3 helpful votes")</f>
        <v>128Margaret wrote a review Jun 2019Guildford, United Kingdom4 
contributions3 helpful votes</v>
      </c>
      <c r="E77" s="4" t="str">
        <f ca="1">IFERROR(__xludf.DUMMYFUNCTION("""COMPUTED_VALUE"""),"AverageNo serious complaints but considering the cost (almost £100 per night) it 
was poor value for money. The facilities provided in the room were very 
basic. No hairdryer, no glass, no drawers. However I could not fault the 
cleanliness of the room , "&amp;"the bed was comfortable and the breakfast was 
good.Read moreReview collected in partnership with TravelodgeDate of stay: 
June 2019HelpfulShare")</f>
        <v>AverageNo serious complaints but considering the cost (almost £100 per night) it 
was poor value for money. The facilities provided in the room were very 
basic. No hairdryer, no glass, no drawers. However I could not fault the 
cleanliness of the room , the bed was comfortable and the breakfast was 
good.Read moreReview collected in partnership with TravelodgeDate of stay: 
June 2019HelpfulShare</v>
      </c>
      <c r="G77" s="24" t="str">
        <f ca="1">IFERROR(__xludf.DUMMYFUNCTION("IMPORTXML(C77, $G$1)"),"welsh-chick-emz wrote a review Jun 2019Southern Wales, United Kingdom224 
contributions81 helpful votes")</f>
        <v>welsh-chick-emz wrote a review Jun 2019Southern Wales, United Kingdom224 
contributions81 helpful votes</v>
      </c>
      <c r="H77" s="4" t="str">
        <f ca="1">IFERROR(__xludf.DUMMYFUNCTION("""COMPUTED_VALUE"""),"Excellent location, comfortable stayI recently stayed here for one night with my husband.Hotel is ideally 
located for Central London, and it's only a 5 minute walk to Waterloo 
station. We arrived at the hotel at 11am and we were allowed to leave our 
ba"&amp;"gs in the secure luggage room,untill we were ready to check in later that 
day.This allowed us to do some sight seeing without having to worry about 
our bags and carrying them around all day. When did check in at around 
6:30pm, it was quick and easy and"&amp;" we collected our bags from earlier with 
no problems. We stayed on the 8th floor and upon entering our room it was 
fit for purpose,and was as expected for a travelodge as we have stayed in 
many over the years.Room was basic and quite small but was ok f"&amp;"or our one 
nights stay.Comfortable bed and the air con was a good…Read moreDate of 
stay: June 2019HelpfulShare")</f>
        <v>Excellent location, comfortable stayI recently stayed here for one night with my husband.Hotel is ideally 
located for Central London, and it's only a 5 minute walk to Waterloo 
station. We arrived at the hotel at 11am and we were allowed to leave our 
bags in the secure luggage room,untill we were ready to check in later that 
day.This allowed us to do some sight seeing without having to worry about 
our bags and carrying them around all day. When did check in at around 
6:30pm, it was quick and easy and we collected our bags from earlier with 
no problems. We stayed on the 8th floor and upon entering our room it was 
fit for purpose,and was as expected for a travelodge as we have stayed in 
many over the years.Room was basic and quite small but was ok for our one 
nights stay.Comfortable bed and the air con was a good…Read moreDate of 
stay: June 2019HelpfulShare</v>
      </c>
      <c r="I77" s="21"/>
      <c r="J77" s="21" t="str">
        <f ca="1">IFERROR(__xludf.DUMMYFUNCTION("IMPORTXML(C77, $J$1)"),"taylea wrote a review Jun 2019Dorset, United Kingdom318 contributions61 
helpful votes")</f>
        <v>taylea wrote a review Jun 2019Dorset, United Kingdom318 contributions61 
helpful votes</v>
      </c>
      <c r="K77" s="4" t="str">
        <f ca="1">IFERROR(__xludf.DUMMYFUNCTION("""COMPUTED_VALUE"""),"Up to usual standardAlways stay in travelodge by choice. Know exactly what you are getting. 
Check in staff very helpful, found us a room early with no bother. Room as 
expected, clean, tidy with everything we needed. Breakfast next morning, 
all you can "&amp;"eat buffet of cereal, full English, fruit, toast and lots of 
other goodies. Great hotel just 5 minutes walk from Waterloo station. 
��Read moreDate of stay: June 2019HelpfulShare")</f>
        <v>Up to usual standardAlways stay in travelodge by choice. Know exactly what you are getting. 
Check in staff very helpful, found us a room early with no bother. Room as 
expected, clean, tidy with everything we needed. Breakfast next morning, 
all you can eat buffet of cereal, full English, fruit, toast and lots of 
other goodies. Great hotel just 5 minutes walk from Waterloo station. 
��Read moreDate of stay: June 2019HelpfulShare</v>
      </c>
      <c r="L77" s="21"/>
      <c r="M77" s="21" t="str">
        <f ca="1">IFERROR(__xludf.DUMMYFUNCTION("IMPORTXML(C77, $M$1)"),"stephenbru2017 wrote a review Jun 2019London, United Kingdom12 
contributions27 helpful votes")</f>
        <v>stephenbru2017 wrote a review Jun 2019London, United Kingdom12 
contributions27 helpful votes</v>
      </c>
      <c r="N77" s="4" t="str">
        <f ca="1">IFERROR(__xludf.DUMMYFUNCTION("""COMPUTED_VALUE"""),"Appaling customer serviceHad reconfirmed we would be late check ins by email and by calling the 
hotel. Estimated 2am. They confirmed that was ok and a room had been 
allocated so no need to worry. Turn up to check in and told they had 
overbooked and no "&amp;"record of a room being allocated.Read moreReview 
collected in partnership with TravelodgeDate of stay: June 
2019HelpfulShareResponse from TravelodgeUK, James from the Social Media 
Team at Travelodge London Waterloo HotelResponded 24 Jun 2019Thank you f"&amp;"or 
reviewing our Travelodge London Waterloo Hotel. We're so sorry to hear 
about your recent experience and would like to hear more about your stay. 
May we kindly request you contact us with the link or a copy of your 
TripAdvisor review, via our websit"&amp;"e so our customer service team can 
investigate your visit with the hotel. Thank you again for posting your 
comments and we hope to hear from you soon.Read more")</f>
        <v>Appaling customer serviceHad reconfirmed we would be late check ins by email and by calling the 
hotel. Estimated 2am. They confirmed that was ok and a room had been 
allocated so no need to worry. Turn up to check in and told they had 
overbooked and no record of a room being allocated.Read moreReview 
collected in partnership with TravelodgeDate of stay: June 
2019HelpfulShareResponse from TravelodgeUK, James from the Social Media 
Team at Travelodge London Waterloo HotelResponded 24 Jun 2019Thank you for 
reviewing our Travelodge London Waterloo Hotel. We're so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v>
      </c>
      <c r="O77" s="21"/>
      <c r="P77" s="21" t="str">
        <f ca="1">IFERROR(__xludf.DUMMYFUNCTION("IMPORTXML(C77, $P$1)"),"Jane C wrote a review Jun 2019Bristol, United Kingdom20 contributions3 
helpful votes")</f>
        <v>Jane C wrote a review Jun 2019Bristol, United Kingdom20 contributions3 
helpful votes</v>
      </c>
      <c r="Q77" s="4" t="str">
        <f ca="1">IFERROR(__xludf.DUMMYFUNCTION("""COMPUTED_VALUE"""),"So relaxed and friendlyI loved my stay here. All staff without exception were friendly and helpful 
and made the stay a lovely experience. Room had everything I needed, 
breakfast was excellent. Ground floor room was a good temperature - no view 
but I di"&amp;"dn't go for the view. Really handy for accessing Southbank, BFI and 
Mary Seacole statue. Would strongly recommend and would definitely stay 
againRead moreDate of stay: May 2019HelpfulShare")</f>
        <v>So relaxed and friendlyI loved my stay here. All staff without exception were friendly and helpful 
and made the stay a lovely experience. Room had everything I needed, 
breakfast was excellent. Ground floor room was a good temperature - no view 
but I didn't go for the view. Really handy for accessing Southbank, BFI and 
Mary Seacole statue. Would strongly recommend and would definitely stay 
againRead moreDate of stay: May 2019HelpfulShare</v>
      </c>
      <c r="U77" s="4" t="str">
        <f ca="1">IFERROR(__xludf.DUMMYFUNCTION("IMPORTXML(C78,$U$1)"),"Loading...")</f>
        <v>Loading...</v>
      </c>
    </row>
    <row r="78" spans="1:21" ht="15">
      <c r="A78" s="25" t="s">
        <v>5899</v>
      </c>
      <c r="B78" s="17" t="s">
        <v>126</v>
      </c>
      <c r="C78" s="23" t="str">
        <f t="shared" si="0"/>
        <v>https://www.tripadvisor.co.uk/Hotel_Review-g186338-d1812157-Reviews-or380-Travelodge_London_Waterloo_Hotel-London_England.html#REVIEWS</v>
      </c>
      <c r="D78" s="4" t="str">
        <f ca="1">IFERROR(__xludf.DUMMYFUNCTION("IMPORTXML(C78,$D$1)"),"Flyer15648858440 wrote a review Jun 2019Milton Keynes, United Kingdom1 
contribution")</f>
        <v>Flyer15648858440 wrote a review Jun 2019Milton Keynes, United Kingdom1 
contribution</v>
      </c>
      <c r="E78" s="4" t="str">
        <f ca="1">IFERROR(__xludf.DUMMYFUNCTION("""COMPUTED_VALUE"""),"Great locationComfortable room and bed, nice shower - the location was perfect my sister 
and I were getting an early morning train from Waterloo and its only 5 mins 
walk away so convenient. Its a high standard Travellodge and breakfast was 
niceRead mor"&amp;"eReview collected in partnership with TravelodgeDate of stay: 
June 2019HelpfulShare")</f>
        <v>Great locationComfortable room and bed, nice shower - the location was perfect my sister 
and I were getting an early morning train from Waterloo and its only 5 mins 
walk away so convenient. Its a high standard Travellodge and breakfast was 
niceRead moreReview collected in partnership with TravelodgeDate of stay: 
June 2019HelpfulShare</v>
      </c>
      <c r="G78" s="24" t="str">
        <f ca="1">IFERROR(__xludf.DUMMYFUNCTION("IMPORTXML(C78, $G$1)"),"#N/A")</f>
        <v>#N/A</v>
      </c>
      <c r="I78" s="21"/>
      <c r="J78" s="21" t="str">
        <f ca="1">IFERROR(__xludf.DUMMYFUNCTION("IMPORTXML(C78, $J$1)"),"Amy wrote a review Jun 20191 contribution")</f>
        <v>Amy wrote a review Jun 20191 contribution</v>
      </c>
      <c r="K78" s="4" t="str">
        <f ca="1">IFERROR(__xludf.DUMMYFUNCTION("""COMPUTED_VALUE"""),"FabulousHotel nice, clean and spacious. Room good, bathroom clean and fresh and the 
bed was comfy., breakfast really good with plenty of choice. The dinner was 
amazing and warm The staff were fantastic in special Ann. I would stay 
again ��Read moreDate"&amp;" of stay: June 2019HelpfulShare")</f>
        <v>FabulousHotel nice, clean and spacious. Room good, bathroom clean and fresh and the 
bed was comfy., breakfast really good with plenty of choice. The dinner was 
amazing and warm The staff were fantastic in special Ann. I would stay 
again ��Read moreDate of stay: June 2019HelpfulShare</v>
      </c>
      <c r="L78" s="21"/>
      <c r="M78" s="21" t="str">
        <f ca="1">IFERROR(__xludf.DUMMYFUNCTION("IMPORTXML(C78, $M$1)"),"MLOfficial92 wrote a review Jun 2019Wroxall, United Kingdom22 
contributions3 helpful votes")</f>
        <v>MLOfficial92 wrote a review Jun 2019Wroxall, United Kingdom22 
contributions3 helpful votes</v>
      </c>
      <c r="N78" s="4" t="str">
        <f ca="1">IFERROR(__xludf.DUMMYFUNCTION("""COMPUTED_VALUE"""),"Really Amazing, Wonderful Weekend!I stayed with London Waterloo Travelodge for a weekend to see a friend. I 
normally stay at the same hotel, and again they didn't fail to impress. 
From the moment I checked in the service was incredible. The reception 
s"&amp;"taff are always welcoming with a smile and always helpful. The 
bar/restaurant staff were brilliant and the bar man had a brilliant sense 
of humour, again made us feel very welcome. My room was probably the best 
yet, I've stayed four times now and the v"&amp;"iew from my room was fabulous. The 
cleaners do a wonderful job. I had a wonderful stay and obviously I'll be 
back back, Thank you everyone at London Waterloo TravelodgeRead moreDate of 
stay: June 2019HelpfulShare")</f>
        <v>Really Amazing, Wonderful Weekend!I stayed with London Waterloo Travelodge for a weekend to see a friend. I 
normally stay at the same hotel, and again they didn't fail to impress. 
From the moment I checked in the service was incredible. The reception 
staff are always welcoming with a smile and always helpful. The 
bar/restaurant staff were brilliant and the bar man had a brilliant sense 
of humour, again made us feel very welcome. My room was probably the best 
yet, I've stayed four times now and the view from my room was fabulous. The 
cleaners do a wonderful job. I had a wonderful stay and obviously I'll be 
back back, Thank you everyone at London Waterloo TravelodgeRead moreDate of 
stay: June 2019HelpfulShare</v>
      </c>
      <c r="O78" s="21"/>
      <c r="P78" s="21" t="str">
        <f ca="1">IFERROR(__xludf.DUMMYFUNCTION("IMPORTXML(C78, $P$1)"),"#N/A")</f>
        <v>#N/A</v>
      </c>
      <c r="U78" s="4" t="str">
        <f ca="1">IFERROR(__xludf.DUMMYFUNCTION("IMPORTXML(C79,$U$1)"),"Loading...")</f>
        <v>Loading...</v>
      </c>
    </row>
    <row r="79" spans="1:21" ht="15">
      <c r="A79" s="5" t="s">
        <v>5946</v>
      </c>
      <c r="B79" s="17" t="s">
        <v>126</v>
      </c>
      <c r="C79" s="23" t="str">
        <f t="shared" si="0"/>
        <v>https://www.tripadvisor.co.uk/Hotel_Review-g186338-d1812157-Reviews-or385-Travelodge_London_Waterloo_Hotel-London_England.html#REVIEWS</v>
      </c>
      <c r="D79" s="4" t="str">
        <f ca="1">IFERROR(__xludf.DUMMYFUNCTION("IMPORTXML(C79,$D$1)"),"Lance K wrote a review Jun 2019Edinburgh, United Kingdom35 contributions35 
helpful votes")</f>
        <v>Lance K wrote a review Jun 2019Edinburgh, United Kingdom35 contributions35 
helpful votes</v>
      </c>
      <c r="E79" s="4" t="str">
        <f ca="1">IFERROR(__xludf.DUMMYFUNCTION("""COMPUTED_VALUE"""),"Great value for money and great locationThe good bits are 1. Fantastic location, literally less than 5 minutes walk 
from Waterloo underground 2. Very clean room 3. Exceptionally quiet, 
especially at night. Unbelievable to think I was in central London 4"&amp;". Great 
comfortable bed, when you get out your kip in the morning you have no aches 
and pains 5. Very friendly and professional staff. The bad bits 1. There 
really aren’t any, it genuinely ticks all my boxes. The coffee that’s left 
in the room wasn’t "&amp;"to my taste but so what. If it had had a fridge instead 
of a TV it would be perfect I’d stay here again in a instantRead moreDate 
of stay: June 2019HelpfulShare")</f>
        <v>Great value for money and great locationThe good bits are 1. Fantastic location, literally less than 5 minutes walk 
from Waterloo underground 2. Very clean room 3. Exceptionally quiet, 
especially at night. Unbelievable to think I was in central London 4. Great 
comfortable bed, when you get out your kip in the morning you have no aches 
and pains 5. Very friendly and professional staff. The bad bits 1. There 
really aren’t any, it genuinely ticks all my boxes. The coffee that’s left 
in the room wasn’t to my taste but so what. If it had had a fridge instead 
of a TV it would be perfect I’d stay here again in a instantRead moreDate 
of stay: June 2019HelpfulShare</v>
      </c>
      <c r="G79" s="24" t="str">
        <f ca="1">IFERROR(__xludf.DUMMYFUNCTION("IMPORTXML(C79, $G$1)"),"Trek12131481673 wrote a review Jun 2019Solihull, United Kingdom2 
contributions")</f>
        <v>Trek12131481673 wrote a review Jun 2019Solihull, United Kingdom2 
contributions</v>
      </c>
      <c r="H79" s="4" t="str">
        <f ca="1">IFERROR(__xludf.DUMMYFUNCTION("""COMPUTED_VALUE"""),"Excellent hotelExcellent hotel, good customer service allowed us in our room earlier than 
expected which gave us more time to see London. Room was clean and tidy 
with good facilities. The only one thing to moan about is my son does not 
drink tea or cof"&amp;"fee so maybe some hot chocolate in the room would have been 
good. I have stayed at this hotel now three times and cannot fault it.Read 
moreReview collected in partnership with TravelodgeDate of stay: June 
2019HelpfulShare")</f>
        <v>Excellent hotelExcellent hotel, good customer service allowed us in our room earlier than 
expected which gave us more time to see London. Room was clean and tidy 
with good facilities. The only one thing to moan about is my son does not 
drink tea or coffee so maybe some hot chocolate in the room would have been 
good. I have stayed at this hotel now three times and cannot fault it.Read 
moreReview collected in partnership with TravelodgeDate of stay: June 
2019HelpfulShare</v>
      </c>
      <c r="I79" s="21"/>
      <c r="J79" s="21" t="str">
        <f ca="1">IFERROR(__xludf.DUMMYFUNCTION("IMPORTXML(C79, $J$1)"),"Jo B wrote a review Jun 2019Isle of Portland, United Kingdom22 
contributions4 helpful votes")</f>
        <v>Jo B wrote a review Jun 2019Isle of Portland, United Kingdom22 
contributions4 helpful votes</v>
      </c>
      <c r="K79" s="4" t="str">
        <f ca="1">IFERROR(__xludf.DUMMYFUNCTION("""COMPUTED_VALUE"""),"Excellent stay!I treated my daughter to a weekend of sightseeing &amp; shopping. We stayed 
here as looked convenient &amp; well priced, was very pleased with what we 
found! Staff were great &amp; nothing was to much trouble for them, room was 
clean &amp; tidy, breakfa"&amp;"st the next morning was plentiful &amp; a bargain for the 
price we paid, will definately stay again.Read moreDate of stay: June 
2019HelpfulShare")</f>
        <v>Excellent stay!I treated my daughter to a weekend of sightseeing &amp; shopping. We stayed 
here as looked convenient &amp; well priced, was very pleased with what we 
found! Staff were great &amp; nothing was to much trouble for them, room was 
clean &amp; tidy, breakfast the next morning was plentiful &amp; a bargain for the 
price we paid, will definately stay again.Read moreDate of stay: June 
2019HelpfulShare</v>
      </c>
      <c r="L79" s="21"/>
      <c r="M79" s="21" t="str">
        <f ca="1">IFERROR(__xludf.DUMMYFUNCTION("IMPORTXML(C79, $M$1)"),"Jan C wrote a review Jun 2019Alloa, United Kingdom15 contributions7 helpful 
votes")</f>
        <v>Jan C wrote a review Jun 2019Alloa, United Kingdom15 contributions7 helpful 
votes</v>
      </c>
      <c r="N79" s="4" t="str">
        <f ca="1">IFERROR(__xludf.DUMMYFUNCTION("""COMPUTED_VALUE"""),"Good HotelWe were in London on a mini break for four nights and to go see Fleetwood 
Mac at Wembley. We decided on this Travelodge due to it's location and 
proximity to Waterloo underground (5 mins walk) where you can get to 
wherever else you want to go"&amp;" easily. It was a superior room which is bigger 
than the standard which suited us as had lots of space with a comfortable 
bed, a hairdryer, iron and board. The shower room was a bit on the small 
side but functional and both bedroom and shower room very"&amp;" clean. Although 
the hotel is in a central location there was no noise disturbance during 
the night during our four night stay. We got a good deal coming in around 
£360/four nights (excellent value for London!) There is a Tesco Express, 
Sainsburys and"&amp;" a few restaurants/cafes around the…Read moreDate of stay: 
June 20191 Helpful voteHelpfulShare")</f>
        <v>Good HotelWe were in London on a mini break for four nights and to go see Fleetwood 
Mac at Wembley. We decided on this Travelodge due to it's location and 
proximity to Waterloo underground (5 mins walk) where you can get to 
wherever else you want to go easily. It was a superior room which is bigger 
than the standard which suited us as had lots of space with a comfortable 
bed, a hairdryer, iron and board. The shower room was a bit on the small 
side but functional and both bedroom and shower room very clean. Although 
the hotel is in a central location there was no noise disturbance during 
the night during our four night stay. We got a good deal coming in around 
£360/four nights (excellent value for London!) There is a Tesco Express, 
Sainsburys and a few restaurants/cafes around the…Read moreDate of stay: 
June 20191 Helpful voteHelpfulShare</v>
      </c>
      <c r="O79" s="21"/>
      <c r="P79" s="21" t="str">
        <f ca="1">IFERROR(__xludf.DUMMYFUNCTION("IMPORTXML(C79, $P$1)"),"#N/A")</f>
        <v>#N/A</v>
      </c>
      <c r="U79" s="4" t="str">
        <f ca="1">IFERROR(__xludf.DUMMYFUNCTION("IMPORTXML(C80,$U$1)"),"Loading...")</f>
        <v>Loading...</v>
      </c>
    </row>
    <row r="80" spans="1:21" ht="15">
      <c r="A80" s="25" t="s">
        <v>5990</v>
      </c>
      <c r="B80" s="17" t="s">
        <v>126</v>
      </c>
      <c r="C80" s="23" t="str">
        <f t="shared" si="0"/>
        <v>https://www.tripadvisor.co.uk/Hotel_Review-g186338-d1812157-Reviews-or390-Travelodge_London_Waterloo_Hotel-London_England.html#REVIEWS</v>
      </c>
      <c r="D80" s="4" t="str">
        <f ca="1">IFERROR(__xludf.DUMMYFUNCTION("IMPORTXML(C80,$D$1)"),"#N/A")</f>
        <v>#N/A</v>
      </c>
      <c r="G80" s="24" t="str">
        <f ca="1">IFERROR(__xludf.DUMMYFUNCTION("IMPORTXML(C80, $G$1)"),"Gary C wrote a review Jun 2019Leeds, United Kingdom159 contributions26 
helpful votes")</f>
        <v>Gary C wrote a review Jun 2019Leeds, United Kingdom159 contributions26 
helpful votes</v>
      </c>
      <c r="H80" s="4" t="str">
        <f ca="1">IFERROR(__xludf.DUMMYFUNCTION("""COMPUTED_VALUE"""),"It does the job.What can I say. A clean room, friendly staff, convenient location. It's a 5 
minute walk from Waterloo. You get what you pay for. Amazing breakfast. All 
you can eat buffet. Lovely. Will stay there again.Read moreDate of stay: 
June 2019He"&amp;"lpfulShare")</f>
        <v>It does the job.What can I say. A clean room, friendly staff, convenient location. It's a 5 
minute walk from Waterloo. You get what you pay for. Amazing breakfast. All 
you can eat buffet. Lovely. Will stay there again.Read moreDate of stay: 
June 2019HelpfulShare</v>
      </c>
      <c r="I80" s="21"/>
      <c r="J80" s="21" t="str">
        <f ca="1">IFERROR(__xludf.DUMMYFUNCTION("IMPORTXML(C80, $J$1)"),"#N/A")</f>
        <v>#N/A</v>
      </c>
      <c r="L80" s="21"/>
      <c r="M80" s="21" t="str">
        <f ca="1">IFERROR(__xludf.DUMMYFUNCTION("IMPORTXML(C80, $M$1)"),"#N/A")</f>
        <v>#N/A</v>
      </c>
      <c r="O80" s="21"/>
      <c r="P80" s="21" t="str">
        <f ca="1">IFERROR(__xludf.DUMMYFUNCTION("IMPORTXML(C80, $P$1)"),"#N/A")</f>
        <v>#N/A</v>
      </c>
      <c r="U80" s="4" t="str">
        <f ca="1">IFERROR(__xludf.DUMMYFUNCTION("IMPORTXML(C81,$U$1)"),"Loading...")</f>
        <v>Loading...</v>
      </c>
    </row>
    <row r="81" spans="1:21" ht="15">
      <c r="A81" s="25" t="s">
        <v>6020</v>
      </c>
      <c r="B81" s="17" t="s">
        <v>126</v>
      </c>
      <c r="C81" s="23" t="str">
        <f t="shared" si="0"/>
        <v>https://www.tripadvisor.co.uk/Hotel_Review-g186338-d1812157-Reviews-or395-Travelodge_London_Waterloo_Hotel-London_England.html#REVIEWS</v>
      </c>
      <c r="D81" s="4" t="str">
        <f ca="1">IFERROR(__xludf.DUMMYFUNCTION("IMPORTXML(C81,$D$1)"),"Explore30805862709 wrote a review Jun 2019Toronto, Canada2 contributions")</f>
        <v>Explore30805862709 wrote a review Jun 2019Toronto, Canada2 contributions</v>
      </c>
      <c r="E81" s="4" t="str">
        <f ca="1">IFERROR(__xludf.DUMMYFUNCTION("""COMPUTED_VALUE"""),"Travelodge Waterloo: Excellent locationThis hotel is conveniently located for tourists and business travellers to 
London. You can actually walk to many tourist attractions. Or if walking is 
a challenge to you, the Waterloo subway stop is nearby and you "&amp;"can reach 
any location in London via the subway network with a single subway pass. 
The hotel staff is very friendly and helpful. The rooms are convenient and 
very clean. WiFi is excellent. Excellent value for money!!!!Read moreReview 
collected in part"&amp;"nership with TravelodgeDate of stay: May 2019HelpfulShare")</f>
        <v>Travelodge Waterloo: Excellent locationThis hotel is conveniently located for tourists and business travellers to 
London. You can actually walk to many tourist attractions. Or if walking is 
a challenge to you, the Waterloo subway stop is nearby and you can reach 
any location in London via the subway network with a single subway pass. 
The hotel staff is very friendly and helpful. The rooms are convenient and 
very clean. WiFi is excellent. Excellent value for money!!!!Read moreReview 
collected in partnership with TravelodgeDate of stay: May 2019HelpfulShare</v>
      </c>
      <c r="G81" s="24" t="str">
        <f ca="1">IFERROR(__xludf.DUMMYFUNCTION("IMPORTXML(C81, $G$1)"),"Kariluz D wrote a review Jun 2019San Juan, Puerto Rico66 contributions30 
helpful votes")</f>
        <v>Kariluz D wrote a review Jun 2019San Juan, Puerto Rico66 contributions30 
helpful votes</v>
      </c>
      <c r="H81" s="4" t="str">
        <f ca="1">IFERROR(__xludf.DUMMYFUNCTION("""COMPUTED_VALUE"""),"Excellent locationIt was a modern hotel and has a great location. It was at 5 min from the 
Waterloo Station, where underground, trains and buses go to different 
places. There is some places to eat close by, but not too much. Close to 
the station was a "&amp;"little supermarket and close to the hotel was a little 
market. The breakfast is not worth it, unless you go with kids. The menu is 
always the same and not to assorted. I probably will go to this hotel if I 
return to London because of the location.Read "&amp;"moreReview collected in 
partnership with TravelodgeDate of stay: June 2019HelpfulShare")</f>
        <v>Excellent locationIt was a modern hotel and has a great location. It was at 5 min from the 
Waterloo Station, where underground, trains and buses go to different 
places. There is some places to eat close by, but not too much. Close to 
the station was a little supermarket and close to the hotel was a little 
market. The breakfast is not worth it, unless you go with kids. The menu is 
always the same and not to assorted. I probably will go to this hotel if I 
return to London because of the location.Read moreReview collected in 
partnership with TravelodgeDate of stay: June 2019HelpfulShare</v>
      </c>
      <c r="I81" s="21"/>
      <c r="J81" s="21" t="str">
        <f ca="1">IFERROR(__xludf.DUMMYFUNCTION("IMPORTXML(C81, $J$1)"),"#N/A")</f>
        <v>#N/A</v>
      </c>
      <c r="L81" s="21"/>
      <c r="M81" s="21" t="str">
        <f ca="1">IFERROR(__xludf.DUMMYFUNCTION("IMPORTXML(C81, $M$1)"),"Theresa D wrote a review Jun 201915 contributions16 helpful votes")</f>
        <v>Theresa D wrote a review Jun 201915 contributions16 helpful votes</v>
      </c>
      <c r="N81" s="4" t="str">
        <f ca="1">IFERROR(__xludf.DUMMYFUNCTION("""COMPUTED_VALUE"""),"Great FindBooked this hotel to be near to Waterloo and location was perfect; a quick 
4 minute walk. I booked a super room which was huge. The bed was comfy and 
the room was clean and quiet. Couldn’t ask for more really for 1 night away 
with work. TIP: "&amp;"Fantastic sit down chip shop next door, just what was 
needed after a long day.Read moreDate of stay: June 20191 Helpful 
voteHelpfulShare")</f>
        <v>Great FindBooked this hotel to be near to Waterloo and location was perfect; a quick 
4 minute walk. I booked a super room which was huge. The bed was comfy and 
the room was clean and quiet. Couldn’t ask for more really for 1 night away 
with work. TIP: Fantastic sit down chip shop next door, just what was 
needed after a long day.Read moreDate of stay: June 20191 Helpful 
voteHelpfulShare</v>
      </c>
      <c r="O81" s="21"/>
      <c r="P81" s="21" t="str">
        <f ca="1">IFERROR(__xludf.DUMMYFUNCTION("IMPORTXML(C81, $P$1)"),"#N/A")</f>
        <v>#N/A</v>
      </c>
      <c r="U81" s="4" t="str">
        <f ca="1">IFERROR(__xludf.DUMMYFUNCTION("IMPORTXML(C82,$U$1)"),"Loading...")</f>
        <v>Loading...</v>
      </c>
    </row>
    <row r="82" spans="1:21" ht="15">
      <c r="A82" s="25" t="s">
        <v>6062</v>
      </c>
      <c r="B82" s="17" t="s">
        <v>126</v>
      </c>
      <c r="C82" s="23" t="str">
        <f t="shared" si="0"/>
        <v>https://www.tripadvisor.co.uk/Hotel_Review-g186338-d1812157-Reviews-or400-Travelodge_London_Waterloo_Hotel-London_England.html#REVIEWS</v>
      </c>
      <c r="D82" s="4" t="str">
        <f ca="1">IFERROR(__xludf.DUMMYFUNCTION("IMPORTXML(C82,$D$1)"),"David D wrote a review Jun 2019Thirsk, United Kingdom4 contributions")</f>
        <v>David D wrote a review Jun 2019Thirsk, United Kingdom4 contributions</v>
      </c>
      <c r="E82" s="4" t="str">
        <f ca="1">IFERROR(__xludf.DUMMYFUNCTION("""COMPUTED_VALUE"""),"Four Night StayStayed here many times before and always found the staff, facilities and 
location first class. We could walk to the London Eye in 15 mins, Waterloo 
station in just over 5. The Old Vic Theatre is only about 100 metres away 
and there is al"&amp;"so a good selection of restaurants in the vicinity. We used 
TAS, a Turkish restaurant, which was excellent as usual. Recommend paying a 
little extra for a Superoom.Read moreReview collected in partnership with 
TravelodgeDate of stay: May 2019HelpfulSha"&amp;"re")</f>
        <v>Four Night StayStayed here many times before and always found the staff, facilities and 
location first class. We could walk to the London Eye in 15 mins, Waterloo 
station in just over 5. The Old Vic Theatre is only about 100 metres away 
and there is also a good selection of restaurants in the vicinity. We used 
TAS, a Turkish restaurant, which was excellent as usual. Recommend paying a 
little extra for a Superoom.Read moreReview collected in partnership with 
TravelodgeDate of stay: May 2019HelpfulShare</v>
      </c>
      <c r="G82" s="24" t="str">
        <f ca="1">IFERROR(__xludf.DUMMYFUNCTION("IMPORTXML(C82, $G$1)"),"lyndevine wrote a review Jun 2019Bridport, United Kingdom6 contributions3 
helpful votes")</f>
        <v>lyndevine wrote a review Jun 2019Bridport, United Kingdom6 contributions3 
helpful votes</v>
      </c>
      <c r="H82" s="4" t="str">
        <f ca="1">IFERROR(__xludf.DUMMYFUNCTION("""COMPUTED_VALUE"""),"london waterloohotel in very good position for waterloo station and getting out and about. 
staff with efficient. hotel room small as with all travelodges' but well 
maintained and clean and fresh with a/c. very good value for money 
especially in london."&amp;" we always stay there when in london.Read moreReview 
collected in partnership with TravelodgeDate of stay: June 2019HelpfulShare")</f>
        <v>london waterloohotel in very good position for waterloo station and getting out and about. 
staff with efficient. hotel room small as with all travelodges' but well 
maintained and clean and fresh with a/c. very good value for money 
especially in london. we always stay there when in london.Read moreReview 
collected in partnership with TravelodgeDate of stay: June 2019HelpfulShare</v>
      </c>
      <c r="I82" s="21"/>
      <c r="J82" s="21" t="str">
        <f ca="1">IFERROR(__xludf.DUMMYFUNCTION("IMPORTXML(C82, $J$1)"),"Skibum369 wrote a review Jun 2019Monymusk, United Kingdom51 contributions12 
helpful votes")</f>
        <v>Skibum369 wrote a review Jun 2019Monymusk, United Kingdom51 contributions12 
helpful votes</v>
      </c>
      <c r="K82" s="4" t="str">
        <f ca="1">IFERROR(__xludf.DUMMYFUNCTION("""COMPUTED_VALUE"""),"Helpful StaffI called this review “Helpful Staff” because I could not get a twin room 
over the internet or telephone but on arrival the duty person got me a twin 
room for my son and I. Very much appreciated. I believe that you receive 
very good value.R"&amp;"ead moreReview collected in partnership with 
TravelodgeDate of stay: June 2019HelpfulShare")</f>
        <v>Helpful StaffI called this review “Helpful Staff” because I could not get a twin room 
over the internet or telephone but on arrival the duty person got me a twin 
room for my son and I. Very much appreciated. I believe that you receive 
very good value.Read moreReview collected in partnership with 
TravelodgeDate of stay: June 2019HelpfulShare</v>
      </c>
      <c r="L82" s="21"/>
      <c r="M82" s="21" t="str">
        <f ca="1">IFERROR(__xludf.DUMMYFUNCTION("IMPORTXML(C82, $M$1)"),"janesullivan4 wrote a review Jun 2019kent.uk7 contributions3 helpful votes")</f>
        <v>janesullivan4 wrote a review Jun 2019kent.uk7 contributions3 helpful votes</v>
      </c>
      <c r="N82" s="4" t="str">
        <f ca="1">IFERROR(__xludf.DUMMYFUNCTION("""COMPUTED_VALUE"""),"Fantastic hotelLovely hotel , fabulous breakfast and staff were the the friendliest I’ve 
come across in a hotel ! Will be back , had a good nights sleep , could not 
find fault with anything or anyone at this hotel ! Would give this hotel 
and its staff "&amp;"5 stars ⭐️Read moreDate of stay: June 2019HelpfulShare")</f>
        <v>Fantastic hotelLovely hotel , fabulous breakfast and staff were the the friendliest I’ve 
come across in a hotel ! Will be back , had a good nights sleep , could not 
find fault with anything or anyone at this hotel ! Would give this hotel 
and its staff 5 stars ⭐️Read moreDate of stay: June 2019HelpfulShare</v>
      </c>
      <c r="O82" s="21"/>
      <c r="P82" s="21" t="str">
        <f ca="1">IFERROR(__xludf.DUMMYFUNCTION("IMPORTXML(C82, $P$1)"),"#N/A")</f>
        <v>#N/A</v>
      </c>
      <c r="U82" s="4" t="str">
        <f ca="1">IFERROR(__xludf.DUMMYFUNCTION("IMPORTXML(C83,$U$1)"),"Loading...")</f>
        <v>Loading...</v>
      </c>
    </row>
    <row r="83" spans="1:21" ht="15">
      <c r="A83" s="5" t="s">
        <v>6097</v>
      </c>
      <c r="B83" s="17" t="s">
        <v>126</v>
      </c>
      <c r="C83" s="23" t="str">
        <f t="shared" si="0"/>
        <v>https://www.tripadvisor.co.uk/Hotel_Review-g186338-d1812157-Reviews-or405-Travelodge_London_Waterloo_Hotel-London_England.html#REVIEWS</v>
      </c>
      <c r="D83" s="4" t="str">
        <f ca="1">IFERROR(__xludf.DUMMYFUNCTION("IMPORTXML(C83,$D$1)"),"Passenger53942135114 wrote a review Jun 20191 contribution")</f>
        <v>Passenger53942135114 wrote a review Jun 20191 contribution</v>
      </c>
      <c r="E83" s="4" t="str">
        <f ca="1">IFERROR(__xludf.DUMMYFUNCTION("""COMPUTED_VALUE"""),"Move on - you can do betterDespite this Travelodge claiming to have undergone a million pound 
refurbishment, the hotel varied from poor to adequate. Rooms on one half of 
the hotel are ridiculously small, with windows that are 18 inches wide 
(beware of "&amp;"those ending in an odd number). The rooms on the other side are 
still narrow, but of an adequate size. Everything about the rooms is pretty 
basic - it's like the Pound Saver of hotels. It's not unclean (although the 
hallways on the fifth floor had a ba"&amp;"d smell to them), the service was fine 
(nothing bad nor exceptional), and the location is very good. But you can 
do better and it's certainly overpriced for what you get.Read moreReview 
collected in partnership with TravelodgeDate of stay: June 
2019He"&amp;"lpfulShareResponse from TravelodgeUK, Molly from the Social Media 
Team at Travelodge London Waterloo HotelResponded 11 Jun 2019Thank you for 
submitting your review. We are sorry to learn of your disappointment 
following your recent stay with us. We hop"&amp;"e to ensure all of our guests 
have a pleasant stay, and we are sorry that we did not achieve this on this 
occasion. If you wish to contact us directly to leave more feedback please 
get in touch with our Customer Services team via our website. Thank you"&amp;" 
again for your comments.Read more")</f>
        <v>Move on - you can do betterDespite this Travelodge claiming to have undergone a million pound 
refurbishment, the hotel varied from poor to adequate. Rooms on one half of 
the hotel are ridiculously small, with windows that are 18 inches wide 
(beware of those ending in an odd number). The rooms on the other side are 
still narrow, but of an adequate size. Everything about the rooms is pretty 
basic - it's like the Pound Saver of hotels. It's not unclean (although the 
hallways on the fifth floor had a bad smell to them), the service was fine 
(nothing bad nor exceptional), and the location is very good. But you can 
do better and it's certainly overpriced for what you get.Read moreReview 
collected in partnership with TravelodgeDate of stay: June 
2019HelpfulShareResponse from TravelodgeUK, Molly from the Social Media 
Team at Travelodge London Waterloo HotelResponded 11 Jun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v>
      </c>
      <c r="G83" s="24" t="str">
        <f ca="1">IFERROR(__xludf.DUMMYFUNCTION("IMPORTXML(C83, $G$1)"),"#N/A")</f>
        <v>#N/A</v>
      </c>
      <c r="I83" s="21"/>
      <c r="J83" s="21" t="str">
        <f ca="1">IFERROR(__xludf.DUMMYFUNCTION("IMPORTXML(C83, $J$1)"),"Jackie L wrote a review Jun 2019Dorchester, United Kingdom4 contributions3 
helpful votes")</f>
        <v>Jackie L wrote a review Jun 2019Dorchester, United Kingdom4 contributions3 
helpful votes</v>
      </c>
      <c r="K83" s="4" t="str">
        <f ca="1">IFERROR(__xludf.DUMMYFUNCTION("""COMPUTED_VALUE"""),"Central locationThis Travelodge was a short walk to the London Eye, dungeons, aquarium and 
shreks adventures, however, the hotel could have a taxi waiting outside in 
3 minutes if needed. Clean and comfortable but bring your own hairdryer as 
these aren’"&amp;"t in all rooms.Read moreReview collected in partnership with 
TravelodgeDate of stay: June 2019HelpfulShare")</f>
        <v>Central locationThis Travelodge was a short walk to the London Eye, dungeons, aquarium and 
shreks adventures, however, the hotel could have a taxi waiting outside in 
3 minutes if needed. Clean and comfortable but bring your own hairdryer as 
these aren’t in all rooms.Read moreReview collected in partnership with 
TravelodgeDate of stay: June 2019HelpfulShare</v>
      </c>
      <c r="L83" s="21"/>
      <c r="M83" s="21" t="str">
        <f ca="1">IFERROR(__xludf.DUMMYFUNCTION("IMPORTXML(C83, $M$1)"),"Guide48343449296 wrote a review Jun 20191 contribution")</f>
        <v>Guide48343449296 wrote a review Jun 20191 contribution</v>
      </c>
      <c r="N83" s="4" t="str">
        <f ca="1">IFERROR(__xludf.DUMMYFUNCTION("""COMPUTED_VALUE"""),"London Trip Travelodge Waterloo Hotelrooms were clean and renovated, price is really OK for london, breakfast 
was good but after 5 days always the same toast bread was a bit boring, 
rooms are small but enough space for a city trip, was already our secon"&amp;"d 
stay in the same hotel, hotel bar is really recommendable, nice staff and 
huge range of different GIN drinks, hotel is about 5 - 10 minutes away from 
subway by walking, you can reach the main attractions as Big Ben, by 
walking as well ( 15 - 20 min)"&amp;"Read moreReview collected in partnership with 
TravelodgeDate of stay: May 2019HelpfulShare")</f>
        <v>London Trip Travelodge Waterloo Hotelrooms were clean and renovated, price is really OK for london, breakfast 
was good but after 5 days always the same toast bread was a bit boring, 
rooms are small but enough space for a city trip, was already our second 
stay in the same hotel, hotel bar is really recommendable, nice staff and 
huge range of different GIN drinks, hotel is about 5 - 10 minutes away from 
subway by walking, you can reach the main attractions as Big Ben, by 
walking as well ( 15 - 20 min)Read moreReview collected in partnership with 
TravelodgeDate of stay: May 2019HelpfulShare</v>
      </c>
      <c r="O83" s="21"/>
      <c r="P83" s="21" t="str">
        <f ca="1">IFERROR(__xludf.DUMMYFUNCTION("IMPORTXML(C83, $P$1)"),"Msbel03 wrote a review Jun 2019Sydney, Australia9 contributions1 helpful 
vote")</f>
        <v>Msbel03 wrote a review Jun 2019Sydney, Australia9 contributions1 helpful 
vote</v>
      </c>
      <c r="Q83" s="4" t="str">
        <f ca="1">IFERROR(__xludf.DUMMYFUNCTION("""COMPUTED_VALUE"""),"Long weekend for London sightsStayed at this hotel in January, lovely quiet and clean hotel. Breakfast 
was excellent value. The hotel has a bar and restaurant we had dinner two 
nights and had good food and service. This hotel is very close to trains, 
b"&amp;"uses etc and attractions London Eye and Westminster. We used the hop on 
hop off bus which was reasonably priced, the bus stop was just outside our 
hotel. Great stay will come again.Read moreDate of stay: June 
2019HelpfulShare")</f>
        <v>Long weekend for London sightsStayed at this hotel in January, lovely quiet and clean hotel. Breakfast 
was excellent value. The hotel has a bar and restaurant we had dinner two 
nights and had good food and service. This hotel is very close to trains, 
buses etc and attractions London Eye and Westminster. We used the hop on 
hop off bus which was reasonably priced, the bus stop was just outside our 
hotel. Great stay will come again.Read moreDate of stay: June 
2019HelpfulShare</v>
      </c>
      <c r="U83" s="4" t="str">
        <f ca="1">IFERROR(__xludf.DUMMYFUNCTION("IMPORTXML(C84,$U$1)"),"Loading...")</f>
        <v>Loading...</v>
      </c>
    </row>
    <row r="84" spans="1:21" ht="15">
      <c r="A84" s="25" t="s">
        <v>6142</v>
      </c>
      <c r="B84" s="17" t="s">
        <v>126</v>
      </c>
      <c r="C84" s="23" t="str">
        <f t="shared" si="0"/>
        <v>https://www.tripadvisor.co.uk/Hotel_Review-g186338-d1812157-Reviews-or410-Travelodge_London_Waterloo_Hotel-London_England.html#REVIEWS</v>
      </c>
      <c r="D84" s="4" t="str">
        <f ca="1">IFERROR(__xludf.DUMMYFUNCTION("IMPORTXML(C84,$D$1)"),"Colin K wrote a review Jun 201912 contributions1 helpful vote")</f>
        <v>Colin K wrote a review Jun 201912 contributions1 helpful vote</v>
      </c>
      <c r="E84" s="4" t="str">
        <f ca="1">IFERROR(__xludf.DUMMYFUNCTION("""COMPUTED_VALUE"""),"superModern hotel very clean great location tube station just down the road , 
rooom was a good size very clean airconditioned, super comfy bed, friendly 
helpful staff, great breakfast lots to choose from hot and cold A** all 
round.Read moreReview colle"&amp;"cted in partnership with TravelodgeDate of stay: 
May 2019HelpfulShare")</f>
        <v>superModern hotel very clean great location tube station just down the road , 
rooom was a good size very clean airconditioned, super comfy bed, friendly 
helpful staff, great breakfast lots to choose from hot and cold A** all 
round.Read moreReview collected in partnership with TravelodgeDate of stay: 
May 2019HelpfulShare</v>
      </c>
      <c r="G84" s="24" t="str">
        <f ca="1">IFERROR(__xludf.DUMMYFUNCTION("IMPORTXML(C84, $G$1)"),"ScannableJam wrote a review Jun 2019Sherborne, United Kingdom12 
contributions5 helpful votes")</f>
        <v>ScannableJam wrote a review Jun 2019Sherborne, United Kingdom12 
contributions5 helpful votes</v>
      </c>
      <c r="H84" s="4" t="str">
        <f ca="1">IFERROR(__xludf.DUMMYFUNCTION("""COMPUTED_VALUE"""),"AverageComfortable and decent breakfast. Nice and quiet. But the two bottle tops 
left on the floor by previous occupants when I arrived hadn’t been cleared 
by the time I left two days later. The toilet seat was warped and the soap 
dispenser didn’t work"&amp;". There was a spare mattress randomly on the floor 
even though I was travelling on my own.Read moreDate of stay: June 
2019HelpfulShare")</f>
        <v>AverageComfortable and decent breakfast. Nice and quiet. But the two bottle tops 
left on the floor by previous occupants when I arrived hadn’t been cleared 
by the time I left two days later. The toilet seat was warped and the soap 
dispenser didn’t work. There was a spare mattress randomly on the floor 
even though I was travelling on my own.Read moreDate of stay: June 
2019HelpfulShare</v>
      </c>
      <c r="I84" s="21"/>
      <c r="J84" s="21" t="str">
        <f ca="1">IFERROR(__xludf.DUMMYFUNCTION("IMPORTXML(C84, $J$1)"),"noblesness wrote a review Jun 2019Chester, United Kingdom213 
contributions60 helpful votes")</f>
        <v>noblesness wrote a review Jun 2019Chester, United Kingdom213 
contributions60 helpful votes</v>
      </c>
      <c r="K84" s="4" t="str">
        <f ca="1">IFERROR(__xludf.DUMMYFUNCTION("""COMPUTED_VALUE"""),"Convenient location &amp; pleasant staffI have stayed at this particular Travelodge on a number of occasions &amp; I 
have always found the staff friendly &amp; helpful. The hotel is a short walk 
from Waterloo Station &amp; Tube which is convenient for travel around Lon"&amp;"don &amp; 
beyond. There are a number of nice bars &amp; restaurants in the area. The 
hotel has a good sized bar which serves an okay selection of food at 
reasonable prices. They have a deal on for about £12 for two dishes - which 
helps when you are on a budge"&amp;"t from work. The pizza was good &amp; the pudding 
excellent. The rooms have all been very clean &amp; of a good size - 
particularly for London. In fact huge compared to many other hotel rooms in 
London! Great air conditioning. I stay in a Superoom - so I get t"&amp;"o enjoy 
the kitkats &amp; coffee machine. Would recommend &amp;…Read moreDate of stay: May 
2019HelpfulShare")</f>
        <v>Convenient location &amp; pleasant staffI have stayed at this particular Travelodge on a number of occasions &amp; I 
have always found the staff friendly &amp; helpful. The hotel is a short walk 
from Waterloo Station &amp; Tube which is convenient for travel around London &amp; 
beyond. There are a number of nice bars &amp; restaurants in the area. The 
hotel has a good sized bar which serves an okay selection of food at 
reasonable prices. They have a deal on for about £12 for two dishes - which 
helps when you are on a budget from work. The pizza was good &amp; the pudding 
excellent. The rooms have all been very clean &amp; of a good size - 
particularly for London. In fact huge compared to many other hotel rooms in 
London! Great air conditioning. I stay in a Superoom - so I get to enjoy 
the kitkats &amp; coffee machine. Would recommend &amp;…Read moreDate of stay: May 
2019HelpfulShare</v>
      </c>
      <c r="L84" s="21"/>
      <c r="M84" s="21" t="str">
        <f ca="1">IFERROR(__xludf.DUMMYFUNCTION("IMPORTXML(C84, $M$1)"),"Jamie T wrote a review Jun 201914 contributions")</f>
        <v>Jamie T wrote a review Jun 201914 contributions</v>
      </c>
      <c r="N84" s="4" t="str">
        <f ca="1">IFERROR(__xludf.DUMMYFUNCTION("""COMPUTED_VALUE"""),"Great stay, friendly staff, clean rooms, very competitive price. I make 
this my go to hotel.Great service in the restaurant from Lindsay and Simen, room is as 
expected, nothing more and nothing less. Always on par with my expectations 
and never any iss"&amp;"ues at all. Very welcoming group of staff.Read moreDate of 
stay: June 2019HelpfulShare")</f>
        <v>Great stay, friendly staff, clean rooms, very competitive price. I make 
this my go to hotel.Great service in the restaurant from Lindsay and Simen, room is as 
expected, nothing more and nothing less. Always on par with my expectations 
and never any issues at all. Very welcoming group of staff.Read moreDate of 
stay: June 2019HelpfulShare</v>
      </c>
      <c r="O84" s="21"/>
      <c r="P84" s="21" t="str">
        <f ca="1">IFERROR(__xludf.DUMMYFUNCTION("IMPORTXML(C84, $P$1)"),"mahound29 wrote a review Jun 2019Monmouthshire, United Kingdom66 
contributions34 helpful votes")</f>
        <v>mahound29 wrote a review Jun 2019Monmouthshire, United Kingdom66 
contributions34 helpful votes</v>
      </c>
      <c r="Q84" s="4" t="str">
        <f ca="1">IFERROR(__xludf.DUMMYFUNCTION("""COMPUTED_VALUE"""),"Travelodge heavenI am actually rejoicing from my bed as I can plug in my phone next to me 
unlike the Southwark travelodge near by. This place is so much better that 
Southwark! I actually feel deceived for the last 6 months I have spent 
there. The room "&amp;"is smaller but fresh and the shower is hot!Read moreDate of 
stay: June 2019HelpfulShare")</f>
        <v>Travelodge heavenI am actually rejoicing from my bed as I can plug in my phone next to me 
unlike the Southwark travelodge near by. This place is so much better that 
Southwark! I actually feel deceived for the last 6 months I have spent 
there. The room is smaller but fresh and the shower is hot!Read moreDate of 
stay: June 2019HelpfulShare</v>
      </c>
      <c r="U84" s="4" t="str">
        <f ca="1">IFERROR(__xludf.DUMMYFUNCTION("IMPORTXML(C85,$U$1)"),"Loading...")</f>
        <v>Loading...</v>
      </c>
    </row>
    <row r="85" spans="1:21" ht="15">
      <c r="A85" s="25" t="s">
        <v>6206</v>
      </c>
      <c r="B85" s="17" t="s">
        <v>126</v>
      </c>
      <c r="C85" s="23" t="str">
        <f t="shared" si="0"/>
        <v>https://www.tripadvisor.co.uk/Hotel_Review-g186338-d1812157-Reviews-or415-Travelodge_London_Waterloo_Hotel-London_England.html#REVIEWS</v>
      </c>
      <c r="D85" s="4" t="str">
        <f ca="1">IFERROR(__xludf.DUMMYFUNCTION("IMPORTXML(C85,$D$1)"),"sbhill2016 wrote a review Jun 2019Penryn, United Kingdom4 contributions1 
helpful vote")</f>
        <v>sbhill2016 wrote a review Jun 2019Penryn, United Kingdom4 contributions1 
helpful vote</v>
      </c>
      <c r="E85" s="4" t="str">
        <f ca="1">IFERROR(__xludf.DUMMYFUNCTION("""COMPUTED_VALUE"""),"A warm friendly placeAfter a long day travelling I was at the reception of the travel with a 
very pleasant lady with a welcoming smile And warm friendly welcome The 
room was clean and fresh The bar staff friendly And the food was delicious 
All in all t"&amp;"his travel was very impressive to some others I have stayed in 
They definitely have the upper edge I would recommend Waterloo central 
travel to any one Well done.Read moreDate of stay: June 2019HelpfulShare")</f>
        <v>A warm friendly placeAfter a long day travelling I was at the reception of the travel with a 
very pleasant lady with a welcoming smile And warm friendly welcome The 
room was clean and fresh The bar staff friendly And the food was delicious 
All in all this travel was very impressive to some others I have stayed in 
They definitely have the upper edge I would recommend Waterloo central 
travel to any one Well done.Read moreDate of stay: June 2019HelpfulShare</v>
      </c>
      <c r="G85" s="24" t="str">
        <f ca="1">IFERROR(__xludf.DUMMYFUNCTION("IMPORTXML(C85, $G$1)"),"Luv2travel2014 wrote a review Jun 2019Liverpool, United Kingdom84 
contributions21 helpful votes")</f>
        <v>Luv2travel2014 wrote a review Jun 2019Liverpool, United Kingdom84 
contributions21 helpful votes</v>
      </c>
      <c r="H85" s="4" t="str">
        <f ca="1">IFERROR(__xludf.DUMMYFUNCTION("""COMPUTED_VALUE"""),"Would definitely book againMyself and my son stayed here for 2 nights. We got to the hotel around 11 
so they took our bags off us and we headed out for the end. When we came 
back we checked in and collected our bags. Staff were friendly and helpful. 
We"&amp;" had booked breakfast aswel. Really good choice and always kept stocked. 
The first night the plug was stuck in the sink, it was seen to within 30 
minutes. The hotel it’s self is so close to Waterloo station, and 10 
minutes walk to south bank. Felt safe"&amp;" in the hotel with it just being the 2 
of us. Would definitely returnRead moreDate of stay: May 2019HelpfulShare")</f>
        <v>Would definitely book againMyself and my son stayed here for 2 nights. We got to the hotel around 11 
so they took our bags off us and we headed out for the end. When we came 
back we checked in and collected our bags. Staff were friendly and helpful. 
We had booked breakfast aswel. Really good choice and always kept stocked. 
The first night the plug was stuck in the sink, it was seen to within 30 
minutes. The hotel it’s self is so close to Waterloo station, and 10 
minutes walk to south bank. Felt safe in the hotel with it just being the 2 
of us. Would definitely returnRead moreDate of stay: May 2019HelpfulShare</v>
      </c>
      <c r="I85" s="21"/>
      <c r="J85" s="21" t="str">
        <f ca="1">IFERROR(__xludf.DUMMYFUNCTION("IMPORTXML(C85, $J$1)"),"A1822VGrichardw wrote a review Jun 2019Liverpool3 contributions")</f>
        <v>A1822VGrichardw wrote a review Jun 2019Liverpool3 contributions</v>
      </c>
      <c r="K85" s="4" t="str">
        <f ca="1">IFERROR(__xludf.DUMMYFUNCTION("""COMPUTED_VALUE"""),"Well-placedWell-placed near Waterloo rail station (and down the street from the old 
Vic theatre) but not too close in order to avoid the noise and bustle. 
Lower marsh is a sweet nearby with some interesting shops and cafes, 
including market beneath the"&amp;" station.Read moreReview collected in 
partnership with TravelodgeDate of stay: June 2019HelpfulShare")</f>
        <v>Well-placedWell-placed near Waterloo rail station (and down the street from the old 
Vic theatre) but not too close in order to avoid the noise and bustle. 
Lower marsh is a sweet nearby with some interesting shops and cafes, 
including market beneath the station.Read moreReview collected in 
partnership with TravelodgeDate of stay: June 2019HelpfulShare</v>
      </c>
      <c r="L85" s="21"/>
      <c r="M85" s="21" t="str">
        <f ca="1">IFERROR(__xludf.DUMMYFUNCTION("IMPORTXML(C85, $M$1)"),"Happy2go_lucky wrote a review Jun 2019Chesterton, United Kingdom31 
contributions36 helpful votes")</f>
        <v>Happy2go_lucky wrote a review Jun 2019Chesterton, United Kingdom31 
contributions36 helpful votes</v>
      </c>
      <c r="N85" s="4" t="str">
        <f ca="1">IFERROR(__xludf.DUMMYFUNCTION("""COMPUTED_VALUE"""),"Well located Hotel with helpful and friendly staff.Situated on the Southbank of the river Thames just a short walk from 
Waterloo station and Westminster the hotel is in an ideal spot for touring 
London. The hotel staff were excellent from the minute I w"&amp;"alked through the 
door to leaving ,I really cannot praise them more highly especially a lady 
in the resturant who was oustanding with the young children having there 
meals. The hotel is relitavely new all rooms are spacey with a comfortable 
bed the on"&amp;"ly minor gripe I would have, if your on a longer stay more than a 
couple of days there is a lack of space for clothing to be stored. 
Breakfast is satisfactory with plenty of choice and the main meal menu has 
been expanded and is value for money. There "&amp;"are plenty of resturants and 
street food outlets all around this area so your not…Read moreDate of stay: 
May 2019HelpfulShare")</f>
        <v>Well located Hotel with helpful and friendly staff.Situated on the Southbank of the river Thames just a short walk from 
Waterloo station and Westminster the hotel is in an ideal spot for touring 
London. The hotel staff were excellent from the minute I walked through the 
door to leaving ,I really cannot praise them more highly especially a lady 
in the resturant who was oustanding with the young children having there 
meals. The hotel is relitavely new all rooms are spacey with a comfortable 
bed the only minor gripe I would have, if your on a longer stay more than a 
couple of days there is a lack of space for clothing to be stored. 
Breakfast is satisfactory with plenty of choice and the main meal menu has 
been expanded and is value for money. There are plenty of resturants and 
street food outlets all around this area so your not…Read moreDate of stay: 
May 2019HelpfulShare</v>
      </c>
      <c r="O85" s="21"/>
      <c r="P85" s="21" t="str">
        <f ca="1">IFERROR(__xludf.DUMMYFUNCTION("IMPORTXML(C85, $P$1)"),"Grumpy Humpy wrote a review Jun 20199 contributions2 helpful votes")</f>
        <v>Grumpy Humpy wrote a review Jun 20199 contributions2 helpful votes</v>
      </c>
      <c r="Q85" s="4" t="str">
        <f ca="1">IFERROR(__xludf.DUMMYFUNCTION("""COMPUTED_VALUE"""),"Best nights sleepWe all went to bed early as we had our grandson with us expecting to have 
some noise but we all had the best nights sleep for a long time. The 
reception we had was also very friendly and a cool pint after a long hot 
journey was most we"&amp;"lcome.Read moreReview collected in partnership with 
TravelodgeDate of stay: June 2019HelpfulShare")</f>
        <v>Best nights sleepWe all went to bed early as we had our grandson with us expecting to have 
some noise but we all had the best nights sleep for a long time. The 
reception we had was also very friendly and a cool pint after a long hot 
journey was most welcome.Read moreReview collected in partnership with 
TravelodgeDate of stay: June 2019HelpfulShare</v>
      </c>
      <c r="U85" s="4" t="str">
        <f ca="1">IFERROR(__xludf.DUMMYFUNCTION("IMPORTXML(C86,$U$1)"),"Loading...")</f>
        <v>Loading...</v>
      </c>
    </row>
    <row r="86" spans="1:21" ht="15">
      <c r="A86" s="25" t="s">
        <v>6258</v>
      </c>
      <c r="B86" s="17" t="s">
        <v>126</v>
      </c>
      <c r="C86" s="23" t="str">
        <f t="shared" si="0"/>
        <v>https://www.tripadvisor.co.uk/Hotel_Review-g186338-d1812157-Reviews-or420-Travelodge_London_Waterloo_Hotel-London_England.html#REVIEWS</v>
      </c>
      <c r="D86" s="4" t="str">
        <f ca="1">IFERROR(__xludf.DUMMYFUNCTION("IMPORTXML(C86,$D$1)"),"S B wrote a review Jun 2019Uk South Coast35 contributions34 helpful votes")</f>
        <v>S B wrote a review Jun 2019Uk South Coast35 contributions34 helpful votes</v>
      </c>
      <c r="E86" s="4" t="str">
        <f ca="1">IFERROR(__xludf.DUMMYFUNCTION("""COMPUTED_VALUE"""),"Suprisingly better than expected!Normally stay at Premier Inn or similar but could not find one close enough 
to where I was going and the travel lodge came up. My experience of old and 
expectation was only basic but I was pleasantly suprised. This hotel"&amp;" looks 
like the rooms have recently been updated and it was a nice change. The 
bathrooms are still too basic but hey that's how they are (shame!) We 
didn't eat here purely because the choice, quality and price very locally 
were a better option. The 3p"&amp;"m check-in is too late though and does need 
reviewing.Read moreReview collected in partnership with TravelodgeDate of 
stay: May 2019HelpfulShare")</f>
        <v>Suprisingly better than expected!Normally stay at Premier Inn or similar but could not find one close enough 
to where I was going and the travel lodge came up. My experience of old and 
expectation was only basic but I was pleasantly suprised. This hotel looks 
like the rooms have recently been updated and it was a nice change. The 
bathrooms are still too basic but hey that's how they are (shame!) We 
didn't eat here purely because the choice, quality and price very locally 
were a better option. The 3pm check-in is too late though and does need 
reviewing.Read moreReview collected in partnership with TravelodgeDate of 
stay: May 2019HelpfulShare</v>
      </c>
      <c r="G86" s="24" t="str">
        <f ca="1">IFERROR(__xludf.DUMMYFUNCTION("IMPORTXML(C86, $G$1)"),"TCarter14 wrote a review Jun 2019Newcastle upon Tyne, United Kingdom55 
contributions19 helpful votes")</f>
        <v>TCarter14 wrote a review Jun 2019Newcastle upon Tyne, United Kingdom55 
contributions19 helpful votes</v>
      </c>
      <c r="H86" s="4" t="str">
        <f ca="1">IFERROR(__xludf.DUMMYFUNCTION("""COMPUTED_VALUE"""),"Fairly Good Hotel (after check-in issues were resolved)Arrived in the evening, it took around 10 - 15 minutes for the staff to 
find our double rooms. Once we eventually got into the room we found that 
both rooms were twins - they had made up two single "&amp;"beds and pushed them 
together. Went back down to reception to mention that I had booked a double 
room, (also found out that the other room we were given was setup the same 
way). They had to go and check with their manager to try and find double 
rooms,"&amp;" eventually asked to go and take a seat. Around 20 minutes later we 
were finally given keys to our room. If we had known we were going to have 
to wait that long then I would have gone and sat in the bar (or they could 
have at least offered us a drink f"&amp;"or the inconvenience). Eventually got 
into our rooms and all fine, but an hours wait,…Read moreDate of stay: May 
2019HelpfulShare")</f>
        <v>Fairly Good Hotel (after check-in issues were resolved)Arrived in the evening, it took around 10 - 15 minutes for the staff to 
find our double rooms. Once we eventually got into the room we found that 
both rooms were twins - they had made up two single beds and pushed them 
together. Went back down to reception to mention that I had booked a double 
room, (also found out that the other room we were given was setup the same 
way). They had to go and check with their manager to try and find double 
rooms, eventually asked to go and take a seat. Around 20 minutes later we 
were finally given keys to our room. If we had known we were going to have 
to wait that long then I would have gone and sat in the bar (or they could 
have at least offered us a drink for the inconvenience). Eventually got 
into our rooms and all fine, but an hours wait,…Read moreDate of stay: May 
2019HelpfulShare</v>
      </c>
      <c r="I86" s="21"/>
      <c r="J86" s="21" t="str">
        <f ca="1">IFERROR(__xludf.DUMMYFUNCTION("IMPORTXML(C86, $J$1)"),"Safari05121083154 wrote a review Jun 2019Novi Ligure, Italy1 contribution")</f>
        <v>Safari05121083154 wrote a review Jun 2019Novi Ligure, Italy1 contribution</v>
      </c>
      <c r="K86" s="4" t="str">
        <f ca="1">IFERROR(__xludf.DUMMYFUNCTION("""COMPUTED_VALUE"""),"Very CleanThe room was very tidy, clean and quiet. The position of the hotel is 
excellent! It is very close to three tube stations: Waterlooo, Southwark 
and Lambeth North. Bus stop is even closer. I will come backRead moreReview 
collected in partnershi"&amp;"p with TravelodgeDate of stay: May 2019HelpfulShare")</f>
        <v>Very CleanThe room was very tidy, clean and quiet. The position of the hotel is 
excellent! It is very close to three tube stations: Waterlooo, Southwark 
and Lambeth North. Bus stop is even closer. I will come backRead moreReview 
collected in partnership with TravelodgeDate of stay: May 2019HelpfulShare</v>
      </c>
      <c r="L86" s="21"/>
      <c r="M86" s="21" t="str">
        <f ca="1">IFERROR(__xludf.DUMMYFUNCTION("IMPORTXML(C86, $M$1)"),"Climber55998648652 wrote a review Jun 20192 contributions")</f>
        <v>Climber55998648652 wrote a review Jun 20192 contributions</v>
      </c>
      <c r="N86" s="4" t="str">
        <f ca="1">IFERROR(__xludf.DUMMYFUNCTION("""COMPUTED_VALUE"""),"clean and very FriendlyStopped here for 2nd time, clean hotel throughout, friendly staff, great 
location for Central London, breakfast was very good. The choice was more 
than enough and could go back as and when, not bad price as it was London, 
Bed was"&amp;" comfortable and very quiet i heard nothing in the night. We asked 
for more milk etc and was given,Read moreReview collected in partnership 
with TravelodgeDate of stay: June 2019HelpfulShare")</f>
        <v>clean and very FriendlyStopped here for 2nd time, clean hotel throughout, friendly staff, great 
location for Central London, breakfast was very good. The choice was more 
than enough and could go back as and when, not bad price as it was London, 
Bed was comfortable and very quiet i heard nothing in the night. We asked 
for more milk etc and was given,Read moreReview collected in partnership 
with TravelodgeDate of stay: June 2019HelpfulShare</v>
      </c>
      <c r="O86" s="21"/>
      <c r="P86" s="21" t="str">
        <f ca="1">IFERROR(__xludf.DUMMYFUNCTION("IMPORTXML(C86, $P$1)"),"Venture33446612234 wrote a review Jun 20191 contribution")</f>
        <v>Venture33446612234 wrote a review Jun 20191 contribution</v>
      </c>
      <c r="Q86" s="4" t="str">
        <f ca="1">IFERROR(__xludf.DUMMYFUNCTION("""COMPUTED_VALUE"""),"Excellent location. Friendly helpful staffComfy basic rooms. Great location. Staff helpful and friendly. My daughter 
was unwell on check out and reception let us stay in room until she felt 
better Nice fresh breakfast. Clean rooms. Would stay again. Lon"&amp;"don eye was 
our bedroom viewRead moreReview collected in partnership with 
TravelodgeDate of stay: May 2019HelpfulShare")</f>
        <v>Excellent location. Friendly helpful staffComfy basic rooms. Great location. Staff helpful and friendly. My daughter 
was unwell on check out and reception let us stay in room until she felt 
better Nice fresh breakfast. Clean rooms. Would stay again. London eye was 
our bedroom viewRead moreReview collected in partnership with 
TravelodgeDate of stay: May 2019HelpfulShare</v>
      </c>
      <c r="U86" s="4" t="str">
        <f ca="1">IFERROR(__xludf.DUMMYFUNCTION("IMPORTXML(C87,$U$1)"),"Loading...")</f>
        <v>Loading...</v>
      </c>
    </row>
    <row r="87" spans="1:21" ht="15">
      <c r="A87" s="5" t="s">
        <v>6314</v>
      </c>
      <c r="B87" s="17" t="s">
        <v>126</v>
      </c>
      <c r="C87" s="23" t="str">
        <f t="shared" si="0"/>
        <v>https://www.tripadvisor.co.uk/Hotel_Review-g186338-d1812157-Reviews-or425-Travelodge_London_Waterloo_Hotel-London_England.html#REVIEWS</v>
      </c>
      <c r="D87" s="4" t="str">
        <f ca="1">IFERROR(__xludf.DUMMYFUNCTION("IMPORTXML(C87,$D$1)"),"Ali wrote a review Jun 20191 contribution")</f>
        <v>Ali wrote a review Jun 20191 contribution</v>
      </c>
      <c r="E87" s="4" t="str">
        <f ca="1">IFERROR(__xludf.DUMMYFUNCTION("""COMPUTED_VALUE"""),"WeekenderBooked for a 2 night stay with friends for a weekend in london. Excellent 
location. Room was spacious, very clean and air conditioned . Staff were 
very helpful and friendly. (Especially BARBORA! And marcio, your great 
behind a bar) very enjoya"&amp;"ble stay and would highly recommend to anyone 
planning to visit the heart of london.Read moreDate of stay: May 
2019HelpfulShare")</f>
        <v>WeekenderBooked for a 2 night stay with friends for a weekend in london. Excellent 
location. Room was spacious, very clean and air conditioned . Staff were 
very helpful and friendly. (Especially BARBORA! And marcio, your great 
behind a bar) very enjoyable stay and would highly recommend to anyone 
planning to visit the heart of london.Read moreDate of stay: May 
2019HelpfulShare</v>
      </c>
      <c r="G87" s="24" t="str">
        <f ca="1">IFERROR(__xludf.DUMMYFUNCTION("IMPORTXML(C87, $G$1)"),"helb167 wrote a review May 2019Manchester, United Kingdom283 
contributions79 helpful votes")</f>
        <v>helb167 wrote a review May 2019Manchester, United Kingdom283 
contributions79 helpful votes</v>
      </c>
      <c r="H87" s="4" t="str">
        <f ca="1">IFERROR(__xludf.DUMMYFUNCTION("""COMPUTED_VALUE"""),"Lovely hotelStayed here for 2 nights with my son. The hotel was easy to find. Check in 
was quick and easy as I’d prepaid when booking. We had room 739, it was a 
superoom. It was a good size and very clean. My son loved the coffee 
machine in the room. T"&amp;"he bathroom was clean and had everything you need. We 
had breakfast every morning. Plenty to choose from and the staff in the 
restaurant were lovely. The bar staff were friendly too.Read moreDate of 
stay: May 2019HelpfulShare")</f>
        <v>Lovely hotelStayed here for 2 nights with my son. The hotel was easy to find. Check in 
was quick and easy as I’d prepaid when booking. We had room 739, it was a 
superoom. It was a good size and very clean. My son loved the coffee 
machine in the room. The bathroom was clean and had everything you need. We 
had breakfast every morning. Plenty to choose from and the staff in the 
restaurant were lovely. The bar staff were friendly too.Read moreDate of 
stay: May 2019HelpfulShare</v>
      </c>
      <c r="I87" s="21"/>
      <c r="J87" s="21" t="str">
        <f ca="1">IFERROR(__xludf.DUMMYFUNCTION("IMPORTXML(C87, $J$1)"),"ADDY_GTZ wrote a review May 2019Mexico City, Mexico2 contributions")</f>
        <v>ADDY_GTZ wrote a review May 2019Mexico City, Mexico2 contributions</v>
      </c>
      <c r="K87" s="4" t="str">
        <f ca="1">IFERROR(__xludf.DUMMYFUNCTION("""COMPUTED_VALUE"""),"Travelodge made me two Charges for the same reservation be carefullHi, I had a problem with my reservation Payment, I made a reservation on 
line in web site with my debit card and I recived the charge in my account, 
when I was in the hotel to make the c"&amp;"heck in, the person in chargue said me 
I had to pay again because the first payment will be released in 3 working 
days. so had to pay again with my credit card, my confirmation number is 
1474273096, my money havent returned to my debit card and I need "&amp;"the money 
to pay the charge in my credit card, so please help me to release the first 
payment from your side, since I went back to my country 15 days ago and I 
havent received nothing.Read moreDate of stay: May 2019HelpfulShare")</f>
        <v>Travelodge made me two Charges for the same reservation be carefullHi, I had a problem with my reservation Payment, I made a reservation on 
line in web site with my debit card and I recived the charge in my account, 
when I was in the hotel to make the check in, the person in chargue said me 
I had to pay again because the first payment will be released in 3 working 
days. so had to pay again with my credit card, my confirmation number is 
1474273096, my money havent returned to my debit card and I need the money 
to pay the charge in my credit card, so please help me to release the first 
payment from your side, since I went back to my country 15 days ago and I 
havent received nothing.Read moreDate of stay: May 2019HelpfulShare</v>
      </c>
      <c r="L87" s="21"/>
      <c r="M87" s="21" t="str">
        <f ca="1">IFERROR(__xludf.DUMMYFUNCTION("IMPORTXML(C87, $M$1)"),"#N/A")</f>
        <v>#N/A</v>
      </c>
      <c r="O87" s="21"/>
      <c r="P87" s="21" t="str">
        <f ca="1">IFERROR(__xludf.DUMMYFUNCTION("IMPORTXML(C87, $P$1)"),"Gordon W wrote a review May 2019Nottingham, United Kingdom9 contributions")</f>
        <v>Gordon W wrote a review May 2019Nottingham, United Kingdom9 contributions</v>
      </c>
      <c r="Q87" s="4" t="str">
        <f ca="1">IFERROR(__xludf.DUMMYFUNCTION("""COMPUTED_VALUE"""),"Spacious, clean and surprisingly quietI'm a great fan of Travelodge - their rooms are spacious and clean, the 
beds are superbly comfortable, the staff really helpful and their prices 
are great. This hotel had all of these things. Maybe I was lucky becau"&amp;"se my 
room (on the top floor and facing away from the road) also had a pleasant 
view and was extremely quiet (unexpected in London).Read moreReview 
collected in partnership with this hotelDate of stay: May 2019HelpfulShare")</f>
        <v>Spacious, clean and surprisingly quietI'm a great fan of Travelodge - their rooms are spacious and clean, the 
beds are superbly comfortable, the staff really helpful and their prices 
are great. This hotel had all of these things. Maybe I was lucky because my 
room (on the top floor and facing away from the road) also had a pleasant 
view and was extremely quiet (unexpected in London).Read moreReview 
collected in partnership with this hotelDate of stay: May 2019HelpfulShare</v>
      </c>
      <c r="U87" s="4" t="str">
        <f ca="1">IFERROR(__xludf.DUMMYFUNCTION("IMPORTXML(C88,$U$1)"),"Loading...")</f>
        <v>Loading...</v>
      </c>
    </row>
    <row r="88" spans="1:21" ht="15">
      <c r="A88" s="25" t="s">
        <v>6401</v>
      </c>
      <c r="B88" s="17" t="s">
        <v>126</v>
      </c>
      <c r="C88" s="23" t="str">
        <f t="shared" si="0"/>
        <v>https://www.tripadvisor.co.uk/Hotel_Review-g186338-d1812157-Reviews-or430-Travelodge_London_Waterloo_Hotel-London_England.html#REVIEWS</v>
      </c>
      <c r="D88" s="4" t="str">
        <f ca="1">IFERROR(__xludf.DUMMYFUNCTION("IMPORTXML(C88,$D$1)"),"Gemmaxxxxxxxxxx wrote a review May 20193 contributions")</f>
        <v>Gemmaxxxxxxxxxx wrote a review May 20193 contributions</v>
      </c>
      <c r="E88" s="4" t="str">
        <f ca="1">IFERROR(__xludf.DUMMYFUNCTION("""COMPUTED_VALUE"""),"FabVery clean, Barbora (one of the ladies that worked there) always had a 
smile for you and was always ready to help with whatever you needed!! Very 
happy with the stay would stay there again next time I visit LondonRead 
moreDate of stay: May 2019Helpf"&amp;"ulShare")</f>
        <v>FabVery clean, Barbora (one of the ladies that worked there) always had a 
smile for you and was always ready to help with whatever you needed!! Very 
happy with the stay would stay there again next time I visit LondonRead 
moreDate of stay: May 2019HelpfulShare</v>
      </c>
      <c r="G88" s="24" t="str">
        <f ca="1">IFERROR(__xludf.DUMMYFUNCTION("IMPORTXML(C88, $G$1)"),"mandj17 wrote a review May 201933 contributions21 helpful votes")</f>
        <v>mandj17 wrote a review May 201933 contributions21 helpful votes</v>
      </c>
      <c r="H88" s="4" t="str">
        <f ca="1">IFERROR(__xludf.DUMMYFUNCTION("""COMPUTED_VALUE"""),"Excellent value for moneyThoroughly enjoyable 2 night stay in this hotel over the May Bank Holiday 
weekend. Ideally located, the area was surprisingly peaceful and we enjoyed 
2 nights sleep without any of the London noise usually accustomed to a stay 
i"&amp;"n the City. Within walking distance to many landmarks and Waterloo Station 
just up the road the location was excellent. Staff were very friendly and 
welcoming and the room was clean and well appointed. We will definitely 
stay here again and this hotel "&amp;"is a great example for the brand.Read 
moreDate of stay: May 2019HelpfulShare")</f>
        <v>Excellent value for moneyThoroughly enjoyable 2 night stay in this hotel over the May Bank Holiday 
weekend. Ideally located, the area was surprisingly peaceful and we enjoyed 
2 nights sleep without any of the London noise usually accustomed to a stay 
in the City. Within walking distance to many landmarks and Waterloo Station 
just up the road the location was excellent. Staff were very friendly and 
welcoming and the room was clean and well appointed. We will definitely 
stay here again and this hotel is a great example for the brand.Read 
moreDate of stay: May 2019HelpfulShare</v>
      </c>
      <c r="I88" s="21"/>
      <c r="J88" s="21" t="str">
        <f ca="1">IFERROR(__xludf.DUMMYFUNCTION("IMPORTXML(C88, $J$1)"),"jskyner wrote a review May 2019Greenfield, United Kingdom18 contributions5 
helpful votes")</f>
        <v>jskyner wrote a review May 2019Greenfield, United Kingdom18 contributions5 
helpful votes</v>
      </c>
      <c r="K88" s="4" t="str">
        <f ca="1">IFERROR(__xludf.DUMMYFUNCTION("""COMPUTED_VALUE"""),"very nice staytayed one night did a theatre show at the Aldwych. Very nice budget hotel, 
very clean and modern with pleasant knowledgable and helpful staff. Perfect 
location 15 minutes to Covent Garden and less than 5 minutes to Waterloo 
main line stat"&amp;"ion.Nice bar area open 24 hours. Rooms were nice and clean 
with tea and coffee making facilities, did not eat at the hotel, we used 
the Master Super Fish fish and chip cafe next door, fabulous food and 
excellent service. This was an enjoyable stay at a"&amp;" very good price in a 
good location near to tourist attractions. We would not hesitate to stay 
here again and would certainly recommend this hotel.Read moreDate of stay: 
May 2019HelpfulShare")</f>
        <v>very nice staytayed one night did a theatre show at the Aldwych. Very nice budget hotel, 
very clean and modern with pleasant knowledgable and helpful staff. Perfect 
location 15 minutes to Covent Garden and less than 5 minutes to Waterloo 
main line station.Nice bar area open 24 hours. Rooms were nice and clean 
with tea and coffee making facilities, did not eat at the hotel, we used 
the Master Super Fish fish and chip cafe next door, fabulous food and 
excellent service. This was an enjoyable stay at a very good price in a 
good location near to tourist attractions. We would not hesitate to stay 
here again and would certainly recommend this hotel.Read moreDate of stay: 
May 2019HelpfulShare</v>
      </c>
      <c r="L88" s="21"/>
      <c r="M88" s="21" t="str">
        <f ca="1">IFERROR(__xludf.DUMMYFUNCTION("IMPORTXML(C88, $M$1)"),"VynB wrote a review May 2019Sheffield, United Kingdom42 contributions20 
helpful votes")</f>
        <v>VynB wrote a review May 2019Sheffield, United Kingdom42 contributions20 
helpful votes</v>
      </c>
      <c r="N88" s="4" t="str">
        <f ca="1">IFERROR(__xludf.DUMMYFUNCTION("""COMPUTED_VALUE"""),"My in-budget hotel of choiceI stay here very regularly, and think that this Travelodge does the 
organisation proud. Good value (by London's standards), well located for 
Waterloo, South Bank, Westminster, etc. and plenty of places to eat at 
nearby. I'm "&amp;"a light sleeper and find it quiet enough to be able to sleep 
well (despite Ambulance HQ nearby!). I always get excellent customer 
service from the staff. This isn't a 4-star hotel, so if you want a pool, 
gym or spa, it's not for you. If you want the ba"&amp;"sics done very well, it's 
perfect.Read moreDate of stay: May 2019HelpfulShare")</f>
        <v>My in-budget hotel of choiceI stay here very regularly, and think that this Travelodge does the 
organisation proud. Good value (by London's standards), well located for 
Waterloo, South Bank, Westminster, etc. and plenty of places to eat at 
nearby. I'm a light sleeper and find it quiet enough to be able to sleep 
well (despite Ambulance HQ nearby!). I always get excellent customer 
service from the staff. This isn't a 4-star hotel, so if you want a pool, 
gym or spa, it's not for you. If you want the basics done very well, it's 
perfect.Read moreDate of stay: May 2019HelpfulShare</v>
      </c>
      <c r="O88" s="21"/>
      <c r="P88" s="21" t="str">
        <f ca="1">IFERROR(__xludf.DUMMYFUNCTION("IMPORTXML(C88, $P$1)"),"JayceeWorcester wrote a review May 2019Worcester, United Kingdom6 
contributions24 helpful votes")</f>
        <v>JayceeWorcester wrote a review May 2019Worcester, United Kingdom6 
contributions24 helpful votes</v>
      </c>
      <c r="Q88" s="4" t="str">
        <f ca="1">IFERROR(__xludf.DUMMYFUNCTION("""COMPUTED_VALUE"""),"Economy hotel, above the rest, great refurb!Always clean, great staff, always helpful! We stay quite regularly &amp; have 
seen a good improvement. Not so keen on breakfast, mainly due to breakfast 
staff, miserable, unfriendly, unwelcoming! We no longer have"&amp;" breakfast. The 
rest are brilliant !Read moreReview collected in partnership with this 
hotelDate of stay: April 2019HelpfulShare")</f>
        <v>Economy hotel, above the rest, great refurb!Always clean, great staff, always helpful! We stay quite regularly &amp; have 
seen a good improvement. Not so keen on breakfast, mainly due to breakfast 
staff, miserable, unfriendly, unwelcoming! We no longer have breakfast. The 
rest are brilliant !Read moreReview collected in partnership with this 
hotelDate of stay: April 2019HelpfulShare</v>
      </c>
      <c r="U88" s="4" t="str">
        <f ca="1">IFERROR(__xludf.DUMMYFUNCTION("IMPORTXML(C89,$U$1)"),"Loading...")</f>
        <v>Loading...</v>
      </c>
    </row>
    <row r="89" spans="1:21" ht="15">
      <c r="A89" s="25" t="s">
        <v>6514</v>
      </c>
      <c r="B89" s="17" t="s">
        <v>126</v>
      </c>
      <c r="C89" s="23" t="str">
        <f t="shared" si="0"/>
        <v>https://www.tripadvisor.co.uk/Hotel_Review-g186338-d1812157-Reviews-or435-Travelodge_London_Waterloo_Hotel-London_England.html#REVIEWS</v>
      </c>
      <c r="D89" s="4" t="str">
        <f ca="1">IFERROR(__xludf.DUMMYFUNCTION("IMPORTXML(C89,$D$1)"),"#N/A")</f>
        <v>#N/A</v>
      </c>
      <c r="G89" s="24" t="str">
        <f ca="1">IFERROR(__xludf.DUMMYFUNCTION("IMPORTXML(C89, $G$1)"),"Glenda wrote a review May 20195 contributions")</f>
        <v>Glenda wrote a review May 20195 contributions</v>
      </c>
      <c r="H89" s="4" t="str">
        <f ca="1">IFERROR(__xludf.DUMMYFUNCTION("""COMPUTED_VALUE"""),"Very basicOur room had the following problems: No body wash in shower Toilet seat was 
broken on one side Eyelets of each end of the curtain was off the rod No 
phone to contact reception- particularly if there was an emergency No guest 
information hando"&amp;"ut.Read moreDate of stay: May 2019HelpfulShare")</f>
        <v>Very basicOur room had the following problems: No body wash in shower Toilet seat was 
broken on one side Eyelets of each end of the curtain was off the rod No 
phone to contact reception- particularly if there was an emergency No guest 
information handout.Read moreDate of stay: May 2019HelpfulShare</v>
      </c>
      <c r="I89" s="21"/>
      <c r="J89" s="21" t="str">
        <f ca="1">IFERROR(__xludf.DUMMYFUNCTION("IMPORTXML(C89, $J$1)"),"Pete M wrote a review May 2019Manchester, United Kingdom7 contributions2 
helpful votes")</f>
        <v>Pete M wrote a review May 2019Manchester, United Kingdom7 contributions2 
helpful votes</v>
      </c>
      <c r="K89" s="4" t="str">
        <f ca="1">IFERROR(__xludf.DUMMYFUNCTION("""COMPUTED_VALUE"""),"Good value,, great location and excellent breakfastFirst time I had stayed at this Travelodge but have stayed at several other 
in London previously. The location was great. About 5 mins walk from 
Waterloo station and 10 mins from the river. The staff in"&amp;" the hotel were 
lovely from the receptionist to Drahoslava who looked after the breakfast 
room. All i n all a good value hotel in an excellent location.Read moreDate 
of stay: May 2019HelpfulShare")</f>
        <v>Good value,, great location and excellent breakfastFirst time I had stayed at this Travelodge but have stayed at several other 
in London previously. The location was great. About 5 mins walk from 
Waterloo station and 10 mins from the river. The staff in the hotel were 
lovely from the receptionist to Drahoslava who looked after the breakfast 
room. All i n all a good value hotel in an excellent location.Read moreDate 
of stay: May 2019HelpfulShare</v>
      </c>
      <c r="L89" s="21"/>
      <c r="M89" s="21" t="str">
        <f ca="1">IFERROR(__xludf.DUMMYFUNCTION("IMPORTXML(C89, $M$1)"),"JulieS756 wrote a review May 2019Kettering, United Kingdom12 contributions7 
helpful votes")</f>
        <v>JulieS756 wrote a review May 2019Kettering, United Kingdom12 contributions7 
helpful votes</v>
      </c>
      <c r="N89" s="4" t="str">
        <f ca="1">IFERROR(__xludf.DUMMYFUNCTION("""COMPUTED_VALUE"""),"Good locationHad a 2 night stay in this hotel! Room was nice and quiet! Reception and 
bar staff were lovely! Hotel was near lots of site's and the station! Only 
thing I can say is it would be nice to have a couple of glasses in the room 
so you didn't h"&amp;"ave to ask at the bar!Read moreDate of stay: May 
2019HelpfulShare")</f>
        <v>Good locationHad a 2 night stay in this hotel! Room was nice and quiet! Reception and 
bar staff were lovely! Hotel was near lots of site's and the station! Only 
thing I can say is it would be nice to have a couple of glasses in the room 
so you didn't have to ask at the bar!Read moreDate of stay: May 
2019HelpfulShare</v>
      </c>
      <c r="O89" s="21"/>
      <c r="P89" s="21" t="str">
        <f ca="1">IFERROR(__xludf.DUMMYFUNCTION("IMPORTXML(C89, $P$1)"),"ChrisNChaz wrote a review May 20192 contributions")</f>
        <v>ChrisNChaz wrote a review May 20192 contributions</v>
      </c>
      <c r="Q89" s="4" t="str">
        <f ca="1">IFERROR(__xludf.DUMMYFUNCTION("""COMPUTED_VALUE"""),"Great stay and good location.Had a great stay here. Location was spot on for us. Hotel was a lot quieter 
than others we have stayed at so had a great nights sleep. April on 
reception was very helpful and always cheerful. She made checkin easy. 
:-)Read "&amp;"moreReview collected in partnership with TravelodgeDate of stay: 
May 2019HelpfulShare")</f>
        <v>Great stay and good location.Had a great stay here. Location was spot on for us. Hotel was a lot quieter 
than others we have stayed at so had a great nights sleep. April on 
reception was very helpful and always cheerful. She made checkin easy. 
:-)Read moreReview collected in partnership with TravelodgeDate of stay: 
May 2019HelpfulShare</v>
      </c>
      <c r="U89" s="4" t="str">
        <f ca="1">IFERROR(__xludf.DUMMYFUNCTION("IMPORTXML(C90,$U$1)"),"Loading...")</f>
        <v>Loading...</v>
      </c>
    </row>
    <row r="90" spans="1:21" ht="15">
      <c r="A90" s="25" t="s">
        <v>6602</v>
      </c>
      <c r="B90" s="17" t="s">
        <v>126</v>
      </c>
      <c r="C90" s="23" t="str">
        <f t="shared" si="0"/>
        <v>https://www.tripadvisor.co.uk/Hotel_Review-g186338-d1812157-Reviews-or440-Travelodge_London_Waterloo_Hotel-London_England.html#REVIEWS</v>
      </c>
      <c r="D90" s="4" t="str">
        <f ca="1">IFERROR(__xludf.DUMMYFUNCTION("IMPORTXML(C90,$D$1)"),"#N/A")</f>
        <v>#N/A</v>
      </c>
      <c r="G90" s="24" t="str">
        <f ca="1">IFERROR(__xludf.DUMMYFUNCTION("IMPORTXML(C90, $G$1)"),"Bamagirl440 wrote a review May 2019Cullman, Alabama48 contributions20 
helpful votes")</f>
        <v>Bamagirl440 wrote a review May 2019Cullman, Alabama48 contributions20 
helpful votes</v>
      </c>
      <c r="H90" s="4" t="str">
        <f ca="1">IFERROR(__xludf.DUMMYFUNCTION("""COMPUTED_VALUE"""),"Lovely stay!We stayed four nights and were very pleased with this hotel. The location 
is about four blocks from Waterloo station and within walking distance to 
the London Eye, Westminster Abbey, Parliament buildings, Trafalgar Square 
and other attracti"&amp;"ons. It was clean, quiet, spacious and they offered a 
delightful buffet breakfast in the cafe downstairs. There is an extra 
charge each day for the buffet, but it is worth the money as they had hot 
and cold items and they kept them re-filled often. The"&amp;"re were plenty of 
food selections and the seating was adequate. The set up was great so that 
everyone was not on top of each other trying to get their food. The 
employees were friendly and helpful. The nicest part is that on the 
week-ends the buffet i"&amp;"s open from 8-12. We loved that touch! We…Read 
moreDate of stay: May 2019HelpfulShare")</f>
        <v>Lovely stay!We stayed four nights and were very pleased with this hotel. The location 
is about four blocks from Waterloo station and within walking distance to 
the London Eye, Westminster Abbey, Parliament buildings, Trafalgar Square 
and other attractions. It was clean, quiet, spacious and they offered a 
delightful buffet breakfast in the cafe downstairs. There is an extra 
charge each day for the buffet, but it is worth the money as they had hot 
and cold items and they kept them re-filled often. There were plenty of 
food selections and the seating was adequate. The set up was great so that 
everyone was not on top of each other trying to get their food. The 
employees were friendly and helpful. The nicest part is that on the 
week-ends the buffet is open from 8-12. We loved that touch! We…Read 
moreDate of stay: May 2019HelpfulShare</v>
      </c>
      <c r="I90" s="21"/>
      <c r="J90" s="21" t="str">
        <f ca="1">IFERROR(__xludf.DUMMYFUNCTION("IMPORTXML(C90, $J$1)"),"Curious729902 wrote a review May 201939 contributions12 helpful votes")</f>
        <v>Curious729902 wrote a review May 201939 contributions12 helpful votes</v>
      </c>
      <c r="K90" s="4" t="str">
        <f ca="1">IFERROR(__xludf.DUMMYFUNCTION("""COMPUTED_VALUE"""),"Rude reception staffWe arrived early and was told our check in wasn’t for another 45min which 
was totally fine, so we waited. In the meantime 2 men arrived separately 
and had been told the same but then she proceeded to check them in and give 
the room "&amp;"key. In the meantime I approached them again to be told I have to 
wait. The hot section at breakfast was cold. Hotel is clean and in a good 
locationRead moreReview collected in partnership with TravelodgeDate of 
stay: May 2019HelpfulShare")</f>
        <v>Rude reception staffWe arrived early and was told our check in wasn’t for another 45min which 
was totally fine, so we waited. In the meantime 2 men arrived separately 
and had been told the same but then she proceeded to check them in and give 
the room key. In the meantime I approached them again to be told I have to 
wait. The hot section at breakfast was cold. Hotel is clean and in a good 
locationRead moreReview collected in partnership with TravelodgeDate of 
stay: May 2019HelpfulShare</v>
      </c>
      <c r="L90" s="21"/>
      <c r="M90" s="21" t="str">
        <f ca="1">IFERROR(__xludf.DUMMYFUNCTION("IMPORTXML(C90, $M$1)"),"Lic wrote a review May 20191 contribution")</f>
        <v>Lic wrote a review May 20191 contribution</v>
      </c>
      <c r="N90" s="4" t="str">
        <f ca="1">IFERROR(__xludf.DUMMYFUNCTION("""COMPUTED_VALUE"""),"Visit to friendsVery handy location being 5 mins walk from Waterloo station; yet quiet 
rooms and friendly , helpful staff. and must not forget great coffee &amp; 
cooked breakfast. Good size room ; with good shower and decent towels.Read 
moreDate of stay: M"&amp;"ay 2019HelpfulShare")</f>
        <v>Visit to friendsVery handy location being 5 mins walk from Waterloo station; yet quiet 
rooms and friendly , helpful staff. and must not forget great coffee &amp; 
cooked breakfast. Good size room ; with good shower and decent towels.Read 
moreDate of stay: May 2019HelpfulShare</v>
      </c>
      <c r="O90" s="21"/>
      <c r="P90" s="21" t="str">
        <f ca="1">IFERROR(__xludf.DUMMYFUNCTION("IMPORTXML(C90, $P$1)"),"DayTrip75744 wrote a review May 20191 contribution")</f>
        <v>DayTrip75744 wrote a review May 20191 contribution</v>
      </c>
      <c r="Q90" s="4" t="str">
        <f ca="1">IFERROR(__xludf.DUMMYFUNCTION("""COMPUTED_VALUE"""),"A Trip to the Vic.Excellent service and facilities. Room was clean and very comfortable. 
Staff were very helpful and welcoming. The location was great.... close to 
Underground, and the Old Vic and National Theatres. Very nice restaurants 
nearby. Will r"&amp;"eturn again.Read moreReview collected in partnership with 
TravelodgeDate of stay: May 2019HelpfulShare")</f>
        <v>A Trip to the Vic.Excellent service and facilities. Room was clean and very comfortable. 
Staff were very helpful and welcoming. The location was great.... close to 
Underground, and the Old Vic and National Theatres. Very nice restaurants 
nearby. Will return again.Read moreReview collected in partnership with 
TravelodgeDate of stay: May 2019HelpfulShare</v>
      </c>
      <c r="U90" s="4" t="str">
        <f ca="1">IFERROR(__xludf.DUMMYFUNCTION("IMPORTXML(C91,$U$1)"),"Loading...")</f>
        <v>Loading...</v>
      </c>
    </row>
    <row r="91" spans="1:21" ht="15">
      <c r="A91" s="5" t="s">
        <v>6694</v>
      </c>
      <c r="B91" s="17" t="s">
        <v>126</v>
      </c>
      <c r="C91" s="23" t="str">
        <f t="shared" si="0"/>
        <v>https://www.tripadvisor.co.uk/Hotel_Review-g186338-d1812157-Reviews-or445-Travelodge_London_Waterloo_Hotel-London_England.html#REVIEWS</v>
      </c>
      <c r="D91" s="4" t="str">
        <f ca="1">IFERROR(__xludf.DUMMYFUNCTION("IMPORTXML(C91,$D$1)"),"Robert D wrote a review May 2019West Sussex, United Kingdom24 
contributions9 helpful votes")</f>
        <v>Robert D wrote a review May 2019West Sussex, United Kingdom24 
contributions9 helpful votes</v>
      </c>
      <c r="E91" s="4" t="str">
        <f ca="1">IFERROR(__xludf.DUMMYFUNCTION("""COMPUTED_VALUE"""),"Clean and comfortable.The Service was quick and efficient with no fussing. The room was clean, 
warm and comfortable. As requested, the room was tidied and made up 
everyday. All fine by me. If there was one drawback, I would question the 
cost, but for m"&amp;"e the situation at Waterloo is exactly where I want to 
be.Read moreReview collected in partnership with TravelodgeDate of stay: 
May 2019HelpfulShare")</f>
        <v>Clean and comfortable.The Service was quick and efficient with no fussing. The room was clean, 
warm and comfortable. As requested, the room was tidied and made up 
everyday. All fine by me. If there was one drawback, I would question the 
cost, but for me the situation at Waterloo is exactly where I want to 
be.Read moreReview collected in partnership with TravelodgeDate of stay: 
May 2019HelpfulShare</v>
      </c>
      <c r="G91" s="24" t="str">
        <f ca="1">IFERROR(__xludf.DUMMYFUNCTION("IMPORTXML(C91, $G$1)"),"travel20022 wrote a review May 2019Wrexham1 contribution")</f>
        <v>travel20022 wrote a review May 2019Wrexham1 contribution</v>
      </c>
      <c r="H91" s="4" t="str">
        <f ca="1">IFERROR(__xludf.DUMMYFUNCTION("""COMPUTED_VALUE"""),"conference attendeeThe hotel was an easy walk from Waterloo station and also to my conference 
and South bank. The staff were cheerful and helpful, even when busy. I was 
offered a room on the ground floor. It was clean and comfortable. The water 
pressur"&amp;"e in the shower was good. Overall, a great experience.Read 
moreReview collected in partnership with TravelodgeDate of stay: May 
2019HelpfulShare")</f>
        <v>conference attendeeThe hotel was an easy walk from Waterloo station and also to my conference 
and South bank. The staff were cheerful and helpful, even when busy. I was 
offered a room on the ground floor. It was clean and comfortable. The water 
pressure in the shower was good. Overall, a great experience.Read 
moreReview collected in partnership with TravelodgeDate of stay: May 
2019HelpfulShare</v>
      </c>
      <c r="I91" s="21"/>
      <c r="J91" s="21" t="str">
        <f ca="1">IFERROR(__xludf.DUMMYFUNCTION("IMPORTXML(C91, $J$1)"),"Sarah wrote a review May 201924 contributions19 helpful votes")</f>
        <v>Sarah wrote a review May 201924 contributions19 helpful votes</v>
      </c>
      <c r="K91" s="4" t="str">
        <f ca="1">IFERROR(__xludf.DUMMYFUNCTION("""COMPUTED_VALUE"""),"Second reviewThis is my second review for the Travelodge Waterloo. Again I would like to 
express my satisfaction and gratitude to the staff. As always they were 
polite, friendly and helpful. Fabulous location, clean room. Great 
stay.Read moreDate of st"&amp;"ay: May 2019HelpfulShare")</f>
        <v>Second reviewThis is my second review for the Travelodge Waterloo. Again I would like to 
express my satisfaction and gratitude to the staff. As always they were 
polite, friendly and helpful. Fabulous location, clean room. Great 
stay.Read moreDate of stay: May 2019HelpfulShare</v>
      </c>
      <c r="L91" s="21"/>
      <c r="M91" s="21" t="str">
        <f ca="1">IFERROR(__xludf.DUMMYFUNCTION("IMPORTXML(C91, $M$1)"),"Aep wrote a review May 20191 contribution")</f>
        <v>Aep wrote a review May 20191 contribution</v>
      </c>
      <c r="N91" s="4" t="str">
        <f ca="1">IFERROR(__xludf.DUMMYFUNCTION("""COMPUTED_VALUE"""),"Dr.Upon arrival the hotel personnel claims that the booking of four rooms 
wasn't possible due to maintenance. Big chance that four rooms was due to 
maintenance, seems like they overbook the rooms and send the guests to 
further away locations. Was rerou"&amp;"ted to another hotel far away from working 
place. This was not notified in any way before arrival. Unfortunately the 
arrival was late and could have been handled much more professional by this 
hotel. Will not stay at this hotel or other hotels by trave"&amp;"llodge.Read 
moreDate of stay: May 2019HelpfulShareResponse from TravelodgeUK, Molly 
from the Social Media Team at Travelodge London Waterloo HotelResponded 14 
May 2019Thank you for submitting your review. We are sorry to learn of your 
disappointment f"&amp;"ollowing your recent stay with us. We hope to ensure all of 
our guests have a pleasant stay, and we are sorry that we did not achieve 
this on this occasion. If you wish to contact us directly to leave more 
feedback please get in touch with our Customer"&amp;" Services team via our 
website. Thank you again for your comments.Read more")</f>
        <v>Dr.Upon arrival the hotel personnel claims that the booking of four rooms 
wasn't possible due to maintenance. Big chance that four rooms was due to 
maintenance, seems like they overbook the rooms and send the guests to 
further away locations. Was rerouted to another hotel far away from working 
place. This was not notified in any way before arrival. Unfortunately the 
arrival was late and could have been handled much more professional by this 
hotel. Will not stay at this hotel or other hotels by travellodge.Read 
moreDate of stay: May 2019HelpfulShareResponse from TravelodgeUK, Molly 
from the Social Media Team at Travelodge London Waterloo HotelResponded 14 
May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v>
      </c>
      <c r="O91" s="21"/>
      <c r="P91" s="21" t="str">
        <f ca="1">IFERROR(__xludf.DUMMYFUNCTION("IMPORTXML(C91, $P$1)"),"Paul C wrote a review May 2019Alston, United Kingdom3 contributions2 
helpful votes")</f>
        <v>Paul C wrote a review May 2019Alston, United Kingdom3 contributions2 
helpful votes</v>
      </c>
      <c r="Q91" s="4" t="str">
        <f ca="1">IFERROR(__xludf.DUMMYFUNCTION("""COMPUTED_VALUE"""),"SHort and very sweetFlying visit to London just for one night. Facilities (bar/restaurant) 
great; location superb with great pubs and eateries all around - theatres 
too; staff very professional and polite. Maybe London Marathon day made the 
whole atmos"&amp;"phere better?Read moreReview collected in partnership with this 
hotelDate of stay: April 2019HelpfulShare")</f>
        <v>SHort and very sweetFlying visit to London just for one night. Facilities (bar/restaurant) 
great; location superb with great pubs and eateries all around - theatres 
too; staff very professional and polite. Maybe London Marathon day made the 
whole atmosphere better?Read moreReview collected in partnership with this 
hotelDate of stay: April 2019HelpfulShare</v>
      </c>
      <c r="U91" s="4" t="str">
        <f ca="1">IFERROR(__xludf.DUMMYFUNCTION("IMPORTXML(C92,$U$1)"),"Loading...")</f>
        <v>Loading...</v>
      </c>
    </row>
    <row r="92" spans="1:21" ht="15">
      <c r="A92" s="25" t="s">
        <v>6809</v>
      </c>
      <c r="B92" s="17" t="s">
        <v>126</v>
      </c>
      <c r="C92" s="23" t="str">
        <f t="shared" si="0"/>
        <v>https://www.tripadvisor.co.uk/Hotel_Review-g186338-d1812157-Reviews-or450-Travelodge_London_Waterloo_Hotel-London_England.html#REVIEWS</v>
      </c>
      <c r="D92" s="4" t="str">
        <f ca="1">IFERROR(__xludf.DUMMYFUNCTION("IMPORTXML(C92,$D$1)"),"Explorer40663409285 wrote a review May 20191 contribution")</f>
        <v>Explorer40663409285 wrote a review May 20191 contribution</v>
      </c>
      <c r="E92" s="4" t="str">
        <f ca="1">IFERROR(__xludf.DUMMYFUNCTION("""COMPUTED_VALUE"""),"Great place to stay in London!A great hotel in an excellent location - thoroughly recommend it! We only 
stayed for one night but would definitely stay there again. Quiet, clean 
and bright, excellent breakfast and friendly staff. Wasn`t cheap, byt 
Trave"&amp;"lodge standards, but we did book relatively late and it is in central 
London!Read moreReview collected in partnership with TravelodgeDate of 
stay: May 2019HelpfulShare")</f>
        <v>Great place to stay in London!A great hotel in an excellent location - thoroughly recommend it! We only 
stayed for one night but would definitely stay there again. Quiet, clean 
and bright, excellent breakfast and friendly staff. Wasn`t cheap, byt 
Travelodge standards, but we did book relatively late and it is in central 
London!Read moreReview collected in partnership with TravelodgeDate of 
stay: May 2019HelpfulShare</v>
      </c>
      <c r="G92" s="24" t="str">
        <f ca="1">IFERROR(__xludf.DUMMYFUNCTION("IMPORTXML(C92, $G$1)"),"#N/A")</f>
        <v>#N/A</v>
      </c>
      <c r="I92" s="21"/>
      <c r="J92" s="21" t="str">
        <f ca="1">IFERROR(__xludf.DUMMYFUNCTION("IMPORTXML(C92, $J$1)"),"rachelmrogers72 wrote a review May 2019Taunton, United Kingdom1 contribution")</f>
        <v>rachelmrogers72 wrote a review May 2019Taunton, United Kingdom1 contribution</v>
      </c>
      <c r="K92" s="4" t="str">
        <f ca="1">IFERROR(__xludf.DUMMYFUNCTION("""COMPUTED_VALUE"""),"Overnight stayThe room was clean and fairly comfortable - the mattress showed signs of 
wear, rolling us to the middle. Shower hot and powerful. Reasonably quiet, 
some noise from room above. We have stayed here 3 times and have always 
been satisfied.Rea"&amp;"d moreReview collected in partnership with this hotelDate 
of stay: May 2019HelpfulShare")</f>
        <v>Overnight stayThe room was clean and fairly comfortable - the mattress showed signs of 
wear, rolling us to the middle. Shower hot and powerful. Reasonably quiet, 
some noise from room above. We have stayed here 3 times and have always 
been satisfied.Read moreReview collected in partnership with this hotelDate 
of stay: May 2019HelpfulShare</v>
      </c>
      <c r="L92" s="21"/>
      <c r="M92" s="21" t="str">
        <f ca="1">IFERROR(__xludf.DUMMYFUNCTION("IMPORTXML(C92, $M$1)"),"Tm96 wrote a review May 20191 contribution")</f>
        <v>Tm96 wrote a review May 20191 contribution</v>
      </c>
      <c r="N92" s="4" t="str">
        <f ca="1">IFERROR(__xludf.DUMMYFUNCTION("""COMPUTED_VALUE"""),"Lovely StaffUpon arrival, Raisa was patient and polite and provided an early check in 
once a room became available to us, a warm welcome was a great start to our 
stay. Before our room was available, Humayra kindly took our bags behind 
reception to keep"&amp;" safe so we could go about getting some food before 
checking in. The breakfast the next morning was delicious with great coffee 
with the lovely Barbora welcoming us to the restaurant area. Overall the 
hotel itself was spacious and comfortable and the s"&amp;"taff were so lovely.Read 
moreDate of stay: May 2019HelpfulShare")</f>
        <v>Lovely StaffUpon arrival, Raisa was patient and polite and provided an early check in 
once a room became available to us, a warm welcome was a great start to our 
stay. Before our room was available, Humayra kindly took our bags behind 
reception to keep safe so we could go about getting some food before 
checking in. The breakfast the next morning was delicious with great coffee 
with the lovely Barbora welcoming us to the restaurant area. Overall the 
hotel itself was spacious and comfortable and the staff were so lovely.Read 
moreDate of stay: May 2019HelpfulShare</v>
      </c>
      <c r="O92" s="21"/>
      <c r="P92" s="21" t="str">
        <f ca="1">IFERROR(__xludf.DUMMYFUNCTION("IMPORTXML(C92, $P$1)"),"Peski50 wrote a review May 2019Stratford-upon-Avon, United Kingdom68 
contributions28 helpful votes")</f>
        <v>Peski50 wrote a review May 2019Stratford-upon-Avon, United Kingdom68 
contributions28 helpful votes</v>
      </c>
      <c r="Q92" s="4" t="str">
        <f ca="1">IFERROR(__xludf.DUMMYFUNCTION("""COMPUTED_VALUE"""),"Clean, great value hotelHad an overnight stay at this hotel whilst in London to see a couple of 
shows. A bit further away from the underground that we expected however it 
was comfortable and clean with friendly helpful staff. Breakfast catered 
for vega"&amp;"ns too with a good choice of foodRead moreReview collected in 
partnership with TravelodgeDate of stay: May 2019HelpfulShare")</f>
        <v>Clean, great value hotelHad an overnight stay at this hotel whilst in London to see a couple of 
shows. A bit further away from the underground that we expected however it 
was comfortable and clean with friendly helpful staff. Breakfast catered 
for vegans too with a good choice of foodRead moreReview collected in 
partnership with TravelodgeDate of stay: May 2019HelpfulShare</v>
      </c>
      <c r="U92" s="4" t="str">
        <f ca="1">IFERROR(__xludf.DUMMYFUNCTION("IMPORTXML(C93,$U$1)"),"Loading...")</f>
        <v>Loading...</v>
      </c>
    </row>
    <row r="93" spans="1:21" ht="15">
      <c r="A93" s="25" t="s">
        <v>6900</v>
      </c>
      <c r="B93" s="17" t="s">
        <v>126</v>
      </c>
      <c r="C93" s="23" t="str">
        <f t="shared" si="0"/>
        <v>https://www.tripadvisor.co.uk/Hotel_Review-g186338-d1812157-Reviews-or455-Travelodge_London_Waterloo_Hotel-London_England.html#REVIEWS</v>
      </c>
      <c r="D93" s="4" t="str">
        <f ca="1">IFERROR(__xludf.DUMMYFUNCTION("IMPORTXML(C93,$D$1)"),"AnnMudefordDorset wrote a review May 2019Christchurch, United Kingdom137 
contributions64 helpful votes")</f>
        <v>AnnMudefordDorset wrote a review May 2019Christchurch, United Kingdom137 
contributions64 helpful votes</v>
      </c>
      <c r="E93" s="4" t="str">
        <f ca="1">IFERROR(__xludf.DUMMYFUNCTION("""COMPUTED_VALUE"""),"Brilliant Hotel, great location and lovely staffIf we stay in central London we always stay here, It is excllent value and 
the rooms are clean and comfortable but is is the staff who really make 
this hotel a bit special. They are so helpful many of them"&amp;" have been here a 
while and recogonise us when we arrive and try to let us have our room 
preference if available. Special mentions to Tan, Hilina and Humayra. The 
bar is a great place to return to after a show especially when many local 
places have cl"&amp;"osed on a Sunday. well done TravelodgeRead moreDate of stay: 
May 20192 Helpful votesHelpfulShare")</f>
        <v>Brilliant Hotel, great location and lovely staffIf we stay in central London we always stay here, It is excllent value and 
the rooms are clean and comfortable but is is the staff who really make 
this hotel a bit special. They are so helpful many of them have been here a 
while and recogonise us when we arrive and try to let us have our room 
preference if available. Special mentions to Tan, Hilina and Humayra. The 
bar is a great place to return to after a show especially when many local 
places have closed on a Sunday. well done TravelodgeRead moreDate of stay: 
May 20192 Helpful votesHelpfulShare</v>
      </c>
      <c r="G93" s="24" t="str">
        <f ca="1">IFERROR(__xludf.DUMMYFUNCTION("IMPORTXML(C93, $G$1)"),"Nathan D wrote a review May 2019Portsmouth306 contributions91 helpful votes")</f>
        <v>Nathan D wrote a review May 2019Portsmouth306 contributions91 helpful votes</v>
      </c>
      <c r="H93" s="4" t="str">
        <f ca="1">IFERROR(__xludf.DUMMYFUNCTION("""COMPUTED_VALUE"""),"This place is brilliant, perfect for London tripsCost £43 for a Sunday night, 10 mins from underground parking on Cornwall 
Road and 15 mins from the Clipper boat service which we took to the Tower 
of London. Lovely place, clean, got a bar and the breakf"&amp;"ast is brilliant. 
The coffee machines are top drawer and your can even get a take away too. 
Barbara was very welcoming and a credit to the breakfast team, Our room was 
spotless and we will be back, our little girl loves the place and if you 
book well "&amp;"in advance the prices are amazing.Read moreDate of stay: May 
2019HelpfulShare")</f>
        <v>This place is brilliant, perfect for London tripsCost £43 for a Sunday night, 10 mins from underground parking on Cornwall 
Road and 15 mins from the Clipper boat service which we took to the Tower 
of London. Lovely place, clean, got a bar and the breakfast is brilliant. 
The coffee machines are top drawer and your can even get a take away too. 
Barbara was very welcoming and a credit to the breakfast team, Our room was 
spotless and we will be back, our little girl loves the place and if you 
book well in advance the prices are amazing.Read moreDate of stay: May 
2019HelpfulShare</v>
      </c>
      <c r="I93" s="21"/>
      <c r="J93" s="21" t="str">
        <f ca="1">IFERROR(__xludf.DUMMYFUNCTION("IMPORTXML(C93, $J$1)"),"#N/A")</f>
        <v>#N/A</v>
      </c>
      <c r="L93" s="21"/>
      <c r="M93" s="21" t="str">
        <f ca="1">IFERROR(__xludf.DUMMYFUNCTION("IMPORTXML(C93, $M$1)"),"wards123 wrote a review May 20196 contributions3 helpful votes")</f>
        <v>wards123 wrote a review May 20196 contributions3 helpful votes</v>
      </c>
      <c r="N93" s="4" t="str">
        <f ca="1">IFERROR(__xludf.DUMMYFUNCTION("""COMPUTED_VALUE"""),"Nicest travel lodge I've stayed inI've visited a few travel lodges and this one was the nicest, really clean 
up to date lovely bar and restaurant. Room was clean modern with air con, 
good food in the restaurant, overall really nice stay and good atmosph"&amp;"ere 
across all the hotel.Read moreReview collected in partnership with 
TravelodgeDate of stay: May 2019HelpfulShare")</f>
        <v>Nicest travel lodge I've stayed inI've visited a few travel lodges and this one was the nicest, really clean 
up to date lovely bar and restaurant. Room was clean modern with air con, 
good food in the restaurant, overall really nice stay and good atmosphere 
across all the hotel.Read moreReview collected in partnership with 
TravelodgeDate of stay: May 2019HelpfulShare</v>
      </c>
      <c r="O93" s="21"/>
      <c r="P93" s="21" t="str">
        <f ca="1">IFERROR(__xludf.DUMMYFUNCTION("IMPORTXML(C93, $P$1)"),"Frances M wrote a review May 20192 contributions1 helpful vote")</f>
        <v>Frances M wrote a review May 20192 contributions1 helpful vote</v>
      </c>
      <c r="Q93" s="4" t="str">
        <f ca="1">IFERROR(__xludf.DUMMYFUNCTION("""COMPUTED_VALUE"""),"ExcellentClean friendly perfect for any stay in London Rooms good with tea/ coffee 
facilities Great cafe bar on ground floor Breakfast brilliant staff at 
breakfast very helpful and friendly Would thoroughly recommend.Read 
moreReview collected in partne"&amp;"rship with this hotelDate of stay: April 
2019HelpfulShare")</f>
        <v>ExcellentClean friendly perfect for any stay in London Rooms good with tea/ coffee 
facilities Great cafe bar on ground floor Breakfast brilliant staff at 
breakfast very helpful and friendly Would thoroughly recommend.Read 
moreReview collected in partnership with this hotelDate of stay: April 
2019HelpfulShare</v>
      </c>
      <c r="U93" s="4" t="str">
        <f ca="1">IFERROR(__xludf.DUMMYFUNCTION("IMPORTXML(C94,$U$1)"),"Loading...")</f>
        <v>Loading...</v>
      </c>
    </row>
    <row r="94" spans="1:21" ht="15">
      <c r="A94" s="25" t="s">
        <v>6996</v>
      </c>
      <c r="B94" s="17" t="s">
        <v>126</v>
      </c>
      <c r="C94" s="23" t="str">
        <f t="shared" si="0"/>
        <v>https://www.tripadvisor.co.uk/Hotel_Review-g186338-d1812157-Reviews-or460-Travelodge_London_Waterloo_Hotel-London_England.html#REVIEWS</v>
      </c>
      <c r="D94" s="4" t="str">
        <f ca="1">IFERROR(__xludf.DUMMYFUNCTION("IMPORTXML(C94,$D$1)"),"Ames wrote a review May 20191 contribution")</f>
        <v>Ames wrote a review May 20191 contribution</v>
      </c>
      <c r="E94" s="4" t="str">
        <f ca="1">IFERROR(__xludf.DUMMYFUNCTION("""COMPUTED_VALUE"""),"My stay in LondonStayed at this hotel for two nights this week and have already pre booked 
for next week as well. The staff were very friendly and helpful, the food 
was good and the hotel was clean and well priced. Being very close to 
Waterloo station "&amp;"was a big help. Thank you to Hilina, Anna,Vee and Huma Yra 
for making my stay a pleasant one. See you next week.Read moreDate of stay: 
May 2019HelpfulShare")</f>
        <v>My stay in LondonStayed at this hotel for two nights this week and have already pre booked 
for next week as well. The staff were very friendly and helpful, the food 
was good and the hotel was clean and well priced. Being very close to 
Waterloo station was a big help. Thank you to Hilina, Anna,Vee and Huma Yra 
for making my stay a pleasant one. See you next week.Read moreDate of stay: 
May 2019HelpfulShare</v>
      </c>
      <c r="G94" s="24" t="str">
        <f ca="1">IFERROR(__xludf.DUMMYFUNCTION("IMPORTXML(C94, $G$1)"),"#N/A")</f>
        <v>#N/A</v>
      </c>
      <c r="I94" s="21"/>
      <c r="J94" s="21" t="str">
        <f ca="1">IFERROR(__xludf.DUMMYFUNCTION("IMPORTXML(C94, $J$1)"),"#N/A")</f>
        <v>#N/A</v>
      </c>
      <c r="L94" s="21"/>
      <c r="M94" s="21" t="str">
        <f ca="1">IFERROR(__xludf.DUMMYFUNCTION("IMPORTXML(C94, $M$1)"),"Stacey B wrote a review May 201913 contributions")</f>
        <v>Stacey B wrote a review May 201913 contributions</v>
      </c>
      <c r="N94" s="4" t="str">
        <f ca="1">IFERROR(__xludf.DUMMYFUNCTION("""COMPUTED_VALUE"""),"+1")</f>
        <v>+1</v>
      </c>
      <c r="O94" s="21" t="str">
        <f ca="1">IFERROR(__xludf.DUMMYFUNCTION("""COMPUTED_VALUE"""),"Disgusting behaviourFast asleep in the hotel last night and security comes in and wakes us up 
shouting that we had been smoking and the flash alarm is going off, so was 
searching the room. Which was fine wiv us, he then started screaming that 
there was"&amp;" fag ends on the window and we had been smoking, when we said we 
hadn't been smoking, my partner checked it and told him theres nothing 
there mate, and in fact he had just woke us up as he seen. he started 
screaming there is ash on the window there is "&amp;"ash on the window repeatedly. 
So my partner having enough of his abuse at nearly 3am jumped out of bed 
and he soon cleared off. We went back 2 sleep and 45 minutes later, the 
police woke us up stood at the end of the bed saying we had verbally 
attacke"&amp;"d him. Yeah ok mate, we were just trying 2 say we…Read moreDate of 
stay: May 2019HelpfulShareResponse from TravelodgeUK, Molly from the Social 
Media Team at Travelodge London Waterloo HotelResponded 2 May 2019Thank you 
for submitting your review. We ar"&amp;"e sorry to learn of your disappointment 
following your recent stay with us. We hope to ensure all of our guests 
have a pleasant stay, and we are sorry that we did not achieve this on this 
occasion. If you wish to contact us directly to leave more feedb"&amp;"ack please 
get in touch with our Customer Services team via our website. Thank you 
again for your comments.Read more")</f>
        <v>Disgusting behaviourFast asleep in the hotel last night and security comes in and wakes us up 
shouting that we had been smoking and the flash alarm is going off, so was 
searching the room. Which was fine wiv us, he then started screaming that 
there was fag ends on the window and we had been smoking, when we said we 
hadn't been smoking, my partner checked it and told him theres nothing 
there mate, and in fact he had just woke us up as he seen. he started 
screaming there is ash on the window there is ash on the window repeatedly. 
So my partner having enough of his abuse at nearly 3am jumped out of bed 
and he soon cleared off. We went back 2 sleep and 45 minutes later, the 
police woke us up stood at the end of the bed saying we had verbally 
attacked him. Yeah ok mate, we were just trying 2 say we…Read moreDate of 
stay: May 2019HelpfulShareResponse from TravelodgeUK, Molly from the Social 
Media Team at Travelodge London Waterloo HotelResponded 2 May 2019Thank you 
for submitting your review. We are sorry to learn of your disappointment 
following your recent stay with us. We hope to ensure all of our guests 
have a pleasant stay, and we are sorry that we did not achieve this on this 
occasion. If you wish to contact us directly to leave more feedback please 
get in touch with our Customer Services team via our website. Thank you 
again for your comments.Read more</v>
      </c>
      <c r="P94" s="21" t="str">
        <f ca="1">IFERROR(__xludf.DUMMYFUNCTION("IMPORTXML(C94, $P$1)"),"Ruth E wrote a review Apr 2019Matha, France2 contributions1 helpful vote")</f>
        <v>Ruth E wrote a review Apr 2019Matha, France2 contributions1 helpful vote</v>
      </c>
      <c r="Q94" s="4" t="str">
        <f ca="1">IFERROR(__xludf.DUMMYFUNCTION("""COMPUTED_VALUE"""),"Weekend stayExcellent personal service where the staff really looked after us in a very 
professional and outstanding way thanks especially to Darren and Humayra 
Room clean and comfortable. Staff went out of their way to make sure we 
were near our daugh"&amp;"ters room.Read moreReview collected in partnership with 
TravelodgeDate of stay: April 20191 Helpful voteHelpfulShare")</f>
        <v>Weekend stayExcellent personal service where the staff really looked after us in a very 
professional and outstanding way thanks especially to Darren and Humayra 
Room clean and comfortable. Staff went out of their way to make sure we 
were near our daughters room.Read moreReview collected in partnership with 
TravelodgeDate of stay: April 20191 Helpful voteHelpfulShare</v>
      </c>
      <c r="U94" s="4" t="str">
        <f ca="1">IFERROR(__xludf.DUMMYFUNCTION("IMPORTXML(C95,$U$1)"),"Loading...")</f>
        <v>Loading...</v>
      </c>
    </row>
    <row r="95" spans="1:21" ht="15">
      <c r="A95" s="5" t="s">
        <v>7104</v>
      </c>
      <c r="B95" s="17" t="s">
        <v>126</v>
      </c>
      <c r="C95" s="23" t="str">
        <f t="shared" si="0"/>
        <v>https://www.tripadvisor.co.uk/Hotel_Review-g186338-d1812157-Reviews-or465-Travelodge_London_Waterloo_Hotel-London_England.html#REVIEWS</v>
      </c>
      <c r="D95" s="4" t="str">
        <f ca="1">IFERROR(__xludf.DUMMYFUNCTION("IMPORTXML(C95,$D$1)"),"#N/A")</f>
        <v>#N/A</v>
      </c>
      <c r="G95" s="24" t="str">
        <f ca="1">IFERROR(__xludf.DUMMYFUNCTION("IMPORTXML(C95, $G$1)"),"Safari03237778983 wrote a review Apr 2019Stourbridge, United Kingdom1 
contribution")</f>
        <v>Safari03237778983 wrote a review Apr 2019Stourbridge, United Kingdom1 
contribution</v>
      </c>
      <c r="H95" s="4" t="str">
        <f ca="1">IFERROR(__xludf.DUMMYFUNCTION("""COMPUTED_VALUE"""),"Easter hols overnight stay in LondonDecided on an overnight stay in London for Easter hols sight seeing trip. I 
booked this Travelodge at Waterloo as the reviews were good and i thought 
sounded good value at only £86 for family room with breakfast The r"&amp;"eception 
staff were really friendly and helpful and we went straight up to our room 
even though we were slightly early. Lovely spacious room with 2 single pull 
outs and a kingsize bed. TV and tea/coffee etc. Nice and clean. The beds 
were really comfy "&amp;"too. The pull outs are not as wide as a standard single 
but fine for kids, my 14 year old was happy enough in it! Buffet breakfast 
next morning was fab, the normal bacon, eggs, sausages including a veggie 
one, all the normal accompaniments plus toast, "&amp;"cereal, fruit, yoghurt, 
juice. And as much as you wanted. All served…Read moreReview collected in 
partnership with this hotelDate of stay: April 2019HelpfulShare")</f>
        <v>Easter hols overnight stay in LondonDecided on an overnight stay in London for Easter hols sight seeing trip. I 
booked this Travelodge at Waterloo as the reviews were good and i thought 
sounded good value at only £86 for family room with breakfast The reception 
staff were really friendly and helpful and we went straight up to our room 
even though we were slightly early. Lovely spacious room with 2 single pull 
outs and a kingsize bed. TV and tea/coffee etc. Nice and clean. The beds 
were really comfy too. The pull outs are not as wide as a standard single 
but fine for kids, my 14 year old was happy enough in it! Buffet breakfast 
next morning was fab, the normal bacon, eggs, sausages including a veggie 
one, all the normal accompaniments plus toast, cereal, fruit, yoghurt, 
juice. And as much as you wanted. All served…Read moreReview collected in 
partnership with this hotelDate of stay: April 2019HelpfulShare</v>
      </c>
      <c r="I95" s="21"/>
      <c r="J95" s="21" t="str">
        <f ca="1">IFERROR(__xludf.DUMMYFUNCTION("IMPORTXML(C95, $J$1)"),"#N/A")</f>
        <v>#N/A</v>
      </c>
      <c r="L95" s="21"/>
      <c r="M95" s="21" t="str">
        <f ca="1">IFERROR(__xludf.DUMMYFUNCTION("IMPORTXML(C95, $M$1)"),"Jillybb wrote a review Apr 2019Sheffield, United Kingdom50 contributions11 
helpful votes")</f>
        <v>Jillybb wrote a review Apr 2019Sheffield, United Kingdom50 contributions11 
helpful votes</v>
      </c>
      <c r="N95" s="4" t="str">
        <f ca="1">IFERROR(__xludf.DUMMYFUNCTION("""COMPUTED_VALUE"""),"Friendly staff, clean, well locatedStayed 2 nights on business. Place looks new or newly refurbished. Very 
clean and fantastic showers. It's basic - no cupboards or drawers for 
clothes, no phone in the room and you have to ask at Reception to borrow a 
"&amp;"hairdryer. Beds are comfy, staff are great, breakfast was good. Altogether 
good value. Close to tube stations, restaurants and easy walking distance 
of attractions for tourists.Read moreDate of stay: April 2019HelpfulShare")</f>
        <v>Friendly staff, clean, well locatedStayed 2 nights on business. Place looks new or newly refurbished. Very 
clean and fantastic showers. It's basic - no cupboards or drawers for 
clothes, no phone in the room and you have to ask at Reception to borrow a 
hairdryer. Beds are comfy, staff are great, breakfast was good. Altogether 
good value. Close to tube stations, restaurants and easy walking distance 
of attractions for tourists.Read moreDate of stay: April 2019HelpfulShare</v>
      </c>
      <c r="O95" s="21"/>
      <c r="P95" s="21" t="str">
        <f ca="1">IFERROR(__xludf.DUMMYFUNCTION("IMPORTXML(C95, $P$1)"),"uktravellero7 wrote a review Apr 2019Clacton-on-Sea, United Kingdom228 
contributions48 helpful votes")</f>
        <v>uktravellero7 wrote a review Apr 2019Clacton-on-Sea, United Kingdom228 
contributions48 helpful votes</v>
      </c>
      <c r="Q95" s="4" t="str">
        <f ca="1">IFERROR(__xludf.DUMMYFUNCTION("""COMPUTED_VALUE"""),"+1")</f>
        <v>+1</v>
      </c>
      <c r="R95" s="4" t="str">
        <f ca="1">IFERROR(__xludf.DUMMYFUNCTION("""COMPUTED_VALUE"""),"Best one in London so farWe've stayed in a few travelodges in London and this has been one of the 
better ones. Great location. Fast and efficient check in, staff were great. 
I booked an adapted room, the room was on 1st floor which was ok as there 
was "&amp;"a lift, but to get to the room there were 3 steps down the corridor, 
something to bear in mind if you can't do steps. The room was quiet, clean 
and even came with air conditioning.Read moreDate of stay: April 
2019HelpfulShare")</f>
        <v>Best one in London so farWe've stayed in a few travelodges in London and this has been one of the 
better ones. Great location. Fast and efficient check in, staff were great. 
I booked an adapted room, the room was on 1st floor which was ok as there 
was a lift, but to get to the room there were 3 steps down the corridor, 
something to bear in mind if you can't do steps. The room was quiet, clean 
and even came with air conditioning.Read moreDate of stay: April 
2019HelpfulShare</v>
      </c>
      <c r="U95" s="4" t="str">
        <f ca="1">IFERROR(__xludf.DUMMYFUNCTION("IMPORTXML(C96,$U$1)"),"Loading...")</f>
        <v>Loading...</v>
      </c>
    </row>
    <row r="96" spans="1:21" ht="15">
      <c r="A96" s="19" t="s">
        <v>7192</v>
      </c>
      <c r="B96" s="17" t="s">
        <v>126</v>
      </c>
      <c r="C96" s="23" t="str">
        <f t="shared" si="0"/>
        <v>https://www.tripadvisor.co.uk/Hotel_Review-g186338-d1812157-Reviews-or470-Travelodge_London_Waterloo_Hotel-London_England.html#REVIEWS</v>
      </c>
      <c r="D96" s="4" t="str">
        <f ca="1">IFERROR(__xludf.DUMMYFUNCTION("IMPORTXML(C96,$D$1)"),"PatRTeddington wrote a review Apr 2019Teddington, United Kingdom49 
contributions26 helpful votes")</f>
        <v>PatRTeddington wrote a review Apr 2019Teddington, United Kingdom49 
contributions26 helpful votes</v>
      </c>
      <c r="E96" s="4" t="str">
        <f ca="1">IFERROR(__xludf.DUMMYFUNCTION("""COMPUTED_VALUE"""),"A good stayHave stayed in several Travelodges ...all been good with nothing really to 
moan about. I wasn't expecting much from Waterloo as it is close to the 
station and I imagined it was going to be noisy. And I was completely 
wrong! I heard not a whi"&amp;"sper.! The room could be well ventilated,bearing in 
mind the windows have to be secure and the heating/aircon worked a treat. 
Room was well prepared and very clean...well done housekeeping.! Tl 
breakfasts are not as comprehensive as Prem Inn but they a"&amp;"re adequate and 
convenient. Waterloo TL is a superb location,a few minutes walk from The 
Old Vic,Royal Festival Hall and Southbank centre and you should have no 
qualms about safety at night when the theatres turn out as there are plenty 
of people abou"&amp;"t. So..I was pleasantly surprised it was well…Read moreDate 
of stay: April 2019HelpfulShare")</f>
        <v>A good stayHave stayed in several Travelodges ...all been good with nothing really to 
moan about. I wasn't expecting much from Waterloo as it is close to the 
station and I imagined it was going to be noisy. And I was completely 
wrong! I heard not a whisper.! The room could be well ventilated,bearing in 
mind the windows have to be secure and the heating/aircon worked a treat. 
Room was well prepared and very clean...well done housekeeping.! Tl 
breakfasts are not as comprehensive as Prem Inn but they are adequate and 
convenient. Waterloo TL is a superb location,a few minutes walk from The 
Old Vic,Royal Festival Hall and Southbank centre and you should have no 
qualms about safety at night when the theatres turn out as there are plenty 
of people about. So..I was pleasantly surprised it was well…Read moreDate 
of stay: April 2019HelpfulShare</v>
      </c>
      <c r="G96" s="24" t="str">
        <f ca="1">IFERROR(__xludf.DUMMYFUNCTION("IMPORTXML(C96, $G$1)"),"SheilaH702 wrote a review Apr 2019Basildon, United Kingdom176 
contributions33 helpful votes")</f>
        <v>SheilaH702 wrote a review Apr 2019Basildon, United Kingdom176 
contributions33 helpful votes</v>
      </c>
      <c r="H96" s="4" t="str">
        <f ca="1">IFERROR(__xludf.DUMMYFUNCTION("""COMPUTED_VALUE"""),"Plesant SurpriseFantastic quiet location near South Bank . Superooms are the best way to 
go. Has everything you need and a comfy bed and coffee machine with ironing 
facilities in the room,Breakfast amazing. Nothing they haven't got that I 
can think of."&amp;" Good veggie options too.Reception and breakfast staff very 
nice and helpful.Read moreReview collected in partnership with this 
hotelDate of stay: April 2019HelpfulShare")</f>
        <v>Plesant SurpriseFantastic quiet location near South Bank . Superooms are the best way to 
go. Has everything you need and a comfy bed and coffee machine with ironing 
facilities in the room,Breakfast amazing. Nothing they haven't got that I 
can think of. Good veggie options too.Reception and breakfast staff very 
nice and helpful.Read moreReview collected in partnership with this 
hotelDate of stay: April 2019HelpfulShare</v>
      </c>
      <c r="I96" s="21"/>
      <c r="J96" s="21" t="str">
        <f ca="1">IFERROR(__xludf.DUMMYFUNCTION("IMPORTXML(C96, $J$1)"),"Klonarijan wrote a review Apr 2019Bath, United Kingdom33 contributions11 
helpful votes")</f>
        <v>Klonarijan wrote a review Apr 2019Bath, United Kingdom33 contributions11 
helpful votes</v>
      </c>
      <c r="K96" s="4" t="str">
        <f ca="1">IFERROR(__xludf.DUMMYFUNCTION("""COMPUTED_VALUE"""),"Great hotel in great locationSuperb location close to rail, bus and underground as well as easy walk 
over the bridge. Clean and tidy with very helpful staff. We had a large 
corner room which was very quiet albeit a little hot but then all 
Travelodges s"&amp;"eem to be well heated! Good breakfast too!Read moreReview 
collected in partnership with this hotelDate of stay: April 2019HelpfulShare")</f>
        <v>Great hotel in great locationSuperb location close to rail, bus and underground as well as easy walk 
over the bridge. Clean and tidy with very helpful staff. We had a large 
corner room which was very quiet albeit a little hot but then all 
Travelodges seem to be well heated! Good breakfast too!Read moreReview 
collected in partnership with this hotelDate of stay: April 2019HelpfulShare</v>
      </c>
      <c r="L96" s="21"/>
      <c r="M96" s="21" t="str">
        <f ca="1">IFERROR(__xludf.DUMMYFUNCTION("IMPORTXML(C96, $M$1)"),"Sarah G wrote a review Apr 2019Durham, United Kingdom2 contributions")</f>
        <v>Sarah G wrote a review Apr 2019Durham, United Kingdom2 contributions</v>
      </c>
      <c r="N96" s="4" t="str">
        <f ca="1">IFERROR(__xludf.DUMMYFUNCTION("""COMPUTED_VALUE"""),"Great visit!Love the staff here - so friendly every time I have visited! I stayed for 
one night and it was a comfortable, clean room... Breakfast excellent and 
very convenient to where I work. Would highly recommend!Read moreDate of 
stay: April 2019Hel"&amp;"pfulShare")</f>
        <v>Great visit!Love the staff here - so friendly every time I have visited! I stayed for 
one night and it was a comfortable, clean room... Breakfast excellent and 
very convenient to where I work. Would highly recommend!Read moreDate of 
stay: April 2019HelpfulShare</v>
      </c>
      <c r="O96" s="21"/>
      <c r="P96" s="21" t="str">
        <f ca="1">IFERROR(__xludf.DUMMYFUNCTION("IMPORTXML(C96, $P$1)"),"#N/A")</f>
        <v>#N/A</v>
      </c>
      <c r="U96" s="4" t="str">
        <f ca="1">IFERROR(__xludf.DUMMYFUNCTION("IMPORTXML(C97,$U$1)"),"Loading...")</f>
        <v>Loading...</v>
      </c>
    </row>
    <row r="97" spans="1:21" ht="15">
      <c r="A97" s="25" t="s">
        <v>7346</v>
      </c>
      <c r="B97" s="17" t="s">
        <v>126</v>
      </c>
      <c r="C97" s="23" t="str">
        <f t="shared" si="0"/>
        <v>https://www.tripadvisor.co.uk/Hotel_Review-g186338-d1812157-Reviews-or475-Travelodge_London_Waterloo_Hotel-London_England.html#REVIEWS</v>
      </c>
      <c r="D97" s="4" t="str">
        <f ca="1">IFERROR(__xludf.DUMMYFUNCTION("IMPORTXML(C97,$D$1)"),"bodbea7 wrote a review Apr 2019Durham, United Kingdom63 contributions30 
helpful votes")</f>
        <v>bodbea7 wrote a review Apr 2019Durham, United Kingdom63 contributions30 
helpful votes</v>
      </c>
      <c r="E97" s="4" t="str">
        <f ca="1">IFERROR(__xludf.DUMMYFUNCTION("""COMPUTED_VALUE"""),"Great LocationLast minute booking with Travelodge Waterloo and i'm impressed with the 
hotel overall. The hotel is a 5 Minute walk from underground and 5-7 minute 
walk to County Hall and the South Bank. The hotel was fresh from the recent 
renovation and"&amp;" we had a great room, although the room was standard was 
still equipt with a king size bed, tea and coffee facilities and a walk in 
shower. Clean and modern rooms with a great little bar area near reception. 
All reception staff we spoke with were frien"&amp;"dly and welcoming, Check in was 
efficient and easy. On check out we left our bags with reception who stored 
them in the luggage room and provided us with a ticket, we were then able 
to spent the day in London before our train home. We would highly reco"&amp;"mmend 
this hotel!Read moreDate of stay: April 2019HelpfulShare")</f>
        <v>Great LocationLast minute booking with Travelodge Waterloo and i'm impressed with the 
hotel overall. The hotel is a 5 Minute walk from underground and 5-7 minute 
walk to County Hall and the South Bank. The hotel was fresh from the recent 
renovation and we had a great room, although the room was standard was 
still equipt with a king size bed, tea and coffee facilities and a walk in 
shower. Clean and modern rooms with a great little bar area near reception. 
All reception staff we spoke with were friendly and welcoming, Check in was 
efficient and easy. On check out we left our bags with reception who stored 
them in the luggage room and provided us with a ticket, we were then able 
to spent the day in London before our train home. We would highly recommend 
this hotel!Read moreDate of stay: April 2019HelpfulShare</v>
      </c>
      <c r="G97" s="24" t="str">
        <f ca="1">IFERROR(__xludf.DUMMYFUNCTION("IMPORTXML(C97, $G$1)"),"#N/A")</f>
        <v>#N/A</v>
      </c>
      <c r="I97" s="21"/>
      <c r="J97" s="21" t="str">
        <f ca="1">IFERROR(__xludf.DUMMYFUNCTION("IMPORTXML(C97, $J$1)"),"#N/A")</f>
        <v>#N/A</v>
      </c>
      <c r="L97" s="21"/>
      <c r="M97" s="21" t="str">
        <f ca="1">IFERROR(__xludf.DUMMYFUNCTION("IMPORTXML(C97, $M$1)"),"CLAN W wrote a review Apr 2019Atlanta, Georgia2 contributions")</f>
        <v>CLAN W wrote a review Apr 2019Atlanta, Georgia2 contributions</v>
      </c>
      <c r="N97" s="4" t="str">
        <f ca="1">IFERROR(__xludf.DUMMYFUNCTION("""COMPUTED_VALUE"""),"Great Value for location and type of accommodationI highly recommend this Travelodge for brief overnight stays in London when 
you mostly just need a place to commute from for site seeing and to spend 
the evening. The rooms are quite small, but inline wi"&amp;"th what you'd expect 
in large city at this price. The new remodel felt very updated and fresh. 
The hotel lounge/bar was a great spot to plan the next day and wind down 
before bed.Read moreReview collected in partnership with TravelodgeDate of 
stay: Ap"&amp;"ril 2019HelpfulShare")</f>
        <v>Great Value for location and type of accommodationI highly recommend this Travelodge for brief overnight stays in London when 
you mostly just need a place to commute from for site seeing and to spend 
the evening. The rooms are quite small, but inline with what you'd expect 
in large city at this price. The new remodel felt very updated and fresh. 
The hotel lounge/bar was a great spot to plan the next day and wind down 
before bed.Read moreReview collected in partnership with TravelodgeDate of 
stay: April 2019HelpfulShare</v>
      </c>
      <c r="O97" s="21"/>
      <c r="P97" s="21" t="str">
        <f ca="1">IFERROR(__xludf.DUMMYFUNCTION("IMPORTXML(C97, $P$1)"),"Ellie p wrote a review Apr 2019Dorchester, United Kingdom2 contributions1 
helpful vote")</f>
        <v>Ellie p wrote a review Apr 2019Dorchester, United Kingdom2 contributions1 
helpful vote</v>
      </c>
      <c r="Q97" s="4" t="str">
        <f ca="1">IFERROR(__xludf.DUMMYFUNCTION("""COMPUTED_VALUE"""),"Great Budget HotelWe have stayed here a few times and whether it is in a normal room or one 
of the super rooms I can really recommend this Travelodge. Although the 
area around Waterloo seems a bit rough it is safe and it looks like the 
area is being re"&amp;"juvenated. You can walk into the West End from here (if you 
like walking) and is perfect if you are attending events at either the O2 
or Wembley as is only a short walk from Waterloo.Read moreReview collected 
in partnership with TravelodgeDate of stay:"&amp;" April 2019HelpfulShare")</f>
        <v>Great Budget HotelWe have stayed here a few times and whether it is in a normal room or one 
of the super rooms I can really recommend this Travelodge. Although the 
area around Waterloo seems a bit rough it is safe and it looks like the 
area is being rejuvenated. You can walk into the West End from here (if you 
like walking) and is perfect if you are attending events at either the O2 
or Wembley as is only a short walk from Waterloo.Read moreReview collected 
in partnership with TravelodgeDate of stay: April 2019HelpfulShare</v>
      </c>
      <c r="U97" s="4" t="str">
        <f ca="1">IFERROR(__xludf.DUMMYFUNCTION("IMPORTXML(C98,$U$1)"),"Loading...")</f>
        <v>Loading...</v>
      </c>
    </row>
    <row r="98" spans="1:21" ht="15">
      <c r="A98" s="25" t="s">
        <v>7425</v>
      </c>
      <c r="B98" s="17" t="s">
        <v>126</v>
      </c>
      <c r="C98" s="23" t="str">
        <f t="shared" si="0"/>
        <v>https://www.tripadvisor.co.uk/Hotel_Review-g186338-d1812157-Reviews-or480-Travelodge_London_Waterloo_Hotel-London_England.html#REVIEWS</v>
      </c>
      <c r="D98" s="4" t="str">
        <f ca="1">IFERROR(__xludf.DUMMYFUNCTION("IMPORTXML(C98,$D$1)"),"Adventure64062289653 wrote a review Apr 20191 contribution")</f>
        <v>Adventure64062289653 wrote a review Apr 20191 contribution</v>
      </c>
      <c r="E98" s="4" t="str">
        <f ca="1">IFERROR(__xludf.DUMMYFUNCTION("""COMPUTED_VALUE"""),"Excellent location for SouthbankI would definitely stay here again - the hotel was clean and modern, staff 
were very helpful and as I was attending an event at the BFI Southbank, the 
location was ideal - not even 10 mins away. The price was also excelle"&amp;"nt, 
much cheaper than other hotels in the area.Read moreReview collected in 
partnership with TravelodgeDate of stay: April 2019HelpfulShare")</f>
        <v>Excellent location for SouthbankI would definitely stay here again - the hotel was clean and modern, staff 
were very helpful and as I was attending an event at the BFI Southbank, the 
location was ideal - not even 10 mins away. The price was also excellent, 
much cheaper than other hotels in the area.Read moreReview collected in 
partnership with TravelodgeDate of stay: April 2019HelpfulShare</v>
      </c>
      <c r="G98" s="24" t="str">
        <f ca="1">IFERROR(__xludf.DUMMYFUNCTION("IMPORTXML(C98, $G$1)"),"ikaletahi wrote a review Apr 2019Northcote, New Zealand39 contributions87 
helpful votes")</f>
        <v>ikaletahi wrote a review Apr 2019Northcote, New Zealand39 contributions87 
helpful votes</v>
      </c>
      <c r="H98" s="4" t="str">
        <f ca="1">IFERROR(__xludf.DUMMYFUNCTION("""COMPUTED_VALUE"""),"Very averageSeems this hotel it is for those who want to experience a very average 
stay!! Breakfast was not a friendly experience!! So many people, they need 
to reorganise the whole process, its totally chaotic !! Plus having 30 
minutes free WiFi is pe"&amp;"nny pinching!! Make it free whilst you are there 
makes more sense!!Read moreReview collected in partnership with 
TravelodgeDate of stay: April 2019HelpfulShare")</f>
        <v>Very averageSeems this hotel it is for those who want to experience a very average 
stay!! Breakfast was not a friendly experience!! So many people, they need 
to reorganise the whole process, its totally chaotic !! Plus having 30 
minutes free WiFi is penny pinching!! Make it free whilst you are there 
makes more sense!!Read moreReview collected in partnership with 
TravelodgeDate of stay: April 2019HelpfulShare</v>
      </c>
      <c r="I98" s="21"/>
      <c r="J98" s="21" t="str">
        <f ca="1">IFERROR(__xludf.DUMMYFUNCTION("IMPORTXML(C98, $J$1)"),"michw271 wrote a review Apr 2019Edinburgh, United Kingdom2 contributions")</f>
        <v>michw271 wrote a review Apr 2019Edinburgh, United Kingdom2 contributions</v>
      </c>
      <c r="K98" s="4" t="str">
        <f ca="1">IFERROR(__xludf.DUMMYFUNCTION("""COMPUTED_VALUE"""),"Good budget choiceExcellent for walking distance to main attractions, London eye, dungeon, 
Big Ben and Trafalgar Square. Next to Waterloo tube but a little bit of 
faffing about getting out and in. Triple room ok size wise limited storage 
for 3 though.M"&amp;"ain mattress wasn’t great, slightly slopping in centre. 
Bathroom small for 3 and sink not very big. Cleanliness was good. 
Soundproofing as with most travelodges a bit sketchy. Bar and restaurant 
excellent and couldn’t fault staff. Good budget option bu"&amp;"t slightly cramped 
and basic.Read moreDate of stay: April 2019HelpfulShare")</f>
        <v>Good budget choiceExcellent for walking distance to main attractions, London eye, dungeon, 
Big Ben and Trafalgar Square. Next to Waterloo tube but a little bit of 
faffing about getting out and in. Triple room ok size wise limited storage 
for 3 though.Main mattress wasn’t great, slightly slopping in centre. 
Bathroom small for 3 and sink not very big. Cleanliness was good. 
Soundproofing as with most travelodges a bit sketchy. Bar and restaurant 
excellent and couldn’t fault staff. Good budget option but slightly cramped 
and basic.Read moreDate of stay: April 2019HelpfulShare</v>
      </c>
      <c r="L98" s="21"/>
      <c r="M98" s="21" t="str">
        <f ca="1">IFERROR(__xludf.DUMMYFUNCTION("IMPORTXML(C98, $M$1)"),"Foooodie wrote a review Apr 2019Leicester, United Kingdom24 contributions12 
helpful votes")</f>
        <v>Foooodie wrote a review Apr 2019Leicester, United Kingdom24 contributions12 
helpful votes</v>
      </c>
      <c r="N98" s="4" t="str">
        <f ca="1">IFERROR(__xludf.DUMMYFUNCTION("""COMPUTED_VALUE"""),"Great location! Rooms cleanliness average!This my second stay at Waterloo due to its great central location! The 
reception was inviting and the staff were friendly. The only issues I had 
were the carpets in the room had marks, the drains in the showers "&amp;"had an 
awful smell. The light switch was also quiet dirty.. we paid £52 for one 
night on the Easter bank holiday which I think reasonable.. Just be aware 
that the London ambulance service is located opposite, and a few bars near 
down the road so it ca"&amp;"n be noisy in the middle of the night. Overall 
average room with a great location!Read moreDate of stay: April 
2019HelpfulShare")</f>
        <v>Great location! Rooms cleanliness average!This my second stay at Waterloo due to its great central location! The 
reception was inviting and the staff were friendly. The only issues I had 
were the carpets in the room had marks, the drains in the showers had an 
awful smell. The light switch was also quiet dirty.. we paid £52 for one 
night on the Easter bank holiday which I think reasonable.. Just be aware 
that the London ambulance service is located opposite, and a few bars near 
down the road so it can be noisy in the middle of the night. Overall 
average room with a great location!Read moreDate of stay: April 
2019HelpfulShare</v>
      </c>
      <c r="O98" s="21"/>
      <c r="P98" s="21" t="str">
        <f ca="1">IFERROR(__xludf.DUMMYFUNCTION("IMPORTXML(C98, $P$1)"),"Amy_and_Jami wrote a review Apr 2019Marske-by-the-Sea, United Kingdom490 
contributions140 helpful votes")</f>
        <v>Amy_and_Jami wrote a review Apr 2019Marske-by-the-Sea, United Kingdom490 
contributions140 helpful votes</v>
      </c>
      <c r="Q98" s="4" t="str">
        <f ca="1">IFERROR(__xludf.DUMMYFUNCTION("""COMPUTED_VALUE"""),"Very accommodating London hotelI recently stayed at the Travelodge at London Waterloo for work. Location: 
a 10 minute walk away from London Waterloo. Arrival and check in: check in 
was quick and efficient, with a modern seating area and bar. Staff: very"&amp;" 
friendly and helpful. Public areas: on-site bar and restaurant. Room: fine, 
standard travelodge, no complaints. Hotel facilities: good hot breakfast, 
nice dining area with BBC news on TV. Breakfast: good standard travelodge 
hot breakfast. Would I sta"&amp;"y here again: yes.Read moreDate of stay: January 
2019HelpfulShare")</f>
        <v>Very accommodating London hotelI recently stayed at the Travelodge at London Waterloo for work. Location: 
a 10 minute walk away from London Waterloo. Arrival and check in: check in 
was quick and efficient, with a modern seating area and bar. Staff: very 
friendly and helpful. Public areas: on-site bar and restaurant. Room: fine, 
standard travelodge, no complaints. Hotel facilities: good hot breakfast, 
nice dining area with BBC news on TV. Breakfast: good standard travelodge 
hot breakfast. Would I stay here again: yes.Read moreDate of stay: January 
2019HelpfulShare</v>
      </c>
      <c r="U98" s="4" t="str">
        <f ca="1">IFERROR(__xludf.DUMMYFUNCTION("IMPORTXML(C99,$U$1)"),"Loading...")</f>
        <v>Loading...</v>
      </c>
    </row>
    <row r="99" spans="1:21" ht="15">
      <c r="A99" s="5" t="s">
        <v>7547</v>
      </c>
      <c r="B99" s="17" t="s">
        <v>126</v>
      </c>
      <c r="C99" s="23" t="str">
        <f t="shared" si="0"/>
        <v>https://www.tripadvisor.co.uk/Hotel_Review-g186338-d1812157-Reviews-or485-Travelodge_London_Waterloo_Hotel-London_England.html#REVIEWS</v>
      </c>
      <c r="D99" s="4" t="str">
        <f ca="1">IFERROR(__xludf.DUMMYFUNCTION("IMPORTXML(C99,$D$1)"),"Le Bert McBert wrote a review Apr 2019Brighton, United Kingdom67 
contributions21 helpful votes")</f>
        <v>Le Bert McBert wrote a review Apr 2019Brighton, United Kingdom67 
contributions21 helpful votes</v>
      </c>
      <c r="E99" s="4" t="str">
        <f ca="1">IFERROR(__xludf.DUMMYFUNCTION("""COMPUTED_VALUE"""),"Great value for money.Stayed for one night, Easter weekend. Spotlessly clean, well placed for 
Waterloo station and the River Thames amongst other things. We didn't eat 
in the hotel as we prefer to get out and about but breakfast smelt lovely. 
The staff"&amp;" were Lovely, polite, attentive and it wasn't an act, they were 
genuinely nice people. Raisa, Humayra and Sofia especially, thankyou. 2 or 
3 minutes in your presence set us up for a lovely weekend. You can't buy 
that sort of service it comes from the h"&amp;"eart. A great advert for London and 
Travelodge.Read moreDate of stay: April 2019HelpfulShare")</f>
        <v>Great value for money.Stayed for one night, Easter weekend. Spotlessly clean, well placed for 
Waterloo station and the River Thames amongst other things. We didn't eat 
in the hotel as we prefer to get out and about but breakfast smelt lovely. 
The staff were Lovely, polite, attentive and it wasn't an act, they were 
genuinely nice people. Raisa, Humayra and Sofia especially, thankyou. 2 or 
3 minutes in your presence set us up for a lovely weekend. You can't buy 
that sort of service it comes from the heart. A great advert for London and 
Travelodge.Read moreDate of stay: April 2019HelpfulShare</v>
      </c>
      <c r="G99" s="24" t="str">
        <f ca="1">IFERROR(__xludf.DUMMYFUNCTION("IMPORTXML(C99, $G$1)"),"#N/A")</f>
        <v>#N/A</v>
      </c>
      <c r="I99" s="21"/>
      <c r="J99" s="21" t="str">
        <f ca="1">IFERROR(__xludf.DUMMYFUNCTION("IMPORTXML(C99, $J$1)"),"Ashton Rose wrote a review Apr 2019Cardiff, United Kingdom16 contributions5 
helpful votes")</f>
        <v>Ashton Rose wrote a review Apr 2019Cardiff, United Kingdom16 contributions5 
helpful votes</v>
      </c>
      <c r="K99" s="4" t="str">
        <f ca="1">IFERROR(__xludf.DUMMYFUNCTION("""COMPUTED_VALUE"""),"Lovely break awayI just want to say what lovely and attentive staff, we are currently on our 
way home back to Cardiff after a 2 night stay here for my boyfriends 
birthday. We arrived early on the first day which was unplanned however the 
receptionist w"&amp;"as able to get us a room straight away for an extra £10 which 
we were happy with. Our room was lovely and clean, breakfast was lovely and 
it was so nice having the bar and menu downstairs to relax rather than 
being stuck in a room. We did have our room"&amp;" refreshed before 11am (fresh 
towels, bed made) as we planned a lot to do on our 3 days there meaning we 
were out most of the time. Lovely location very central and great access to 
the tube meaning you can get anywhere. We paid for visitors Oyster card"&amp;"s 
before coming to London and i must say it’s…Read moreDate of stay: April 
2019HelpfulShare")</f>
        <v>Lovely break awayI just want to say what lovely and attentive staff, we are currently on our 
way home back to Cardiff after a 2 night stay here for my boyfriends 
birthday. We arrived early on the first day which was unplanned however the 
receptionist was able to get us a room straight away for an extra £10 which 
we were happy with. Our room was lovely and clean, breakfast was lovely and 
it was so nice having the bar and menu downstairs to relax rather than 
being stuck in a room. We did have our room refreshed before 11am (fresh 
towels, bed made) as we planned a lot to do on our 3 days there meaning we 
were out most of the time. Lovely location very central and great access to 
the tube meaning you can get anywhere. We paid for visitors Oyster cards 
before coming to London and i must say it’s…Read moreDate of stay: April 
2019HelpfulShare</v>
      </c>
      <c r="L99" s="21"/>
      <c r="M99" s="21" t="str">
        <f ca="1">IFERROR(__xludf.DUMMYFUNCTION("IMPORTXML(C99, $M$1)"),"#N/A")</f>
        <v>#N/A</v>
      </c>
      <c r="O99" s="21"/>
      <c r="P99" s="21" t="str">
        <f ca="1">IFERROR(__xludf.DUMMYFUNCTION("IMPORTXML(C99, $P$1)"),"#N/A")</f>
        <v>#N/A</v>
      </c>
      <c r="U99" s="4" t="str">
        <f ca="1">IFERROR(__xludf.DUMMYFUNCTION("IMPORTXML(C100,$U$1)"),"Loading...")</f>
        <v>Loading...</v>
      </c>
    </row>
    <row r="100" spans="1:21" ht="15">
      <c r="A100" s="25" t="s">
        <v>7642</v>
      </c>
      <c r="B100" s="17" t="s">
        <v>126</v>
      </c>
      <c r="C100" s="23" t="str">
        <f t="shared" si="0"/>
        <v>https://www.tripadvisor.co.uk/Hotel_Review-g186338-d1812157-Reviews-or490-Travelodge_London_Waterloo_Hotel-London_England.html#REVIEWS</v>
      </c>
      <c r="D100" s="4" t="str">
        <f ca="1">IFERROR(__xludf.DUMMYFUNCTION("IMPORTXML(C100,$D$1)"),"TonyFlood wrote a review Apr 2019Eastbourne, United Kingdom16 
contributions3 helpful votes")</f>
        <v>TonyFlood wrote a review Apr 2019Eastbourne, United Kingdom16 
contributions3 helpful votes</v>
      </c>
      <c r="E100" s="4" t="str">
        <f ca="1">IFERROR(__xludf.DUMMYFUNCTION("""COMPUTED_VALUE"""),"Excellent locations, service and value for moneyI recently stayed at the Travelodge Hotels at London Waterloo and Central 
London Southwark and found they both offered excellent value for money. The 
customer service provided, accomodation and the hotel l"&amp;"ocations were 
extremely good. The Waterloo hotel was particularly impressive, with a 
modern, well-designed reception and bar area on the ground floor. 
Receptionist Humayra and duty manager Darren at Waterloo Road were 
extremely helpful, as was recepti"&amp;"onist Doris at the Southwark hotel. They 
addressed all my needs quickly and efficiently; were welcoming, cheerful 
and friendly. The dining areas were fine, and the value-for-money 
breakfasts offered plenty of food and drink, with special deals for 
chi"&amp;"ldren. The relaxing atmosphere at these hotels was beneficial to me as 
an author…Read moreDate of stay: April 2019HelpfulShare")</f>
        <v>Excellent locations, service and value for moneyI recently stayed at the Travelodge Hotels at London Waterloo and Central 
London Southwark and found they both offered excellent value for money. The 
customer service provided, accomodation and the hotel locations were 
extremely good. The Waterloo hotel was particularly impressive, with a 
modern, well-designed reception and bar area on the ground floor. 
Receptionist Humayra and duty manager Darren at Waterloo Road were 
extremely helpful, as was receptionist Doris at the Southwark hotel. They 
addressed all my needs quickly and efficiently; were welcoming, cheerful 
and friendly. The dining areas were fine, and the value-for-money 
breakfasts offered plenty of food and drink, with special deals for 
children. The relaxing atmosphere at these hotels was beneficial to me as 
an author…Read moreDate of stay: April 2019HelpfulShare</v>
      </c>
      <c r="G100" s="24" t="str">
        <f ca="1">IFERROR(__xludf.DUMMYFUNCTION("IMPORTXML(C100, $G$1)"),"Alexander M wrote a review Apr 20198 contributions1 helpful vote")</f>
        <v>Alexander M wrote a review Apr 20198 contributions1 helpful vote</v>
      </c>
      <c r="H100" s="4" t="str">
        <f ca="1">IFERROR(__xludf.DUMMYFUNCTION("""COMPUTED_VALUE"""),"London break.Great hotel. Clean and modern with all facilities you'd expect. All the 
staff very helpful only to keen to help. Great situation for London 
attractions as Underground is only a five minute walk away. One suggestion 
to improve the room woul"&amp;"d be a mirror above the dressing table.Read 
moreDate of stay: April 2019HelpfulShare")</f>
        <v>London break.Great hotel. Clean and modern with all facilities you'd expect. All the 
staff very helpful only to keen to help. Great situation for London 
attractions as Underground is only a five minute walk away. One suggestion 
to improve the room would be a mirror above the dressing table.Read 
moreDate of stay: April 2019HelpfulShare</v>
      </c>
      <c r="I100" s="21"/>
      <c r="J100" s="21" t="str">
        <f ca="1">IFERROR(__xludf.DUMMYFUNCTION("IMPORTXML(C100, $J$1)"),"Samsonitesky wrote a review Apr 2019Shropshire, United Kingdom5 
contributions5 helpful votes")</f>
        <v>Samsonitesky wrote a review Apr 2019Shropshire, United Kingdom5 
contributions5 helpful votes</v>
      </c>
      <c r="K100" s="4" t="str">
        <f ca="1">IFERROR(__xludf.DUMMYFUNCTION("""COMPUTED_VALUE"""),"Poor management and two evacuationsI had stayed here a few months previous and liked it. This occasion was 
marred though by all guests being evacuated by the fire alarm.Twice. First 
time close on midnight,the second early next morning. That in itself is"&amp;" 
unfortunate and understandable,but less so when staff informed me that it 
originated from a business within their building but separate. So I would 
expect Travelodge to have better provision than to see its guests 
inconvenienced by false alarms from "&amp;"an adjoining business. Also, crucially, 
stood outside, across the road,there was no clear display of staff having 
an effective method for establishing who was evacuated. This did not 
inspire confidence. I felt on seeing this that unaware guests could h"&amp;"ave 
been unaccounted for,but I don't know what procedure they had…Read moreDate 
of stay: February 2019HelpfulShareResponse from TravelodgeUK, Tilly from 
The Social Media Team at Travelodge London Waterloo HotelResponded 30 Apr 
2019Thank you for taking"&amp;" the time to write a review with regards to our 
London Waterloo Hotel. We are truly sorry to learn of the experience you 
have had whilst staying with us. We would kindly ask you contact one of our 
Customer Services Advisors with your review via our web"&amp;"site help form to 
look into this more thoroughly. Thank you again for reviewing our 
hotel.Read more")</f>
        <v>Poor management and two evacuationsI had stayed here a few months previous and liked it. This occasion was 
marred though by all guests being evacuated by the fire alarm.Twice. First 
time close on midnight,the second early next morning. That in itself is 
unfortunate and understandable,but less so when staff informed me that it 
originated from a business within their building but separate. So I would 
expect Travelodge to have better provision than to see its guests 
inconvenienced by false alarms from an adjoining business. Also, crucially, 
stood outside, across the road,there was no clear display of staff having 
an effective method for establishing who was evacuated. This did not 
inspire confidence. I felt on seeing this that unaware guests could have 
been unaccounted for,but I don't know what procedure they had…Read moreDate 
of stay: February 2019HelpfulShareResponse from TravelodgeUK, Tilly from 
The Social Media Team at Travelodge London Waterloo HotelResponded 30 Apr 
2019Thank you for taking the time to write a review with regards to our 
London Waterloo Hotel. We are truly sorry to learn of the experience you 
have had whilst staying with us. We would kindly ask you contact one of our 
Customer Services Advisors with your review via our website help form to 
look into this more thoroughly. Thank you again for reviewing our 
hotel.Read more</v>
      </c>
      <c r="L100" s="21"/>
      <c r="M100" s="21" t="str">
        <f ca="1">IFERROR(__xludf.DUMMYFUNCTION("IMPORTXML(C100, $M$1)"),"Kat Knight wrote a review Apr 2019Luton, United Kingdom83 contributions19 
helpful votes")</f>
        <v>Kat Knight wrote a review Apr 2019Luton, United Kingdom83 contributions19 
helpful votes</v>
      </c>
      <c r="N100" s="4" t="str">
        <f ca="1">IFERROR(__xludf.DUMMYFUNCTION("""COMPUTED_VALUE"""),"Great location is the best birI stayed here during a business trip in February. The location of the 
travelodge is definitely the best thing about it as it’s a very short and 
direct walk from London Waterloo. I booked when it was quite cheap and a 
price"&amp;" I felt was acceptable for a London travelodge. Having now stayed here 
and seeing what some people would have to pay to stay here I honestly don’t 
think it’s worth it. When I arrived there were police everywhere and no 
explanation as to why at check in"&amp;". The staff member who checked me in told 
me nothing about the hotel despite me having not stayed there before. I had 
to ask where breakfast would be etc. The room size is fine. No view to 
speak of (looks over a gym). There was an annoying vibrating no"&amp;"ise which 
was quite constant and off putting. I was there…Read moreDate of stay: 
February 2019HelpfulShare")</f>
        <v>Great location is the best birI stayed here during a business trip in February. The location of the 
travelodge is definitely the best thing about it as it’s a very short and 
direct walk from London Waterloo. I booked when it was quite cheap and a 
price I felt was acceptable for a London travelodge. Having now stayed here 
and seeing what some people would have to pay to stay here I honestly don’t 
think it’s worth it. When I arrived there were police everywhere and no 
explanation as to why at check in. The staff member who checked me in told 
me nothing about the hotel despite me having not stayed there before. I had 
to ask where breakfast would be etc. The room size is fine. No view to 
speak of (looks over a gym). There was an annoying vibrating noise which 
was quite constant and off putting. I was there…Read moreDate of stay: 
February 2019HelpfulShare</v>
      </c>
      <c r="O100" s="21"/>
      <c r="P100" s="21" t="str">
        <f ca="1">IFERROR(__xludf.DUMMYFUNCTION("IMPORTXML(C100, $P$1)"),"katejh1812 wrote a review Apr 2019Derbyshire, United Kingdom18 
contributions11 helpful votes")</f>
        <v>katejh1812 wrote a review Apr 2019Derbyshire, United Kingdom18 
contributions11 helpful votes</v>
      </c>
      <c r="Q100" s="4" t="str">
        <f ca="1">IFERROR(__xludf.DUMMYFUNCTION("""COMPUTED_VALUE"""),"Central Location. Modern clean hotel. Value for money.I stayed at Waterloo Travelodge with my husband and 8 year old for 2 
nights. The hotel was easy to find from Waterloo tube station. We paid for 
early check in arriving about 1230pm and were greeted b"&amp;"y friendly reception 
staff. Our room was on the side overlooking flats on the third floor. It 
was fairly small, but adequate for a short stay. It was very clean, only 
downside was we had to turn heating up as rather cold. The facilities were 
adequate."&amp;" There were tea and coffee making facilities (hot chocolate would 
have been welcome) The beds were comfortable and usb charging points handy. 
The shower room was tiny and there was no lock on door. The shower was easy 
to use , but would have preferred "&amp;"a shower screen rather than curtain for 
cleanliness. It was surprisingly quiet for such…Read moreReview collected 
in partnership with TravelodgeDate of stay: April 2019HelpfulShare")</f>
        <v>Central Location. Modern clean hotel. Value for money.I stayed at Waterloo Travelodge with my husband and 8 year old for 2 
nights. The hotel was easy to find from Waterloo tube station. We paid for 
early check in arriving about 1230pm and were greeted by friendly reception 
staff. Our room was on the side overlooking flats on the third floor. It 
was fairly small, but adequate for a short stay. It was very clean, only 
downside was we had to turn heating up as rather cold. The facilities were 
adequate. There were tea and coffee making facilities (hot chocolate would 
have been welcome) The beds were comfortable and usb charging points handy. 
The shower room was tiny and there was no lock on door. The shower was easy 
to use , but would have preferred a shower screen rather than curtain for 
cleanliness. It was surprisingly quiet for such…Read moreReview collected 
in partnership with TravelodgeDate of stay: April 2019HelpfulShare</v>
      </c>
      <c r="U100" s="4" t="str">
        <f ca="1">IFERROR(__xludf.DUMMYFUNCTION("IMPORTXML(C101,$U$1)"),"Loading...")</f>
        <v>Loading...</v>
      </c>
    </row>
    <row r="101" spans="1:21" ht="15">
      <c r="A101" s="25" t="s">
        <v>7767</v>
      </c>
      <c r="B101" s="17" t="s">
        <v>126</v>
      </c>
      <c r="C101" s="23" t="str">
        <f t="shared" si="0"/>
        <v>https://www.tripadvisor.co.uk/Hotel_Review-g186338-d1812157-Reviews-or495-Travelodge_London_Waterloo_Hotel-London_England.html#REVIEWS</v>
      </c>
      <c r="D101" s="4" t="str">
        <f ca="1">IFERROR(__xludf.DUMMYFUNCTION("IMPORTXML(C101,$D$1)"),"DayTrip40597115976 wrote a review Apr 2019Belfast, United Kingdom1 
contribution")</f>
        <v>DayTrip40597115976 wrote a review Apr 2019Belfast, United Kingdom1 
contribution</v>
      </c>
      <c r="E101" s="4" t="str">
        <f ca="1">IFERROR(__xludf.DUMMYFUNCTION("""COMPUTED_VALUE"""),"Enjoyed it, great location.Our room was super clean &amp; comfy, Bathroom too. Breakfast most excellent �� 
location was great for walking down the river bank to tower bridge etc. 
Only 1 complaint the rooms aircon would gurgle @niteRead moreReview 
collected"&amp;" in partnership with this hotelDate of stay: March 2019HelpfulShare")</f>
        <v>Enjoyed it, great location.Our room was super clean &amp; comfy, Bathroom too. Breakfast most excellent �� 
location was great for walking down the river bank to tower bridge etc. 
Only 1 complaint the rooms aircon would gurgle @niteRead moreReview 
collected in partnership with this hotelDate of stay: March 2019HelpfulShare</v>
      </c>
      <c r="G101" s="24" t="str">
        <f ca="1">IFERROR(__xludf.DUMMYFUNCTION("IMPORTXML(C101, $G$1)"),"#N/A")</f>
        <v>#N/A</v>
      </c>
      <c r="I101" s="21"/>
      <c r="J101" s="21" t="str">
        <f ca="1">IFERROR(__xludf.DUMMYFUNCTION("IMPORTXML(C101, $J$1)"),"bogeynoise wrote a review Apr 2019Northampton, United Kingdom37 
contributions9 helpful votes")</f>
        <v>bogeynoise wrote a review Apr 2019Northampton, United Kingdom37 
contributions9 helpful votes</v>
      </c>
      <c r="K101" s="4" t="str">
        <f ca="1">IFERROR(__xludf.DUMMYFUNCTION("""COMPUTED_VALUE"""),"Family trip outGood location for visiting central London or London eye area about 10 mins 
from Waterloo station nice and clean nice staff we did laugh handwash in 
the shower and hair and body wash by the sink they only had one job was 
nice rooms though"&amp;"Read moreDate of stay: April 2019HelpfulShare")</f>
        <v>Family trip outGood location for visiting central London or London eye area about 10 mins 
from Waterloo station nice and clean nice staff we did laugh handwash in 
the shower and hair and body wash by the sink they only had one job was 
nice rooms thoughRead moreDate of stay: April 2019HelpfulShare</v>
      </c>
      <c r="L101" s="21"/>
      <c r="M101" s="21" t="str">
        <f ca="1">IFERROR(__xludf.DUMMYFUNCTION("IMPORTXML(C101, $M$1)"),"Becca M wrote a review Apr 20193 contributions7 helpful votes")</f>
        <v>Becca M wrote a review Apr 20193 contributions7 helpful votes</v>
      </c>
      <c r="N101" s="4" t="str">
        <f ca="1">IFERROR(__xludf.DUMMYFUNCTION("""COMPUTED_VALUE"""),"Not enjoyable :(I am someone who generally uses Travelodges on my travels and so, for my 
first trip away for me and my 9 year old son, just us together, I thought 
it would be a comfortable choice. I booked it months in advance, all paid 
and correct. Ar"&amp;"riving after 8 hours of travelling, exhausted, to check in, 
staff looked at us in confusion as though there was no reservation. I 
brought up the booking on my phone as proof and was asked to sit in the 
corner with a sleepy child, as other people checke"&amp;"d in. I listened to staff 
on the phone as they managed to get me a room as quickly as they could 
(bearing in mind this was booked months and months ago and cost me £250 for 
3 nights) we headed up. My son then got extremely travel sick. While my son 
vo"&amp;"mited, clueless staff members tapped on the…Read moreDate of stay: April 
2019HelpfulShareResponse from TravelodgeUK, James from the Social Media 
Team at Travelodge London Waterloo HotelResponded 15 Apr 2019Thank you for 
reviewing our Travelodge London "&amp;"Waterloo Hotel. Thank you for taking the 
time to review our hotel. We are really sorry to hear that you had many 
issues during your stay with us. We strive to offer the best service 
possible for our guests so please accept our apologies that we did not"&amp;" 
succeed in doing so on this occasion. As your experience was not up to our 
usual standards, could we kindly ask you to contact our Customer Services 
Team via our website help form, with a copy of your review, so that we can 
look into this further for"&amp;" you. Thank you again for your feedback, and we 
hope to hear from you soon.Read more")</f>
        <v>Not enjoyable :(I am someone who generally uses Travelodges on my travels and so, for my 
first trip away for me and my 9 year old son, just us together, I thought 
it would be a comfortable choice. I booked it months in advance, all paid 
and correct. Arriving after 8 hours of travelling, exhausted, to check in, 
staff looked at us in confusion as though there was no reservation. I 
brought up the booking on my phone as proof and was asked to sit in the 
corner with a sleepy child, as other people checked in. I listened to staff 
on the phone as they managed to get me a room as quickly as they could 
(bearing in mind this was booked months and months ago and cost me £250 for 
3 nights) we headed up. My son then got extremely travel sick. While my son 
vomited, clueless staff members tapped on the…Read moreDate of stay: April 
2019HelpfulShareResponse from TravelodgeUK, James from the Social Media 
Team at Travelodge London Waterloo HotelResponded 15 Apr 2019Thank you for 
reviewing our Travelodge London Waterloo Hotel. Thank you for taking the 
time to review our hotel. We are really sorry to hear that you had many 
issues during your stay with us. We strive to offer the best service 
possible for our guests so please accept our apologies that we did not 
succeed in doing so on this occasion. As your experience was not up to our 
usual standards, could we kindly ask you to contact our Customer Services 
Team via our website help form, with a copy of your review, so that we can 
look into this further for you. Thank you again for your feedback, and we 
hope to hear from you soon.Read more</v>
      </c>
      <c r="O101" s="21"/>
      <c r="P101" s="21" t="str">
        <f ca="1">IFERROR(__xludf.DUMMYFUNCTION("IMPORTXML(C101, $P$1)"),"Mikekbates wrote a review Apr 201910 contributions14 helpful votes")</f>
        <v>Mikekbates wrote a review Apr 201910 contributions14 helpful votes</v>
      </c>
      <c r="Q101" s="4" t="str">
        <f ca="1">IFERROR(__xludf.DUMMYFUNCTION("""COMPUTED_VALUE"""),"Cracking hotel in a good locationAll good here. Nice a clean rooms, lack of a wardrobe but we were 
travelling light so didn’t matter whatsoever. Great in-room features 
including the excellent usb chargers on either side of the firm double bed. 
Area is "&amp;"very quiet for “central” London , Cuban bar up the road is a must 
for a lively night out. Around 5ish minutes walk to Waterloo station, you 
can see the London eye from the fro t of the hotel as you walk up so prob a 
15-20 walk over to there if the weat"&amp;"her is nice. Bar has big screen sports, 
loses a star as when we got back hoping for a nightcap the bar had no music 
and all the screens turned off at 10:30ish so that was a bit of a letdown 
but other than that is was fine. Paid about £120 for a Saturda"&amp;"y night 
family room for 3 people.Read moreDate of stay: April 2019HelpfulShare")</f>
        <v>Cracking hotel in a good locationAll good here. Nice a clean rooms, lack of a wardrobe but we were 
travelling light so didn’t matter whatsoever. Great in-room features 
including the excellent usb chargers on either side of the firm double bed. 
Area is very quiet for “central” London , Cuban bar up the road is a must 
for a lively night out. Around 5ish minutes walk to Waterloo station, you 
can see the London eye from the fro t of the hotel as you walk up so prob a 
15-20 walk over to there if the weather is nice. Bar has big screen sports, 
loses a star as when we got back hoping for a nightcap the bar had no music 
and all the screens turned off at 10:30ish so that was a bit of a letdown 
but other than that is was fine. Paid about £120 for a Saturday night 
family room for 3 people.Read moreDate of stay: April 2019HelpfulShare</v>
      </c>
      <c r="U101" s="4" t="str">
        <f ca="1">IFERROR(__xludf.DUMMYFUNCTION("IMPORTXML(C102,$U$1)"),"Loading...")</f>
        <v>Loading...</v>
      </c>
    </row>
    <row r="102" spans="1:21" ht="15">
      <c r="A102" s="25" t="s">
        <v>7878</v>
      </c>
      <c r="B102" s="17" t="s">
        <v>126</v>
      </c>
      <c r="C102" s="23" t="str">
        <f t="shared" si="0"/>
        <v>https://www.tripadvisor.co.uk/Hotel_Review-g186338-d1812157-Reviews-or500-Travelodge_London_Waterloo_Hotel-London_England.html#REVIEWS</v>
      </c>
      <c r="D102" s="4" t="str">
        <f ca="1">IFERROR(__xludf.DUMMYFUNCTION("IMPORTXML(C102,$D$1)"),"fi0na146 wrote a review Apr 2019Berwick-upon-Tweed, United Kingdom2 
contributions")</f>
        <v>fi0na146 wrote a review Apr 2019Berwick-upon-Tweed, United Kingdom2 
contributions</v>
      </c>
      <c r="E102" s="4" t="str">
        <f ca="1">IFERROR(__xludf.DUMMYFUNCTION("""COMPUTED_VALUE"""),"Excellent valueTop marks to Waterloo travel lodge , clean , comfortable and the breakfast 
was really good and my granddaughter ate for free . Got a great nights 
sleep , the bed and pillow were really comfortable. They also do excellent 
coffeeRead moreR"&amp;"eview collected in partnership with TravelodgeDate of stay: 
April 2019HelpfulShare")</f>
        <v>Excellent valueTop marks to Waterloo travel lodge , clean , comfortable and the breakfast 
was really good and my granddaughter ate for free . Got a great nights 
sleep , the bed and pillow were really comfortable. They also do excellent 
coffeeRead moreReview collected in partnership with TravelodgeDate of stay: 
April 2019HelpfulShare</v>
      </c>
      <c r="G102" s="24" t="str">
        <f ca="1">IFERROR(__xludf.DUMMYFUNCTION("IMPORTXML(C102, $G$1)"),"hl4324 wrote a review Apr 2019Taunton, United Kingdom5 contributions")</f>
        <v>hl4324 wrote a review Apr 2019Taunton, United Kingdom5 contributions</v>
      </c>
      <c r="H102" s="4" t="str">
        <f ca="1">IFERROR(__xludf.DUMMYFUNCTION("""COMPUTED_VALUE"""),"Good value for moneyStayed here for one night following a theatre trip. Hotel within easy 
walking distance from Savoy Theatre. Staff helpful , room a little on the 
small side but perfectly acceptable for short stay. Room clean and quiet. 
We had the bre"&amp;"akfast deal which was very good value for money. Also had 
dinner here. Reasonable choice again good value.Read moreReview collected 
in partnership with TravelodgeDate of stay: April 2019HelpfulShare")</f>
        <v>Good value for moneyStayed here for one night following a theatre trip. Hotel within easy 
walking distance from Savoy Theatre. Staff helpful , room a little on the 
small side but perfectly acceptable for short stay. Room clean and quiet. 
We had the breakfast deal which was very good value for money. Also had 
dinner here. Reasonable choice again good value.Read moreReview collected 
in partnership with TravelodgeDate of stay: April 2019HelpfulShare</v>
      </c>
      <c r="I102" s="21"/>
      <c r="J102" s="21" t="str">
        <f ca="1">IFERROR(__xludf.DUMMYFUNCTION("IMPORTXML(C102, $J$1)"),"Susan B wrote a review Apr 20196 contributions3 helpful votes")</f>
        <v>Susan B wrote a review Apr 20196 contributions3 helpful votes</v>
      </c>
      <c r="K102" s="4" t="str">
        <f ca="1">IFERROR(__xludf.DUMMYFUNCTION("""COMPUTED_VALUE"""),"Family tripWe visited as a family of 4 for 5 nights 7th - 12th April. Great location 
just 5 minutes walk from Waterloo with restaurants nearby. Area was quiet 
and felt safe. Very friendly, professional and efficient staff, excellent 
customer service fr"&amp;"om everyone we met. Special mention to Barbora who 
provided a loaf of gluten free bread for me to eat at breakfast and greeted 
us with a smile very morning and the reception staff Anna, Raisa and Vee 
who answered any questions we had and went the extra"&amp;" mile to help. Our room 
was basic but very clean and functional with a great view of the London 
Eye. Spacious restaurant with a tasty and plentiful breakfast and good 
evening menu with gluten free options too. Just a couple of things that 
would make i"&amp;"t better the put up beds were not very…Read moreDate of stay: 
April 2019HelpfulShare")</f>
        <v>Family tripWe visited as a family of 4 for 5 nights 7th - 12th April. Great location 
just 5 minutes walk from Waterloo with restaurants nearby. Area was quiet 
and felt safe. Very friendly, professional and efficient staff, excellent 
customer service from everyone we met. Special mention to Barbora who 
provided a loaf of gluten free bread for me to eat at breakfast and greeted 
us with a smile very morning and the reception staff Anna, Raisa and Vee 
who answered any questions we had and went the extra mile to help. Our room 
was basic but very clean and functional with a great view of the London 
Eye. Spacious restaurant with a tasty and plentiful breakfast and good 
evening menu with gluten free options too. Just a couple of things that 
would make it better the put up beds were not very…Read moreDate of stay: 
April 2019HelpfulShare</v>
      </c>
      <c r="L102" s="21"/>
      <c r="M102" s="21" t="str">
        <f ca="1">IFERROR(__xludf.DUMMYFUNCTION("IMPORTXML(C102, $M$1)"),"Nuala G wrote a review Apr 2019Omagh, United Kingdom52 contributions7 
helpful votes")</f>
        <v>Nuala G wrote a review Apr 2019Omagh, United Kingdom52 contributions7 
helpful votes</v>
      </c>
      <c r="N102" s="4" t="str">
        <f ca="1">IFERROR(__xludf.DUMMYFUNCTION("""COMPUTED_VALUE"""),"Wonderful Waterloo!Great hotel with a choice of supersize rooms, offering added space and 
comfort for our one night stay. The room was very clean and comfortable, 
amply equipped and perfect for a city break! The hotel is in a Great 
location, close to W"&amp;"aterloo Station and public transport! The staff were 
helpful, and our room was ready ahead of schedule and luckily we were able 
to check in earlier than usual. That was great after an early morning 
flight!Read moreDate of stay: March 2019HelpfulShare")</f>
        <v>Wonderful Waterloo!Great hotel with a choice of supersize rooms, offering added space and 
comfort for our one night stay. The room was very clean and comfortable, 
amply equipped and perfect for a city break! The hotel is in a Great 
location, close to Waterloo Station and public transport! The staff were 
helpful, and our room was ready ahead of schedule and luckily we were able 
to check in earlier than usual. That was great after an early morning 
flight!Read moreDate of stay: March 2019HelpfulShare</v>
      </c>
      <c r="O102" s="21"/>
      <c r="P102" s="21" t="str">
        <f ca="1">IFERROR(__xludf.DUMMYFUNCTION("IMPORTXML(C102, $P$1)"),"Frengoesto_- wrote a review Apr 2019Puglia, Italy86 contributions22 helpful 
votes")</f>
        <v>Frengoesto_- wrote a review Apr 2019Puglia, Italy86 contributions22 helpful 
votes</v>
      </c>
      <c r="Q102" s="4" t="str">
        <f ca="1">IFERROR(__xludf.DUMMYFUNCTION("""COMPUTED_VALUE"""),"With the familyI have already stayed there. This time we were in three and booked a a 
family room. All was good also in this case. My child did not pay for the 
breakfast since we take two light (continental) menu. If you like walking, 
you can reach Tra"&amp;"falgar Square, Piccadilly circus and Leicester Sq. We will 
return again.Read moreDate of stay: March 2019HelpfulShare")</f>
        <v>With the familyI have already stayed there. This time we were in three and booked a a 
family room. All was good also in this case. My child did not pay for the 
breakfast since we take two light (continental) menu. If you like walking, 
you can reach Trafalgar Square, Piccadilly circus and Leicester Sq. We will 
return again.Read moreDate of stay: March 2019HelpfulShare</v>
      </c>
      <c r="U102" s="4" t="str">
        <f ca="1">IFERROR(__xludf.DUMMYFUNCTION("IMPORTXML(C103,$U$1)"),"Loading...")</f>
        <v>Loading...</v>
      </c>
    </row>
    <row r="103" spans="1:21" ht="15">
      <c r="A103" s="5" t="s">
        <v>7978</v>
      </c>
      <c r="B103" s="17" t="s">
        <v>126</v>
      </c>
      <c r="C103" s="23" t="str">
        <f t="shared" si="0"/>
        <v>https://www.tripadvisor.co.uk/Hotel_Review-g186338-d1812157-Reviews-or505-Travelodge_London_Waterloo_Hotel-London_England.html#REVIEWS</v>
      </c>
      <c r="D103" s="4" t="str">
        <f ca="1">IFERROR(__xludf.DUMMYFUNCTION("IMPORTXML(C103,$D$1)"),"#N/A")</f>
        <v>#N/A</v>
      </c>
      <c r="G103" s="24" t="str">
        <f ca="1">IFERROR(__xludf.DUMMYFUNCTION("IMPORTXML(C103, $G$1)"),"alexN5841OE wrote a review Apr 2019London, United Kingdom2 contributions")</f>
        <v>alexN5841OE wrote a review Apr 2019London, United Kingdom2 contributions</v>
      </c>
      <c r="H103" s="4" t="str">
        <f ca="1">IFERROR(__xludf.DUMMYFUNCTION("""COMPUTED_VALUE"""),"Good standard hotel in a great location, good valueTube, rail, buses a few minutes walk away. South Bank / London Eye etc 
within walking distance as is Covent Garden / West End, over Waterloo 
Bridge with best views in London from the bridge. Comfortable"&amp;" and clean 
rooms, wi-fi good, staff excellent- friendly and helpful. We were also very 
pleased with breakfast and evening meals- much better than we expected. 
Lots of amenities on the doorstep and plenty of other places for coffee / 
food as well as th"&amp;"e hotel. We liked that the hotel was very straightforward 
and relaxed. We will definitely be back.Read moreDate of stay: April 
2019HelpfulShare")</f>
        <v>Good standard hotel in a great location, good valueTube, rail, buses a few minutes walk away. South Bank / London Eye etc 
within walking distance as is Covent Garden / West End, over Waterloo 
Bridge with best views in London from the bridge. Comfortable and clean 
rooms, wi-fi good, staff excellent- friendly and helpful. We were also very 
pleased with breakfast and evening meals- much better than we expected. 
Lots of amenities on the doorstep and plenty of other places for coffee / 
food as well as the hotel. We liked that the hotel was very straightforward 
and relaxed. We will definitely be back.Read moreDate of stay: April 
2019HelpfulShare</v>
      </c>
      <c r="I103" s="21"/>
      <c r="J103" s="21" t="str">
        <f ca="1">IFERROR(__xludf.DUMMYFUNCTION("IMPORTXML(C103, $J$1)"),"Daydream15175462580 wrote a review Apr 2019El Sobrante, California1 
contribution")</f>
        <v>Daydream15175462580 wrote a review Apr 2019El Sobrante, California1 
contribution</v>
      </c>
      <c r="K103" s="4" t="str">
        <f ca="1">IFERROR(__xludf.DUMMYFUNCTION("""COMPUTED_VALUE"""),"An Excellent Place to StayWe thoroughly enjoyed our stay. The hotel is centrally located and near 
Waterloo Tube Station, and bus service to all areas. The room was well 
maintained and clean. The front desk help were quick to meet our needs. 
They were a"&amp;"lso knowledgeable about how to make travel connections in the 
are. We went for the full breakfast plan and didn't regret it. WiFi service 
was a bit cranky but we made do.Read moreReview collected in partnership 
with this hotelDate of stay: March 2019He"&amp;"lpfulShare")</f>
        <v>An Excellent Place to StayWe thoroughly enjoyed our stay. The hotel is centrally located and near 
Waterloo Tube Station, and bus service to all areas. The room was well 
maintained and clean. The front desk help were quick to meet our needs. 
They were also knowledgeable about how to make travel connections in the 
are. We went for the full breakfast plan and didn't regret it. WiFi service 
was a bit cranky but we made do.Read moreReview collected in partnership 
with this hotelDate of stay: March 2019HelpfulShare</v>
      </c>
      <c r="L103" s="21"/>
      <c r="M103" s="21" t="str">
        <f ca="1">IFERROR(__xludf.DUMMYFUNCTION("IMPORTXML(C103, $M$1)"),"Jet54186292996 wrote a review Apr 20191 contribution")</f>
        <v>Jet54186292996 wrote a review Apr 20191 contribution</v>
      </c>
      <c r="N103" s="4" t="str">
        <f ca="1">IFERROR(__xludf.DUMMYFUNCTION("""COMPUTED_VALUE"""),"Clean, fresh, amazing valueThe newish Travelodge super rooms are well worth the upgrade and if you 
like a bit more comfort/space. The bed was amazingly comfortable - as good 
as/better than Hyatt/Radisson etc etc. Helpful staff throughout and the 
hotel "&amp;"- unusually for a Travelodge - was quiet at all timesRead moreReview 
collected in partnership with TravelodgeDate of stay: March 2019HelpfulShare")</f>
        <v>Clean, fresh, amazing valueThe newish Travelodge super rooms are well worth the upgrade and if you 
like a bit more comfort/space. The bed was amazingly comfortable - as good 
as/better than Hyatt/Radisson etc etc. Helpful staff throughout and the 
hotel - unusually for a Travelodge - was quiet at all timesRead moreReview 
collected in partnership with TravelodgeDate of stay: March 2019HelpfulShare</v>
      </c>
      <c r="O103" s="21"/>
      <c r="P103" s="21" t="str">
        <f ca="1">IFERROR(__xludf.DUMMYFUNCTION("IMPORTXML(C103, $P$1)"),"Fearless30314777257 wrote a review Apr 20191 contribution")</f>
        <v>Fearless30314777257 wrote a review Apr 20191 contribution</v>
      </c>
      <c r="Q103" s="4" t="str">
        <f ca="1">IFERROR(__xludf.DUMMYFUNCTION("""COMPUTED_VALUE"""),"Weekend family LeisureLovely staff and good service like always.Perfect location in central 
london hotel was clean and well maintained we booked standard double room 
which included everything what we needed.Good Breakfast time and 
serviceRead moreRevie"&amp;"w collected in partnership with TravelodgeDate of 
stay: April 2019HelpfulShare")</f>
        <v>Weekend family LeisureLovely staff and good service like always.Perfect location in central 
london hotel was clean and well maintained we booked standard double room 
which included everything what we needed.Good Breakfast time and 
serviceRead moreReview collected in partnership with TravelodgeDate of 
stay: April 2019HelpfulShare</v>
      </c>
      <c r="U103" s="4" t="str">
        <f ca="1">IFERROR(__xludf.DUMMYFUNCTION("IMPORTXML(C104,$U$1)"),"Loading...")</f>
        <v>Loading...</v>
      </c>
    </row>
    <row r="104" spans="1:21" ht="15">
      <c r="A104" s="25" t="s">
        <v>8072</v>
      </c>
      <c r="B104" s="17" t="s">
        <v>126</v>
      </c>
      <c r="C104" s="23" t="str">
        <f t="shared" si="0"/>
        <v>https://www.tripadvisor.co.uk/Hotel_Review-g186338-d1812157-Reviews-or510-Travelodge_London_Waterloo_Hotel-London_England.html#REVIEWS</v>
      </c>
      <c r="D104" s="4" t="str">
        <f ca="1">IFERROR(__xludf.DUMMYFUNCTION("IMPORTXML(C104,$D$1)"),"Richard C wrote a review Apr 2019Cardiff, United Kingdom4 contributions3 
helpful votes")</f>
        <v>Richard C wrote a review Apr 2019Cardiff, United Kingdom4 contributions3 
helpful votes</v>
      </c>
      <c r="E104" s="4" t="str">
        <f ca="1">IFERROR(__xludf.DUMMYFUNCTION("""COMPUTED_VALUE"""),"It's an updated TravelodgeReally well located modern and updated Travelodge, just a few minutes walk 
from the Old Vic, The Cut, Waterloo Station and the South Bank. Staff were 
helpful, although it took a while to get an iron (which should have been in 
"&amp;"the room, and it was a Saturday night). Mattress as comfortable as 
Travelodge ones always are.Read moreReview collected in partnership with 
this hotelDate of stay: March 20191 Helpful voteHelpfulShare")</f>
        <v>It's an updated TravelodgeReally well located modern and updated Travelodge, just a few minutes walk 
from the Old Vic, The Cut, Waterloo Station and the South Bank. Staff were 
helpful, although it took a while to get an iron (which should have been in 
the room, and it was a Saturday night). Mattress as comfortable as 
Travelodge ones always are.Read moreReview collected in partnership with 
this hotelDate of stay: March 20191 Helpful voteHelpfulShare</v>
      </c>
      <c r="G104" s="24" t="str">
        <f ca="1">IFERROR(__xludf.DUMMYFUNCTION("IMPORTXML(C104, $G$1)"),"Miranda F wrote a review Apr 2019Lincoln, United Kingdom14 contributions5 
helpful votes")</f>
        <v>Miranda F wrote a review Apr 2019Lincoln, United Kingdom14 contributions5 
helpful votes</v>
      </c>
      <c r="H104" s="4" t="str">
        <f ca="1">IFERROR(__xludf.DUMMYFUNCTION("""COMPUTED_VALUE"""),"MMFThe room was functional and clean. Breakfast ok nothing to get too 
enthusiastic about. The meal in the evening was awful. We made a big 
mistake thinking have a meal back at the hotel after theatre due to feeling 
so tired. It was microwave meals at i"&amp;"ts worst. Most of the food I wouldn’t 
be able to tell you what it was even though there was a description on the 
menu. Food not just warm but cold. Staff all lovely feel sorry for them 
presenting it. Pleasant reception dealt with our complaint. Come on"&amp;" 
travelodge you can do better.Read moreDate of stay: April 
2019HelpfulShareResponse from TravelodgeUK, Tilly from The Social Media 
Team at Travelodge London Waterloo HotelResponded 10 Apr 2019Thank you for 
your feedback about our London Waterloo Hotel"&amp;". We're sorry to hear of your 
disappointment with the food at the hotel, however we are pleased to learn 
that were happy with your room. We will pass your comments to the hotel 
team to help improve the service that we offer and we hope to welcome you 
"&amp;"back soonRead more")</f>
        <v>MMFThe room was functional and clean. Breakfast ok nothing to get too 
enthusiastic about. The meal in the evening was awful. We made a big 
mistake thinking have a meal back at the hotel after theatre due to feeling 
so tired. It was microwave meals at its worst. Most of the food I wouldn’t 
be able to tell you what it was even though there was a description on the 
menu. Food not just warm but cold. Staff all lovely feel sorry for them 
presenting it. Pleasant reception dealt with our complaint. Come on 
travelodge you can do better.Read moreDate of stay: April 
2019HelpfulShareResponse from TravelodgeUK, Tilly from The Social Media 
Team at Travelodge London Waterloo HotelResponded 10 Apr 2019Thank you for 
your feedback about our London Waterloo Hotel. We're sorry to hear of your 
disappointment with the food at the hotel, however we are pleased to learn 
that were happy with your room. We will pass your comments to the hotel 
team to help improve the service that we offer and we hope to welcome you 
back soonRead more</v>
      </c>
      <c r="I104" s="21"/>
      <c r="J104" s="21" t="str">
        <f ca="1">IFERROR(__xludf.DUMMYFUNCTION("IMPORTXML(C104, $J$1)"),"1soprano wrote a review Apr 2019Broadstairs, United Kingdom6 contributions7 
helpful votes")</f>
        <v>1soprano wrote a review Apr 2019Broadstairs, United Kingdom6 contributions7 
helpful votes</v>
      </c>
      <c r="K104" s="4" t="str">
        <f ca="1">IFERROR(__xludf.DUMMYFUNCTION("""COMPUTED_VALUE"""),"Very disappointingOnly 2 towels and no shower mat. Had to ask twice before getting more 
towels. Only 2 teabags. Couldn’t alter room temperature. Breakfast very 
poor- uncooked tomatoes, cold mushrooms, dry bacon dry eggsRead moreReview 
collected in part"&amp;"nership with TravelodgeDate of stay: April 
2019HelpfulShareResponse from TravelodgeUK, Tilly from The Social Media 
Team at Travelodge London Waterloo HotelResponded 9 Apr 2019Thank you for 
submitting your review of our London Waterloo Hotel. We are sor"&amp;"ry to hear 
about your experience and will ensure your comments are passed to the hotel 
team to improve the service we offer. If you wish to report this to our 
customer service team please may we kindly request you contact them with 
your review via our"&amp;" website. May we thank you for sharing your experience 
and we hope you stay with us in the future.Read more")</f>
        <v>Very disappointingOnly 2 towels and no shower mat. Had to ask twice before getting more 
towels. Only 2 teabags. Couldn’t alter room temperature. Breakfast very 
poor- uncooked tomatoes, cold mushrooms, dry bacon dry eggsRead moreReview 
collected in partnership with TravelodgeDate of stay: April 
2019HelpfulShareResponse from TravelodgeUK, Tilly from The Social Media 
Team at Travelodge London Waterloo HotelResponded 9 Apr 2019Thank you for 
submitting your review of our London Waterloo Hotel. We are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v>
      </c>
      <c r="L104" s="21"/>
      <c r="M104" s="21" t="str">
        <f ca="1">IFERROR(__xludf.DUMMYFUNCTION("IMPORTXML(C104, $M$1)"),"hs2004sc wrote a review Apr 20196 contributions2 helpful votes")</f>
        <v>hs2004sc wrote a review Apr 20196 contributions2 helpful votes</v>
      </c>
      <c r="N104" s="4" t="str">
        <f ca="1">IFERROR(__xludf.DUMMYFUNCTION("""COMPUTED_VALUE"""),"Good value option for central LondonAs an alternative to Covent garden travelodge this is proving to be a good 
location to central London - about 15 mins walk from hotel to strand 
theaters. note its a bit of a open walk so not much shelter if raining. 
"&amp;"Often cheaper than the other central London its provides good location 
without need for tube travel if going to the theatres/central London area. 
Hotel was clean and welcoming staff and have found to be quiet on both 
ground and top floor rooms.Read mor"&amp;"eReview collected in partnership with 
TravelodgeDate of stay: April 2019HelpfulShare")</f>
        <v>Good value option for central LondonAs an alternative to Covent garden travelodge this is proving to be a good 
location to central London - about 15 mins walk from hotel to strand 
theaters. note its a bit of a open walk so not much shelter if raining. 
Often cheaper than the other central London its provides good location 
without need for tube travel if going to the theatres/central London area. 
Hotel was clean and welcoming staff and have found to be quiet on both 
ground and top floor rooms.Read moreReview collected in partnership with 
TravelodgeDate of stay: April 2019HelpfulShare</v>
      </c>
      <c r="O104" s="21"/>
      <c r="P104" s="21" t="str">
        <f ca="1">IFERROR(__xludf.DUMMYFUNCTION("IMPORTXML(C104, $P$1)"),"Maps05349981225 wrote a review Apr 20191 contribution")</f>
        <v>Maps05349981225 wrote a review Apr 20191 contribution</v>
      </c>
      <c r="Q104" s="4" t="str">
        <f ca="1">IFERROR(__xludf.DUMMYFUNCTION("""COMPUTED_VALUE"""),"Extremely comfortableI chose a 'super room' for a one night stay and it was worth it. The shower 
was amazing, I slept well and the coffee machine was a great upgrade. The 
room was a good size and everything was clean. I recommend upgrading!Read 
moreRev"&amp;"iew collected in partnership with TravelodgeDate of stay: April 
2019HelpfulShare")</f>
        <v>Extremely comfortableI chose a 'super room' for a one night stay and it was worth it. The shower 
was amazing, I slept well and the coffee machine was a great upgrade. The 
room was a good size and everything was clean. I recommend upgrading!Read 
moreReview collected in partnership with TravelodgeDate of stay: April 
2019HelpfulShare</v>
      </c>
      <c r="U104" s="4" t="str">
        <f ca="1">IFERROR(__xludf.DUMMYFUNCTION("IMPORTXML(C105,$U$1)"),"Loading...")</f>
        <v>Loading...</v>
      </c>
    </row>
    <row r="105" spans="1:21" ht="15">
      <c r="A105" s="25" t="s">
        <v>8190</v>
      </c>
      <c r="B105" s="17" t="s">
        <v>126</v>
      </c>
      <c r="C105" s="23" t="str">
        <f t="shared" si="0"/>
        <v>https://www.tripadvisor.co.uk/Hotel_Review-g186338-d1812157-Reviews-or515-Travelodge_London_Waterloo_Hotel-London_England.html#REVIEWS</v>
      </c>
      <c r="D105" s="4" t="str">
        <f ca="1">IFERROR(__xludf.DUMMYFUNCTION("IMPORTXML(C105,$D$1)"),"#N/A")</f>
        <v>#N/A</v>
      </c>
      <c r="G105" s="24" t="str">
        <f ca="1">IFERROR(__xludf.DUMMYFUNCTION("IMPORTXML(C105, $G$1)"),"Caroline D wrote a review Apr 2019Bradford, United Kingdom19 contributions8 
helpful votes")</f>
        <v>Caroline D wrote a review Apr 2019Bradford, United Kingdom19 contributions8 
helpful votes</v>
      </c>
      <c r="H105" s="4" t="str">
        <f ca="1">IFERROR(__xludf.DUMMYFUNCTION("""COMPUTED_VALUE"""),"Well worth a tryI stay at the Travelodge Waterloo for work usually every couple of months. 
I try and book a superoom if I can get it within our budget, these rooms 
have hairdryers, iron and ironingboards- really handy if you need to be 
smart for work. "&amp;"The rooms are generally ok, the last time I did need to ask 
if they could vacuum the room as I found contact lenses on the floor by the 
bed from the last customer-yuk. They did this and apologised. The beds are 
not too bad, make sure if you are staying"&amp;" for more than one night you put 
the note on the door to advise you would like your room to be ‘freshened 
up’ or they won’t bother at all and you won’t get new towels or anything at 
all done in the room. The breakfast is good, a decent choice and all n"&amp;"ice 
and hot and there is always staff…Read moreDate of stay: January 
2019HelpfulShare")</f>
        <v>Well worth a tryI stay at the Travelodge Waterloo for work usually every couple of months. 
I try and book a superoom if I can get it within our budget, these rooms 
have hairdryers, iron and ironingboards- really handy if you need to be 
smart for work. The rooms are generally ok, the last time I did need to ask 
if they could vacuum the room as I found contact lenses on the floor by the 
bed from the last customer-yuk. They did this and apologised. The beds are 
not too bad, make sure if you are staying for more than one night you put 
the note on the door to advise you would like your room to be ‘freshened 
up’ or they won’t bother at all and you won’t get new towels or anything at 
all done in the room. The breakfast is good, a decent choice and all nice 
and hot and there is always staff…Read moreDate of stay: January 
2019HelpfulShare</v>
      </c>
      <c r="I105" s="21"/>
      <c r="J105" s="21" t="str">
        <f ca="1">IFERROR(__xludf.DUMMYFUNCTION("IMPORTXML(C105, $J$1)"),"Excursion58797739592 wrote a review Apr 20191 contribution")</f>
        <v>Excursion58797739592 wrote a review Apr 20191 contribution</v>
      </c>
      <c r="K105" s="4" t="str">
        <f ca="1">IFERROR(__xludf.DUMMYFUNCTION("""COMPUTED_VALUE"""),"GREAT VALUE FOR MONEYIf booked early enough good value for money on a central London Hotel. 
Spacious room, large comfortable bed &amp; great shower though think we were 
given a free upgrade.Good central location - approx 10 mins walk from 
WaterlooRead more"&amp;"Review collected in partnership with TravelodgeDate of 
stay: April 2019HelpfulShare")</f>
        <v>GREAT VALUE FOR MONEYIf booked early enough good value for money on a central London Hotel. 
Spacious room, large comfortable bed &amp; great shower though think we were 
given a free upgrade.Good central location - approx 10 mins walk from 
WaterlooRead moreReview collected in partnership with TravelodgeDate of 
stay: April 2019HelpfulShare</v>
      </c>
      <c r="L105" s="21"/>
      <c r="M105" s="21" t="str">
        <f ca="1">IFERROR(__xludf.DUMMYFUNCTION("IMPORTXML(C105, $M$1)"),"Barron wrote a review Apr 2019Bournemouth121 contributions150 helpful votes")</f>
        <v>Barron wrote a review Apr 2019Bournemouth121 contributions150 helpful votes</v>
      </c>
      <c r="N105" s="4" t="str">
        <f ca="1">IFERROR(__xludf.DUMMYFUNCTION("""COMPUTED_VALUE"""),"Lovely room ....butI was given room 846 which was great as it was on the corner and therefore 
really large with a huge window. It was facing the main road, but with good 
double glazing and being high it was perfectly quiet. The room was also 
clean, mod"&amp;"ern and comfortable.The 'but' is that it was cold as the 
heater/air conditioning wasn't working properly and even though I had it 
set at 23°C it blew out only cold air, so not as good as it should have 
been.Read moreDate of stay: April 2019HelpfulShare")</f>
        <v>Lovely room ....butI was given room 846 which was great as it was on the corner and therefore 
really large with a huge window. It was facing the main road, but with good 
double glazing and being high it was perfectly quiet. The room was also 
clean, modern and comfortable.The 'but' is that it was cold as the 
heater/air conditioning wasn't working properly and even though I had it 
set at 23°C it blew out only cold air, so not as good as it should have 
been.Read moreDate of stay: April 2019HelpfulShare</v>
      </c>
      <c r="O105" s="21"/>
      <c r="P105" s="21" t="str">
        <f ca="1">IFERROR(__xludf.DUMMYFUNCTION("IMPORTXML(C105, $P$1)"),"maggimay75 wrote a review Apr 2019Maesteg, United Kingdom118 
contributions29 helpful votes")</f>
        <v>maggimay75 wrote a review Apr 2019Maesteg, United Kingdom118 
contributions29 helpful votes</v>
      </c>
      <c r="Q105" s="4" t="str">
        <f ca="1">IFERROR(__xludf.DUMMYFUNCTION("""COMPUTED_VALUE"""),"Lovely StayVery easy to get to the hotel minutes walk from the Waterloo Station and 
Underground Lovely clean rooms beds comfy Staff friendly Unlimited 
Breakfast Would choose again Plenty if bars and eateries around or good 
choice for a meal at the hote"&amp;"lRead moreDate of stay: March 2019HelpfulShare")</f>
        <v>Lovely StayVery easy to get to the hotel minutes walk from the Waterloo Station and 
Underground Lovely clean rooms beds comfy Staff friendly Unlimited 
Breakfast Would choose again Plenty if bars and eateries around or good 
choice for a meal at the hotelRead moreDate of stay: March 2019HelpfulShare</v>
      </c>
      <c r="U105" s="4" t="str">
        <f ca="1">IFERROR(__xludf.DUMMYFUNCTION("IMPORTXML(C106,$U$1)"),"Loading...")</f>
        <v>Loading...</v>
      </c>
    </row>
    <row r="106" spans="1:21" ht="15">
      <c r="A106" s="25" t="s">
        <v>8295</v>
      </c>
      <c r="B106" s="17" t="s">
        <v>126</v>
      </c>
      <c r="C106" s="23" t="str">
        <f t="shared" si="0"/>
        <v>https://www.tripadvisor.co.uk/Hotel_Review-g186338-d1812157-Reviews-or520-Travelodge_London_Waterloo_Hotel-London_England.html#REVIEWS</v>
      </c>
      <c r="D106" s="4" t="str">
        <f ca="1">IFERROR(__xludf.DUMMYFUNCTION("IMPORTXML(C106,$D$1)"),"iallen253 wrote a review Apr 2019Cornwall, United Kingdom6 contributions2 
helpful votes")</f>
        <v>iallen253 wrote a review Apr 2019Cornwall, United Kingdom6 contributions2 
helpful votes</v>
      </c>
      <c r="E106" s="4" t="str">
        <f ca="1">IFERROR(__xludf.DUMMYFUNCTION("""COMPUTED_VALUE"""),"Another trip up to LondonHave made the long journey to London for another visit to a hospital. Was 
feeling uneasy after our last experience with a Travelodge (Kings Cross). 
So when we entered Travelodge Waterloo what a wonderful surprise!!!! Room 
brigh"&amp;"t, spacious and immaculate. Staff looked happy and pleased to be 
there, so helpful. Breakfast was tasty and plentiful. Would have no 
hesitation choosing this hotel again. Maybe other Travelodges that are not 
up to scratch should visit the Travelodge Wa"&amp;"terloo to see how to do it 
right........Read moreDate of stay: April 20192 Helpful votesHelpfulShare")</f>
        <v>Another trip up to LondonHave made the long journey to London for another visit to a hospital. Was 
feeling uneasy after our last experience with a Travelodge (Kings Cross). 
So when we entered Travelodge Waterloo what a wonderful surprise!!!! Room 
bright, spacious and immaculate. Staff looked happy and pleased to be 
there, so helpful. Breakfast was tasty and plentiful. Would have no 
hesitation choosing this hotel again. Maybe other Travelodges that are not 
up to scratch should visit the Travelodge Waterloo to see how to do it 
right........Read moreDate of stay: April 20192 Helpful votesHelpfulShare</v>
      </c>
      <c r="G106" s="24" t="str">
        <f ca="1">IFERROR(__xludf.DUMMYFUNCTION("IMPORTXML(C106, $G$1)"),"Rocket8047 wrote a review Apr 2019Exeter12 contributions1 helpful vote")</f>
        <v>Rocket8047 wrote a review Apr 2019Exeter12 contributions1 helpful vote</v>
      </c>
      <c r="H106" s="4" t="str">
        <f ca="1">IFERROR(__xludf.DUMMYFUNCTION("""COMPUTED_VALUE"""),"Clean comfy good locationGreat location just a short walk from Waterloo station,rooms was clean and 
beds really comfy..plenty of bars and eateries nearby but hotel still very 
quiet and as right by Waterloo station easy to get to anywhere you want to 
go"&amp;" or there is a bus stop right outsideRead moreReview collected in 
partnership with TravelodgeDate of stay: March 2019HelpfulShare")</f>
        <v>Clean comfy good locationGreat location just a short walk from Waterloo station,rooms was clean and 
beds really comfy..plenty of bars and eateries nearby but hotel still very 
quiet and as right by Waterloo station easy to get to anywhere you want to 
go or there is a bus stop right outsideRead moreReview collected in 
partnership with TravelodgeDate of stay: March 2019HelpfulShare</v>
      </c>
      <c r="I106" s="21"/>
      <c r="J106" s="21" t="str">
        <f ca="1">IFERROR(__xludf.DUMMYFUNCTION("IMPORTXML(C106, $J$1)"),"#N/A")</f>
        <v>#N/A</v>
      </c>
      <c r="L106" s="21"/>
      <c r="M106" s="21" t="str">
        <f ca="1">IFERROR(__xludf.DUMMYFUNCTION("IMPORTXML(C106, $M$1)"),"#N/A")</f>
        <v>#N/A</v>
      </c>
      <c r="O106" s="21"/>
      <c r="P106" s="21" t="str">
        <f ca="1">IFERROR(__xludf.DUMMYFUNCTION("IMPORTXML(C106, $P$1)"),"davidg0rman wrote a review Mar 2019Alicante, Spain5 contributions")</f>
        <v>davidg0rman wrote a review Mar 2019Alicante, Spain5 contributions</v>
      </c>
      <c r="Q106" s="4" t="str">
        <f ca="1">IFERROR(__xludf.DUMMYFUNCTION("""COMPUTED_VALUE"""),"UnacceptableHotel stay was booked with dinner included. Arrived for dinner at 8PM and 
was told there was a 90 minute wait as party booked in. Manager explained 
as it was written on chalk board that restaurant may be busy after 7PM it 
wasn't her fault. "&amp;"Atrocious! Did get refund for inclusive dinner but then 
had to find somewhere for dinner. Will never stay here again and would 
think twice about staying at a Travelodge againRead moreDate of stay: March 
2019HelpfulShareResponse from TravelodgeUK, Ben f"&amp;"rom the Social Media Team 
at Travelodge London Waterloo HotelResponded 28 Mar 2019Thank you for 
taking the time to write a review. We wish for our customers to enjoy their 
experience in our bar café so we are sorry to hear that you were not 
positively"&amp;" impressed by your last stay in our London Waterloo hotel. We aim 
to provide a high level of service from our staff in our bar cafes and we 
do apologise that you did not feel this was provided on this occasion. We 
will make the most of your comments to"&amp;" continue improving the service we 
offer and we hope to welcome you again in the near future.Read more")</f>
        <v>UnacceptableHotel stay was booked with dinner included. Arrived for dinner at 8PM and 
was told there was a 90 minute wait as party booked in. Manager explained 
as it was written on chalk board that restaurant may be busy after 7PM it 
wasn't her fault. Atrocious! Did get refund for inclusive dinner but then 
had to find somewhere for dinner. Will never stay here again and would 
think twice about staying at a Travelodge againRead moreDate of stay: March 
2019HelpfulShareResponse from TravelodgeUK, Ben from the Social Media Team 
at Travelodge London Waterloo HotelResponded 28 Mar 2019Thank you for 
taking the time to write a review. We wish for our customers to enjoy their 
experience in our bar café so we are sorry to hear that you were not 
positively impressed by your last stay in our London Waterloo hotel. We aim 
to provide a high level of service from our staff in our bar cafes and we 
do apologise that you did not feel this was provided on this occasion. We 
will make the most of your comments to continue improving the service we 
offer and we hope to welcome you again in the near future.Read more</v>
      </c>
      <c r="U106" s="4" t="str">
        <f ca="1">IFERROR(__xludf.DUMMYFUNCTION("IMPORTXML(C107,$U$1)"),"Loading...")</f>
        <v>Loading...</v>
      </c>
    </row>
    <row r="107" spans="1:21" ht="15">
      <c r="A107" s="5" t="s">
        <v>8392</v>
      </c>
      <c r="B107" s="17" t="s">
        <v>126</v>
      </c>
      <c r="C107" s="23" t="str">
        <f t="shared" si="0"/>
        <v>https://www.tripadvisor.co.uk/Hotel_Review-g186338-d1812157-Reviews-or525-Travelodge_London_Waterloo_Hotel-London_England.html#REVIEWS</v>
      </c>
      <c r="D107" s="4" t="str">
        <f ca="1">IFERROR(__xludf.DUMMYFUNCTION("IMPORTXML(C107,$D$1)"),"Amy P wrote a review Mar 2019Manchester, United Kingdom131 contributions69 
helpful votes")</f>
        <v>Amy P wrote a review Mar 2019Manchester, United Kingdom131 contributions69 
helpful votes</v>
      </c>
      <c r="E107" s="4" t="str">
        <f ca="1">IFERROR(__xludf.DUMMYFUNCTION("""COMPUTED_VALUE"""),"Great location and roomChose this hotel as was near Waterloo station. Check in was a little slow 
but we were upgraded to a super room. The room was really nice, spacious 
and we slept really well. We were also able to store our luggage for free 
at the h"&amp;"otel.Read moreDate of stay: March 20191 Helpful 
voteHelpfulShareResponse from TravelodgeUK, James from the Social Media 
Team at Travelodge London Waterloo HotelResponded 25 Mar 2019Thank you for 
reviewing our Travelodge London Waterloo Hotel. We are ve"&amp;"ry happy to hear 
that you enjoyed this stay with us although we do apologise that the check 
in process took a while longer than you expected. Please rest assured that 
the hotel's management team do check up on reviews of their hotels so your 
comments "&amp;"have been passed on. Once again we'd like to thank you for leaving 
this lovely review and we do hope that you stay with us again!Read more")</f>
        <v>Great location and roomChose this hotel as was near Waterloo station. Check in was a little slow 
but we were upgraded to a super room. The room was really nice, spacious 
and we slept really well. We were also able to store our luggage for free 
at the hotel.Read moreDate of stay: March 20191 Helpful 
voteHelpfulShareResponse from TravelodgeUK, James from the Social Media 
Team at Travelodge London Waterloo HotelResponded 25 Mar 2019Thank you for 
reviewing our Travelodge London Waterloo Hotel. We are very happy to hear 
that you enjoyed this stay with us although we do apologise that the check 
in process took a while longer than you expected. Please rest assured that 
the hotel's management team do check up on reviews of their hotels so your 
comments have been passed on. Once again we'd like to thank you for leaving 
this lovely review and we do hope that you stay with us again!Read more</v>
      </c>
      <c r="G107" s="24" t="str">
        <f ca="1">IFERROR(__xludf.DUMMYFUNCTION("IMPORTXML(C107, $G$1)"),"#N/A")</f>
        <v>#N/A</v>
      </c>
      <c r="I107" s="21"/>
      <c r="J107" s="21" t="str">
        <f ca="1">IFERROR(__xludf.DUMMYFUNCTION("IMPORTXML(C107, $J$1)"),"MrP0007 wrote a review Mar 20193 contributions3 helpful votes")</f>
        <v>MrP0007 wrote a review Mar 20193 contributions3 helpful votes</v>
      </c>
      <c r="K107" s="4" t="str">
        <f ca="1">IFERROR(__xludf.DUMMYFUNCTION("""COMPUTED_VALUE"""),"Weekend awayGreat value place to stay. Check it was very smooth very attentive staff 
room was very clean. Excellent location for central London and southbank. 
We have been here many times and always been greeted with excellent service 
special mention t"&amp;"o Marcio on the bar who takes great pride in his work and 
Humayra always great customer service. We will definitely be back again 
soon.Read moreDate of stay: March 20191 Helpful voteHelpfulShare")</f>
        <v>Weekend awayGreat value place to stay. Check it was very smooth very attentive staff 
room was very clean. Excellent location for central London and southbank. 
We have been here many times and always been greeted with excellent service 
special mention to Marcio on the bar who takes great pride in his work and 
Humayra always great customer service. We will definitely be back again 
soon.Read moreDate of stay: March 20191 Helpful voteHelpfulShare</v>
      </c>
      <c r="L107" s="21"/>
      <c r="M107" s="21" t="str">
        <f ca="1">IFERROR(__xludf.DUMMYFUNCTION("IMPORTXML(C107, $M$1)"),"Scenic607502 wrote a review Mar 2019Winchester, United Kingdom28 
contributions3 helpful votes")</f>
        <v>Scenic607502 wrote a review Mar 2019Winchester, United Kingdom28 
contributions3 helpful votes</v>
      </c>
      <c r="N107" s="4" t="str">
        <f ca="1">IFERROR(__xludf.DUMMYFUNCTION("""COMPUTED_VALUE"""),"A night away shoppingExcellent service in hotel. We were even upgraded! Coffee machine in rooms 
and KitKats which were a nice touch. Only negative was the lift didn’t work 
but the staff were friendly fly and helpful. Would definitely return 
Breakfast w"&amp;"as really good lots of choiceRead moreDate of stay: March 20191 
Helpful voteHelpfulShare")</f>
        <v>A night away shoppingExcellent service in hotel. We were even upgraded! Coffee machine in rooms 
and KitKats which were a nice touch. Only negative was the lift didn’t work 
but the staff were friendly fly and helpful. Would definitely return 
Breakfast was really good lots of choiceRead moreDate of stay: March 20191 
Helpful voteHelpfulShare</v>
      </c>
      <c r="O107" s="21"/>
      <c r="P107" s="21" t="str">
        <f ca="1">IFERROR(__xludf.DUMMYFUNCTION("IMPORTXML(C107, $P$1)"),"sanfihelem wrote a review Mar 201915 contributions13 helpful votes")</f>
        <v>sanfihelem wrote a review Mar 201915 contributions13 helpful votes</v>
      </c>
      <c r="Q107" s="4" t="str">
        <f ca="1">IFERROR(__xludf.DUMMYFUNCTION("""COMPUTED_VALUE"""),"Theatre trip to LondonGreat location. 30 minute walk to the river. Very central. Nice clean 
rooms. Lovely shower. Good breakfast choices although the breakfast could 
have been warmer . Reasonable bar prices. Happy hour drinks are a good 
price.Read more"&amp;"Review collected in partnership with TravelodgeDate of stay: 
March 2019HelpfulShare")</f>
        <v>Theatre trip to LondonGreat location. 30 minute walk to the river. Very central. Nice clean 
rooms. Lovely shower. Good breakfast choices although the breakfast could 
have been warmer . Reasonable bar prices. Happy hour drinks are a good 
price.Read moreReview collected in partnership with TravelodgeDate of stay: 
March 2019HelpfulShare</v>
      </c>
      <c r="U107" s="4" t="str">
        <f ca="1">IFERROR(__xludf.DUMMYFUNCTION("IMPORTXML(C108,$U$1)"),"Loading...")</f>
        <v>Loading...</v>
      </c>
    </row>
    <row r="108" spans="1:21" ht="15">
      <c r="A108" s="25" t="s">
        <v>8497</v>
      </c>
      <c r="B108" s="17" t="s">
        <v>126</v>
      </c>
      <c r="C108" s="23" t="str">
        <f t="shared" si="0"/>
        <v>https://www.tripadvisor.co.uk/Hotel_Review-g186338-d1812157-Reviews-or530-Travelodge_London_Waterloo_Hotel-London_England.html#REVIEWS</v>
      </c>
      <c r="D108" s="4" t="str">
        <f ca="1">IFERROR(__xludf.DUMMYFUNCTION("IMPORTXML(C108,$D$1)"),"JohnKay2017 wrote a review Mar 2019Havant, United Kingdom14 contributions3 
helpful votes")</f>
        <v>JohnKay2017 wrote a review Mar 2019Havant, United Kingdom14 contributions3 
helpful votes</v>
      </c>
      <c r="E108" s="4" t="str">
        <f ca="1">IFERROR(__xludf.DUMMYFUNCTION("""COMPUTED_VALUE"""),"A very Good Locationa very short stay, though we have stayed before. Inexpensive and perfect 
for our needs. Staff always friendly and efficient. Last time I stayed in a 
super-room and was impressed by usb points around the room but this 
standard room h"&amp;"ad them too. 5 minutes walk from Waterloo makes it easy to 
get to and luggage storage made it possible to use the day we checked out 
for extending our time in London. Staff as always were great and the room 
was clean and good value. These hotels are al"&amp;"ways quiet for some reason. I 
have paid much more elsewhere and had noise disturbance. Great night's 
sleep.Read moreReview collected in partnership with TravelodgeDate of stay: 
March 2019HelpfulShare")</f>
        <v>A very Good Locationa very short stay, though we have stayed before. Inexpensive and perfect 
for our needs. Staff always friendly and efficient. Last time I stayed in a 
super-room and was impressed by usb points around the room but this 
standard room had them too. 5 minutes walk from Waterloo makes it easy to 
get to and luggage storage made it possible to use the day we checked out 
for extending our time in London. Staff as always were great and the room 
was clean and good value. These hotels are always quiet for some reason. I 
have paid much more elsewhere and had noise disturbance. Great night's 
sleep.Read moreReview collected in partnership with TravelodgeDate of stay: 
March 2019HelpfulShare</v>
      </c>
      <c r="G108" s="24" t="str">
        <f ca="1">IFERROR(__xludf.DUMMYFUNCTION("IMPORTXML(C108, $G$1)"),"Safari09185160454 wrote a review Mar 20191 contribution")</f>
        <v>Safari09185160454 wrote a review Mar 20191 contribution</v>
      </c>
      <c r="H108" s="4" t="str">
        <f ca="1">IFERROR(__xludf.DUMMYFUNCTION("""COMPUTED_VALUE"""),"AwfulMy stay was ruined by an awful sewage-like smell emanating from the 
bathroom, a frequent buzzing/ vibrating sound coming from above the 
headrest, a gurgling air conditioning unit (whether turned on or off) and 
an unbearably hot room that not even "&amp;"an open window could rectify - my stay 
was in March and it was close to freezing outside. I was then offered a 
full refund upon my departure, only to later find out I had only been 
issued a 50% refund.Read moreReview collected in partnership with 
Trav"&amp;"elodgeDate of stay: March 2019HelpfulShareResponse from TravelodgeUK, 
Shaf from the Social Media Team. at Travelodge London Waterloo 
HotelResponded 19 Mar 2019Thank you for submitting your review of our 
London Waterloo Travelodge. We're so sorry to hea"&amp;"r about your recent 
experience and would like to hear more about your stay. May we kindly 
request you contact us via our website with your review so our customer 
service team can investigate your visit with the hotel. Thank you again for 
posting your "&amp;"comments and we hope to hear from you soon.Read more")</f>
        <v>AwfulMy stay was ruined by an awful sewage-like smell emanating from the 
bathroom, a frequent buzzing/ vibrating sound coming from above the 
headrest, a gurgling air conditioning unit (whether turned on or off) and 
an unbearably hot room that not even an open window could rectify - my stay 
was in March and it was close to freezing outside. I was then offered a 
full refund upon my departure, only to later find out I had only been 
issued a 50% refund.Read moreReview collected in partnership with 
TravelodgeDate of stay: March 2019HelpfulShareResponse from TravelodgeUK, 
Shaf from the Social Media Team. at Travelodge London Waterloo 
HotelResponded 19 Mar 2019Thank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v>
      </c>
      <c r="I108" s="21"/>
      <c r="J108" s="21" t="str">
        <f ca="1">IFERROR(__xludf.DUMMYFUNCTION("IMPORTXML(C108, $J$1)"),"MrsBaum wrote a review Mar 2019Leeds, United Kingdom706 contributions240 
helpful votes")</f>
        <v>MrsBaum wrote a review Mar 2019Leeds, United Kingdom706 contributions240 
helpful votes</v>
      </c>
      <c r="K108" s="4" t="str">
        <f ca="1">IFERROR(__xludf.DUMMYFUNCTION("""COMPUTED_VALUE"""),"Convenient LocationEasy to find from the tube station on the Junilee line which is what I 
wanted as was n London for event at the o2. GBK and Tesco 
Express/Sainsbury’s within short walk. Still hate the £10 early check in 
fee, 14 people all waited until"&amp;" 2 to check in, either rooms are ready or 
they aren’t... Will stay again for location if at another o2 eventRead 
moreReview collected in partnership with TravelodgeDate of stay: March 
20191 Helpful voteHelpfulShare")</f>
        <v>Convenient LocationEasy to find from the tube station on the Junilee line which is what I 
wanted as was n London for event at the o2. GBK and Tesco 
Express/Sainsbury’s within short walk. Still hate the £10 early check in 
fee, 14 people all waited until 2 to check in, either rooms are ready or 
they aren’t... Will stay again for location if at another o2 eventRead 
moreReview collected in partnership with TravelodgeDate of stay: March 
20191 Helpful voteHelpfulShare</v>
      </c>
      <c r="L108" s="21"/>
      <c r="M108" s="21" t="str">
        <f ca="1">IFERROR(__xludf.DUMMYFUNCTION("IMPORTXML(C108, $M$1)"),"GrandTour33105419155 wrote a review Mar 20191 contribution")</f>
        <v>GrandTour33105419155 wrote a review Mar 20191 contribution</v>
      </c>
      <c r="N108" s="4" t="str">
        <f ca="1">IFERROR(__xludf.DUMMYFUNCTION("""COMPUTED_VALUE"""),"Top Marks!The service in this hotel is suitable for the Queen. We had breakfast and 
dinner on two occasions during our stay, every meal was cooked to 
perfection. All staff members couldn't do enough for us. Thank you for the 
lovely break.Read moreRevie"&amp;"w collected in partnership with TravelodgeDate 
of stay: March 2019HelpfulShare")</f>
        <v>Top Marks!The service in this hotel is suitable for the Queen. We had breakfast and 
dinner on two occasions during our stay, every meal was cooked to 
perfection. All staff members couldn't do enough for us. Thank you for the 
lovely break.Read moreReview collected in partnership with TravelodgeDate 
of stay: March 2019HelpfulShare</v>
      </c>
      <c r="O108" s="21"/>
      <c r="P108" s="21" t="str">
        <f ca="1">IFERROR(__xludf.DUMMYFUNCTION("IMPORTXML(C108, $P$1)"),"Odyssey09976326773 wrote a review Mar 20191 contribution")</f>
        <v>Odyssey09976326773 wrote a review Mar 20191 contribution</v>
      </c>
      <c r="Q108" s="4" t="str">
        <f ca="1">IFERROR(__xludf.DUMMYFUNCTION("""COMPUTED_VALUE"""),"An enjoyable 2 night stayAll aspects of what one might expect were satisfied on our 2 night stay. 
Excellent food and service both at breakfast and evening meals Friendly, 
helpful staff. Clean and comfortable. A well managed hotel.Read moreReview 
collec"&amp;"ted in partnership with TravelodgeDate of stay: March 2019HelpfulShare")</f>
        <v>An enjoyable 2 night stayAll aspects of what one might expect were satisfied on our 2 night stay. 
Excellent food and service both at breakfast and evening meals Friendly, 
helpful staff. Clean and comfortable. A well managed hotel.Read moreReview 
collected in partnership with TravelodgeDate of stay: March 2019HelpfulShare</v>
      </c>
      <c r="U108" s="4" t="str">
        <f ca="1">IFERROR(__xludf.DUMMYFUNCTION("IMPORTXML(C109,$U$1)"),"Loading...")</f>
        <v>Loading...</v>
      </c>
    </row>
    <row r="109" spans="1:21" ht="15">
      <c r="A109" s="25" t="s">
        <v>8615</v>
      </c>
      <c r="B109" s="17" t="s">
        <v>126</v>
      </c>
      <c r="C109" s="23" t="str">
        <f t="shared" si="0"/>
        <v>https://www.tripadvisor.co.uk/Hotel_Review-g186338-d1812157-Reviews-or535-Travelodge_London_Waterloo_Hotel-London_England.html#REVIEWS</v>
      </c>
      <c r="D109" s="4" t="str">
        <f ca="1">IFERROR(__xludf.DUMMYFUNCTION("IMPORTXML(C109,$D$1)"),"#N/A")</f>
        <v>#N/A</v>
      </c>
      <c r="G109" s="24" t="str">
        <f ca="1">IFERROR(__xludf.DUMMYFUNCTION("IMPORTXML(C109, $G$1)"),"nlee129874fah wrote a review Mar 2019Portsmouth, United Kingdom3 
contributions")</f>
        <v>nlee129874fah wrote a review Mar 2019Portsmouth, United Kingdom3 
contributions</v>
      </c>
      <c r="H109" s="4" t="str">
        <f ca="1">IFERROR(__xludf.DUMMYFUNCTION("""COMPUTED_VALUE"""),"Great value and very cleanGreat value and centre of Waterloo very close to the train station. Hotel 
was clean and staff were very helpful. I even left my Fitbit in the room 
and they sent it to me in the post! Very great service and very helpful 
would r"&amp;"ecommend!Read moreReview collected in partnership with 
TravelodgeDate of stay: March 2019HelpfulShare")</f>
        <v>Great value and very cleanGreat value and centre of Waterloo very close to the train station. Hotel 
was clean and staff were very helpful. I even left my Fitbit in the room 
and they sent it to me in the post! Very great service and very helpful 
would recommend!Read moreReview collected in partnership with 
TravelodgeDate of stay: March 2019HelpfulShare</v>
      </c>
      <c r="I109" s="21"/>
      <c r="J109" s="21" t="str">
        <f ca="1">IFERROR(__xludf.DUMMYFUNCTION("IMPORTXML(C109, $J$1)"),"Anne B wrote a review Mar 2019Dublin208 contributions22 helpful votes")</f>
        <v>Anne B wrote a review Mar 2019Dublin208 contributions22 helpful votes</v>
      </c>
      <c r="K109" s="4" t="str">
        <f ca="1">IFERROR(__xludf.DUMMYFUNCTION("""COMPUTED_VALUE"""),"Convenient and comfortableThe location suited my needs - mainline rail station and tube stations 
nearby and good bus routes up into London though walking a good option 
given the distance and slowness of traffic. Room was perfect for me. I did 
not bothe"&amp;"r with breakfast/meals as celiac options not hectic eg scrambled 
egg not GF. There are plenty of small supermarkets/cafes nearby such as 
Tesco, Sainsburys, Pret a manger and Costa. Only issue was there was only 
one lift working on 5 of the 6 days I was"&amp;" there. Even the staff had to use 
the one lift which has to service 8 floors up. Small enough as with luggage 
really only four people could fit. On the last day the remaining lift was 
groaning a bit. Overall I was happy as it was clean and quiet as wel"&amp;"l as 
comfortable. My room was small but well…Read moreDate of stay: March 
2019HelpfulShare")</f>
        <v>Convenient and comfortableThe location suited my needs - mainline rail station and tube stations 
nearby and good bus routes up into London though walking a good option 
given the distance and slowness of traffic. Room was perfect for me. I did 
not bother with breakfast/meals as celiac options not hectic eg scrambled 
egg not GF. There are plenty of small supermarkets/cafes nearby such as 
Tesco, Sainsburys, Pret a manger and Costa. Only issue was there was only 
one lift working on 5 of the 6 days I was there. Even the staff had to use 
the one lift which has to service 8 floors up. Small enough as with luggage 
really only four people could fit. On the last day the remaining lift was 
groaning a bit. Overall I was happy as it was clean and quiet as well as 
comfortable. My room was small but well…Read moreDate of stay: March 
2019HelpfulShare</v>
      </c>
      <c r="L109" s="21"/>
      <c r="M109" s="21" t="str">
        <f ca="1">IFERROR(__xludf.DUMMYFUNCTION("IMPORTXML(C109, $M$1)"),"Traveler49211620247 wrote a review Mar 2019Cardiff, United Kingdom1 
contribution")</f>
        <v>Traveler49211620247 wrote a review Mar 2019Cardiff, United Kingdom1 
contribution</v>
      </c>
      <c r="N109" s="4" t="str">
        <f ca="1">IFERROR(__xludf.DUMMYFUNCTION("""COMPUTED_VALUE"""),"Travel Lodge WaterlooWe stayed for 2 nights. Good clean rooms with a good location and 
reasonably priced. Just a short walk from waterloo station. Food was good 
and reasonably priced for London. The staff were friendly and helpfulRead 
moreReview collec"&amp;"ted in partnership with TravelodgeDate of stay: March 
2019HelpfulShare")</f>
        <v>Travel Lodge WaterlooWe stayed for 2 nights. Good clean rooms with a good location and 
reasonably priced. Just a short walk from waterloo station. Food was good 
and reasonably priced for London. The staff were friendly and helpfulRead 
moreReview collected in partnership with TravelodgeDate of stay: March 
2019HelpfulShare</v>
      </c>
      <c r="O109" s="21"/>
      <c r="P109" s="21" t="str">
        <f ca="1">IFERROR(__xludf.DUMMYFUNCTION("IMPORTXML(C109, $P$1)"),"#N/A")</f>
        <v>#N/A</v>
      </c>
      <c r="U109" s="4" t="str">
        <f ca="1">IFERROR(__xludf.DUMMYFUNCTION("IMPORTXML(C110,$U$1)"),"Loading...")</f>
        <v>Loading...</v>
      </c>
    </row>
    <row r="110" spans="1:21" ht="15">
      <c r="A110" s="25" t="s">
        <v>8724</v>
      </c>
      <c r="B110" s="17" t="s">
        <v>126</v>
      </c>
      <c r="C110" s="23" t="str">
        <f t="shared" si="0"/>
        <v>https://www.tripadvisor.co.uk/Hotel_Review-g186338-d1812157-Reviews-or540-Travelodge_London_Waterloo_Hotel-London_England.html#REVIEWS</v>
      </c>
      <c r="D110" s="4" t="str">
        <f ca="1">IFERROR(__xludf.DUMMYFUNCTION("IMPORTXML(C110,$D$1)"),"Katrina S wrote a review Mar 2019Fleet, United Kingdom6 contributions")</f>
        <v>Katrina S wrote a review Mar 2019Fleet, United Kingdom6 contributions</v>
      </c>
      <c r="E110" s="4" t="str">
        <f ca="1">IFERROR(__xludf.DUMMYFUNCTION("""COMPUTED_VALUE"""),"Good place to stayThis was a great Travelodge. It was very clean, fantastic location, and 
exactly what I needed for my short stay. The rooms were quiet, and the 
breakfast was decent. The price was okay, it is London so it really wasn’t 
to bad for what "&amp;"you get. Love how the room had USB ports and a place to 
work which was great.Read moreReview collected in partnership with 
TravelodgeDate of stay: March 2019HelpfulShare")</f>
        <v>Good place to stayThis was a great Travelodge. It was very clean, fantastic location, and 
exactly what I needed for my short stay. The rooms were quiet, and the 
breakfast was decent. The price was okay, it is London so it really wasn’t 
to bad for what you get. Love how the room had USB ports and a place to 
work which was great.Read moreReview collected in partnership with 
TravelodgeDate of stay: March 2019HelpfulShare</v>
      </c>
      <c r="G110" s="24" t="str">
        <f ca="1">IFERROR(__xludf.DUMMYFUNCTION("IMPORTXML(C110, $G$1)"),"StanleyArthur wrote a review Mar 2019KENT44 contributions8 helpful votes")</f>
        <v>StanleyArthur wrote a review Mar 2019KENT44 contributions8 helpful votes</v>
      </c>
      <c r="H110" s="4" t="str">
        <f ca="1">IFERROR(__xludf.DUMMYFUNCTION("""COMPUTED_VALUE"""),"Excellent value in convenient locationStayed here for one night and I was very pleasantly surprised by the Hotel. 
Room was nice and warm on a cold wet day. Spotlessly clean room and 
bathroom. Fluffy white towels and tea and coffee making facilities in t"&amp;"he 
room. Excellent breakfast- full English, yogurt fresh fruit good quality 
tea and coffee. Excellent selection. Would definitely stay here again.Read 
moreReview collected in partnership with TravelodgeDate of stay: March 
2019HelpfulShare")</f>
        <v>Excellent value in convenient locationStayed here for one night and I was very pleasantly surprised by the Hotel. 
Room was nice and warm on a cold wet day. Spotlessly clean room and 
bathroom. Fluffy white towels and tea and coffee making facilities in the 
room. Excellent breakfast- full English, yogurt fresh fruit good quality 
tea and coffee. Excellent selection. Would definitely stay here again.Read 
moreReview collected in partnership with TravelodgeDate of stay: March 
2019HelpfulShare</v>
      </c>
      <c r="I110" s="21"/>
      <c r="J110" s="21" t="str">
        <f ca="1">IFERROR(__xludf.DUMMYFUNCTION("IMPORTXML(C110, $J$1)"),"Nancy G wrote a review Mar 20192 contributions")</f>
        <v>Nancy G wrote a review Mar 20192 contributions</v>
      </c>
      <c r="K110" s="4" t="str">
        <f ca="1">IFERROR(__xludf.DUMMYFUNCTION("""COMPUTED_VALUE"""),"Oasis of calm efficiencyGreat value for money. Spotlessly clean. Friendly helpful knowledgeable 
staff. Comfortable bed. Good shower pressure. Delicious breakfast. Easy and 
convenient bus routes into the city. Within comfortable walking distance of 
Wate"&amp;"rloo station and the Old Vic.Read moreReview collected in partnership 
with TravelodgeDate of stay: March 2019HelpfulShare")</f>
        <v>Oasis of calm efficiencyGreat value for money. Spotlessly clean. Friendly helpful knowledgeable 
staff. Comfortable bed. Good shower pressure. Delicious breakfast. Easy and 
convenient bus routes into the city. Within comfortable walking distance of 
Waterloo station and the Old Vic.Read moreReview collected in partnership 
with TravelodgeDate of stay: March 2019HelpfulShare</v>
      </c>
      <c r="L110" s="21"/>
      <c r="M110" s="21" t="str">
        <f ca="1">IFERROR(__xludf.DUMMYFUNCTION("IMPORTXML(C110, $M$1)"),"Wolframwolfred wrote a review Mar 2019Kenilworth, United Kingdom315 
contributions132 helpful votes")</f>
        <v>Wolframwolfred wrote a review Mar 2019Kenilworth, United Kingdom315 
contributions132 helpful votes</v>
      </c>
      <c r="N110" s="4" t="str">
        <f ca="1">IFERROR(__xludf.DUMMYFUNCTION("""COMPUTED_VALUE"""),"Great location, tiny priceWhere else can you get a room in Central London for £80 for a night that is 
guaranteed t be clean and comfortable. This is in a great location and is 
pretty well done out compared to other Travelodges I've stayed in.Read 
moreD"&amp;"ate of stay: February 2019HelpfulShare")</f>
        <v>Great location, tiny priceWhere else can you get a room in Central London for £80 for a night that is 
guaranteed t be clean and comfortable. This is in a great location and is 
pretty well done out compared to other Travelodges I've stayed in.Read 
moreDate of stay: February 2019HelpfulShare</v>
      </c>
      <c r="O110" s="21"/>
      <c r="P110" s="21" t="str">
        <f ca="1">IFERROR(__xludf.DUMMYFUNCTION("IMPORTXML(C110, $P$1)"),"Meryl B wrote a review Mar 201917 contributions4 helpful votes")</f>
        <v>Meryl B wrote a review Mar 201917 contributions4 helpful votes</v>
      </c>
      <c r="Q110" s="4" t="str">
        <f ca="1">IFERROR(__xludf.DUMMYFUNCTION("""COMPUTED_VALUE"""),"A findV clean, refurbished, good value, well placed and offering good value on 
food and drink. Staff were efficient and most welcoming. Handy for South 
Bank, Waterloo Station, theatres and many restaurants.Read moreReview 
collected in partnership with "&amp;"this hotelDate of stay: March 2019HelpfulShare")</f>
        <v>A findV clean, refurbished, good value, well placed and offering good value on 
food and drink. Staff were efficient and most welcoming. Handy for South 
Bank, Waterloo Station, theatres and many restaurants.Read moreReview 
collected in partnership with this hotelDate of stay: March 2019HelpfulShare</v>
      </c>
      <c r="U110" s="4" t="str">
        <f ca="1">IFERROR(__xludf.DUMMYFUNCTION("IMPORTXML(C111,$U$1)"),"Loading...")</f>
        <v>Loading...</v>
      </c>
    </row>
    <row r="111" spans="1:21" ht="15">
      <c r="A111" s="5" t="s">
        <v>8857</v>
      </c>
      <c r="B111" s="17" t="s">
        <v>126</v>
      </c>
      <c r="C111" s="23" t="str">
        <f t="shared" si="0"/>
        <v>https://www.tripadvisor.co.uk/Hotel_Review-g186338-d1812157-Reviews-or545-Travelodge_London_Waterloo_Hotel-London_England.html#REVIEWS</v>
      </c>
      <c r="D111" s="4" t="str">
        <f ca="1">IFERROR(__xludf.DUMMYFUNCTION("IMPORTXML(C111,$D$1)"),"M S wrote a review Mar 20191 contribution")</f>
        <v>M S wrote a review Mar 20191 contribution</v>
      </c>
      <c r="E111" s="4" t="str">
        <f ca="1">IFERROR(__xludf.DUMMYFUNCTION("""COMPUTED_VALUE"""),"Excellent hotel!It's my second stay at this hotel, and I can only say that it has five 
stars standards. The rooms are high spec and spotlessly clean. There was a 
manager in the lobby speaking to guests and working alongside their staff 
in the morning a"&amp;"nd the evening. Having stayed at many of your hotels, I can 
confidently say that Waterloo is by far the best.Read moreReview collected 
in partnership with this hotelDate of stay: March 2019HelpfulShare")</f>
        <v>Excellent hotel!It's my second stay at this hotel, and I can only say that it has five 
stars standards. The rooms are high spec and spotlessly clean. There was a 
manager in the lobby speaking to guests and working alongside their staff 
in the morning and the evening. Having stayed at many of your hotels, I can 
confidently say that Waterloo is by far the best.Read moreReview collected 
in partnership with this hotelDate of stay: March 2019HelpfulShare</v>
      </c>
      <c r="G111" s="24" t="str">
        <f ca="1">IFERROR(__xludf.DUMMYFUNCTION("IMPORTXML(C111, $G$1)"),"Sightseer17497159963 wrote a review Mar 2019Axminster, United Kingdom1 
contribution")</f>
        <v>Sightseer17497159963 wrote a review Mar 2019Axminster, United Kingdom1 
contribution</v>
      </c>
      <c r="H111" s="4" t="str">
        <f ca="1">IFERROR(__xludf.DUMMYFUNCTION("""COMPUTED_VALUE"""),"travelodge waterloo hotelwould recommend this hotel, very close to waterloo station, and heart of 
London, rooms were clean, tidy, and very quiet, staff were very pleasant 
and helpful, good breakfast, and evening meal was very good, we were even 
able to"&amp;" leave our luggage there on the last day, until we caught our train, 
all in all a very pleasant experience.Read moreReview collected in 
partnership with this hotelDate of stay: February 2019HelpfulShare")</f>
        <v>travelodge waterloo hotelwould recommend this hotel, very close to waterloo station, and heart of 
London, rooms were clean, tidy, and very quiet, staff were very pleasant 
and helpful, good breakfast, and evening meal was very good, we were even 
able to leave our luggage there on the last day, until we caught our train, 
all in all a very pleasant experience.Read moreReview collected in 
partnership with this hotelDate of stay: February 2019HelpfulShare</v>
      </c>
      <c r="I111" s="21"/>
      <c r="J111" s="21" t="str">
        <f ca="1">IFERROR(__xludf.DUMMYFUNCTION("IMPORTXML(C111, $J$1)"),"#N/A")</f>
        <v>#N/A</v>
      </c>
      <c r="L111" s="21"/>
      <c r="M111" s="21" t="str">
        <f ca="1">IFERROR(__xludf.DUMMYFUNCTION("IMPORTXML(C111, $M$1)"),"#N/A")</f>
        <v>#N/A</v>
      </c>
      <c r="O111" s="21"/>
      <c r="P111" s="21" t="str">
        <f ca="1">IFERROR(__xludf.DUMMYFUNCTION("IMPORTXML(C111, $P$1)"),"bas t wrote a review Mar 2019Brussels, Belgium1,761 contributions288 
helpful votes")</f>
        <v>bas t wrote a review Mar 2019Brussels, Belgium1,761 contributions288 
helpful votes</v>
      </c>
      <c r="Q111" s="4" t="str">
        <f ca="1">IFERROR(__xludf.DUMMYFUNCTION("""COMPUTED_VALUE"""),"+1")</f>
        <v>+1</v>
      </c>
      <c r="R111" s="4" t="str">
        <f ca="1">IFERROR(__xludf.DUMMYFUNCTION("""COMPUTED_VALUE"""),"great valuewe stayed in a family room (super) and it was very clean and spacious for 
the 3 of us and very quiet 7th floor great views of the london eye the 
whole hotel is clean staff very friendly and the location is spot on 
breakfast had everything yo"&amp;"u needed for a days sightseeing cons unwashed 
cutlery at breakfast lack of ventilation in the bathroom became a sauna 
when having a shower and the whole bedroom filled with steam and you need 
to leave a tag on the door if you want your room refreshed n"&amp;"ot told this by 
reception when checking in does not have fridge and safety box but at the 
end of the day this is a travelodge and you get what you pay for so for me 
it was great value and we will use again when in londonRead moreDate of 
stay: March 20"&amp;"191 Helpful voteHelpfulShare")</f>
        <v>great valuewe stayed in a family room (super) and it was very clean and spacious for 
the 3 of us and very quiet 7th floor great views of the london eye the 
whole hotel is clean staff very friendly and the location is spot on 
breakfast had everything you needed for a days sightseeing cons unwashed 
cutlery at breakfast lack of ventilation in the bathroom became a sauna 
when having a shower and the whole bedroom filled with steam and you need 
to leave a tag on the door if you want your room refreshed not told this by 
reception when checking in does not have fridge and safety box but at the 
end of the day this is a travelodge and you get what you pay for so for me 
it was great value and we will use again when in londonRead moreDate of 
stay: March 20191 Helpful voteHelpfulShare</v>
      </c>
      <c r="U111" s="4" t="str">
        <f ca="1">IFERROR(__xludf.DUMMYFUNCTION("IMPORTXML(C112,$U$1)"),"Loading...")</f>
        <v>Loading...</v>
      </c>
    </row>
    <row r="112" spans="1:21" ht="15">
      <c r="A112" s="25" t="s">
        <v>8965</v>
      </c>
      <c r="B112" s="17" t="s">
        <v>126</v>
      </c>
      <c r="C112" s="23" t="str">
        <f t="shared" si="0"/>
        <v>https://www.tripadvisor.co.uk/Hotel_Review-g186338-d1812157-Reviews-or550-Travelodge_London_Waterloo_Hotel-London_England.html#REVIEWS</v>
      </c>
      <c r="D112" s="4" t="str">
        <f ca="1">IFERROR(__xludf.DUMMYFUNCTION("IMPORTXML(C112,$D$1)"),"#N/A")</f>
        <v>#N/A</v>
      </c>
      <c r="G112" s="24" t="str">
        <f ca="1">IFERROR(__xludf.DUMMYFUNCTION("IMPORTXML(C112, $G$1)"),"Sarahweb12 wrote a review Mar 2019York, United Kingdom1 contribution")</f>
        <v>Sarahweb12 wrote a review Mar 2019York, United Kingdom1 contribution</v>
      </c>
      <c r="H112" s="4" t="str">
        <f ca="1">IFERROR(__xludf.DUMMYFUNCTION("""COMPUTED_VALUE"""),"Lovely staff!My partner and I stayed in Travelodge for the very first time and must say 
we were pleasantly surprised! From the moment we entered the hotel we were 
greeted by lovely staff whom were very helpful with directions and 
recommendations of res"&amp;"taurants and pubs within the location. The super room 
was very comfortable and spacious. unfortunately on the second morning of 
our stay we experienced a fire alarm at around 9am. I would just like to 
give a massive massive shout out to a lovely young "&amp;"lady called Humayra. She 
had managed to evacuate a large amount of guests and made sure we were all 
safe. she was very calm and professional and made us all feel at ease. She 
reassured us all individually that it was not a real fire and the way she 
ha"&amp;"ndled the situation was 5* I must say. We had…Read moreDate of stay: 
February 2019HelpfulShare")</f>
        <v>Lovely staff!My partner and I stayed in Travelodge for the very first time and must say 
we were pleasantly surprised! From the moment we entered the hotel we were 
greeted by lovely staff whom were very helpful with directions and 
recommendations of restaurants and pubs within the location. The super room 
was very comfortable and spacious. unfortunately on the second morning of 
our stay we experienced a fire alarm at around 9am. I would just like to 
give a massive massive shout out to a lovely young lady called Humayra. She 
had managed to evacuate a large amount of guests and made sure we were all 
safe. she was very calm and professional and made us all feel at ease. She 
reassured us all individually that it was not a real fire and the way she 
handled the situation was 5* I must say. We had…Read moreDate of stay: 
February 2019HelpfulShare</v>
      </c>
      <c r="I112" s="21"/>
      <c r="J112" s="21" t="str">
        <f ca="1">IFERROR(__xludf.DUMMYFUNCTION("IMPORTXML(C112, $J$1)"),"Trek65293483905 wrote a review Mar 20191 contribution1 helpful vote")</f>
        <v>Trek65293483905 wrote a review Mar 20191 contribution1 helpful vote</v>
      </c>
      <c r="K112" s="4" t="str">
        <f ca="1">IFERROR(__xludf.DUMMYFUNCTION("""COMPUTED_VALUE"""),"Wailing shower spoils stayA very pleasant weekend, apart from being rudely awoken on Sunday morning 
by the shower waste making strange noises. Despite being a ""superroom"", I'm 
very surprised there were no glasses, or even plastic cups. My other half 
"&amp;"was not very impressed whilst getting ready, having to drink her wine out 
of a coffee mug!Read moreReview collected in partnership with 
TravelodgeDate of stay: March 20191 Helpful voteHelpfulShare")</f>
        <v>Wailing shower spoils stayA very pleasant weekend, apart from being rudely awoken on Sunday morning 
by the shower waste making strange noises. Despite being a "superroom", I'm 
very surprised there were no glasses, or even plastic cups. My other half 
was not very impressed whilst getting ready, having to drink her wine out 
of a coffee mug!Read moreReview collected in partnership with 
TravelodgeDate of stay: March 20191 Helpful voteHelpfulShare</v>
      </c>
      <c r="L112" s="21"/>
      <c r="M112" s="21" t="str">
        <f ca="1">IFERROR(__xludf.DUMMYFUNCTION("IMPORTXML(C112, $M$1)"),"FrenchPerson wrote a review Mar 2019Leeds, United Kingdom296 
contributions114 helpful votes")</f>
        <v>FrenchPerson wrote a review Mar 2019Leeds, United Kingdom296 
contributions114 helpful votes</v>
      </c>
      <c r="N112" s="4" t="str">
        <f ca="1">IFERROR(__xludf.DUMMYFUNCTION("""COMPUTED_VALUE"""),"The staff make it specialI stay in London 2 nights a week for my job. Last week I stayed in a 
certain 4* hotel near Lambeth North - I won’t name names - but I recently 
reviewed it... and this travelodge was better �� What really made it were 
the staff."&amp;" Big shout out to Wassim on reception. Every time I came in the 
hotel he told me how nice it was to see me again... he greeted me and was 
incredibly helpful. That’s total 5* service I’d expect in a 5* hotel. 
Thanks Wassim, you’re a star! The lady worki"&amp;"ng in the restaurant and bar on 
5th March (evening) was also excellent and gave me great service. Sorry I 
didn’t get your name but yet again a lovely member of staff. The hotel is 
in a good location with decent transport links. The breakfast is honestl"&amp;"y 
very tasty and well stocked. Again, the breakfast…Read moreDate of stay: 
March 2019HelpfulShare")</f>
        <v>The staff make it specialI stay in London 2 nights a week for my job. Last week I stayed in a 
certain 4* hotel near Lambeth North - I won’t name names - but I recently 
reviewed it... and this travelodge was better �� What really made it were 
the staff. Big shout out to Wassim on reception. Every time I came in the 
hotel he told me how nice it was to see me again... he greeted me and was 
incredibly helpful. That’s total 5* service I’d expect in a 5* hotel. 
Thanks Wassim, you’re a star! The lady working in the restaurant and bar on 
5th March (evening) was also excellent and gave me great service. Sorry I 
didn’t get your name but yet again a lovely member of staff. The hotel is 
in a good location with decent transport links. The breakfast is honestly 
very tasty and well stocked. Again, the breakfast…Read moreDate of stay: 
March 2019HelpfulShare</v>
      </c>
      <c r="O112" s="21"/>
      <c r="P112" s="21" t="str">
        <f ca="1">IFERROR(__xludf.DUMMYFUNCTION("IMPORTXML(C112, $P$1)"),"ROLAND S wrote a review Mar 2019CARDIFF, United Kingdom2 contributions")</f>
        <v>ROLAND S wrote a review Mar 2019CARDIFF, United Kingdom2 contributions</v>
      </c>
      <c r="Q112" s="4" t="str">
        <f ca="1">IFERROR(__xludf.DUMMYFUNCTION("""COMPUTED_VALUE"""),"Comfortable and convenientThis popular and conveniently sited Travelodge has friendly and helpful 
staff. I use it frequently. I have nothing else to add and it is irritating 
to be constrained to writing two hundred characters.Read moreReview 
collected "&amp;"in partnership with this hotelDate of stay: February 
2019HelpfulShare")</f>
        <v>Comfortable and convenientThis popular and conveniently sited Travelodge has friendly and helpful 
staff. I use it frequently. I have nothing else to add and it is irritating 
to be constrained to writing two hundred characters.Read moreReview 
collected in partnership with this hotelDate of stay: February 
2019HelpfulShare</v>
      </c>
      <c r="U112" s="4" t="str">
        <f ca="1">IFERROR(__xludf.DUMMYFUNCTION("IMPORTXML(C113,$U$1)"),"Loading...")</f>
        <v>Loading...</v>
      </c>
    </row>
    <row r="113" spans="1:21" ht="15">
      <c r="A113" s="25" t="s">
        <v>9075</v>
      </c>
      <c r="B113" s="17" t="s">
        <v>126</v>
      </c>
      <c r="C113" s="23" t="str">
        <f t="shared" si="0"/>
        <v>https://www.tripadvisor.co.uk/Hotel_Review-g186338-d1812157-Reviews-or555-Travelodge_London_Waterloo_Hotel-London_England.html#REVIEWS</v>
      </c>
      <c r="D113" s="4" t="str">
        <f ca="1">IFERROR(__xludf.DUMMYFUNCTION("IMPORTXML(C113,$D$1)"),"#N/A")</f>
        <v>#N/A</v>
      </c>
      <c r="G113" s="24" t="str">
        <f ca="1">IFERROR(__xludf.DUMMYFUNCTION("IMPORTXML(C113, $G$1)"),"#N/A")</f>
        <v>#N/A</v>
      </c>
      <c r="I113" s="21"/>
      <c r="J113" s="21" t="str">
        <f ca="1">IFERROR(__xludf.DUMMYFUNCTION("IMPORTXML(C113, $J$1)"),"Cheryl S wrote a review Mar 2019South Shields, United Kingdom14 
contributions2 helpful votes")</f>
        <v>Cheryl S wrote a review Mar 2019South Shields, United Kingdom14 
contributions2 helpful votes</v>
      </c>
      <c r="K113" s="4" t="str">
        <f ca="1">IFERROR(__xludf.DUMMYFUNCTION("""COMPUTED_VALUE"""),"AmazingI recently stayed with my terminally ill father. He was treated with 
dignity and respect. He said he felt like royalty. Nothing was too much 
trouble for the staff. They made sure our stay was trouble free. My father 
and me do not understand why "&amp;"this Hotel is only rated 3*Read moreReview 
collected in partnership with TravelodgeDate of stay: March 20191 Helpful 
voteHelpfulShare")</f>
        <v>AmazingI recently stayed with my terminally ill father. He was treated with 
dignity and respect. He said he felt like royalty. Nothing was too much 
trouble for the staff. They made sure our stay was trouble free. My father 
and me do not understand why this Hotel is only rated 3*Read moreReview 
collected in partnership with TravelodgeDate of stay: March 20191 Helpful 
voteHelpfulShare</v>
      </c>
      <c r="L113" s="21"/>
      <c r="M113" s="21" t="str">
        <f ca="1">IFERROR(__xludf.DUMMYFUNCTION("IMPORTXML(C113, $M$1)"),"H011y Day wrote a review Mar 20194 contributions1 helpful vote")</f>
        <v>H011y Day wrote a review Mar 20194 contributions1 helpful vote</v>
      </c>
      <c r="N113" s="4" t="str">
        <f ca="1">IFERROR(__xludf.DUMMYFUNCTION("""COMPUTED_VALUE"""),"GreatI have stayed here for 6 nights over the last couple of months. It has been 
great each time. The rooms have been spotlessly clean, and are newly 
decorated. Breakfast has been great, and the beds v comfy. The location, 
literally just 5 mins from Wa"&amp;"terloo, is fab. It’s a 10 min walk to the 
imperial war museum. The restaurant food has been excellent value for money 
- great with a child - but there are also places, inc a Prets close by, if 
wanted. But the best thing is the staff. None of them could"&amp;" have been nicer 
or more helpful on each and every day of my stay. Would recommend. Beats 
the Hilton next door - my room when I stayed there a year ago was half the 
sizeRead moreDate of stay: March 2019HelpfulShare")</f>
        <v>GreatI have stayed here for 6 nights over the last couple of months. It has been 
great each time. The rooms have been spotlessly clean, and are newly 
decorated. Breakfast has been great, and the beds v comfy. The location, 
literally just 5 mins from Waterloo, is fab. It’s a 10 min walk to the 
imperial war museum. The restaurant food has been excellent value for money 
- great with a child - but there are also places, inc a Prets close by, if 
wanted. But the best thing is the staff. None of them could have been nicer 
or more helpful on each and every day of my stay. Would recommend. Beats 
the Hilton next door - my room when I stayed there a year ago was half the 
sizeRead moreDate of stay: March 2019HelpfulShare</v>
      </c>
      <c r="O113" s="21"/>
      <c r="P113" s="21" t="str">
        <f ca="1">IFERROR(__xludf.DUMMYFUNCTION("IMPORTXML(C113, $P$1)"),"138andrea12 wrote a review Mar 2019Falmouth, United Kingdom7 contributions1 
helpful vote")</f>
        <v>138andrea12 wrote a review Mar 2019Falmouth, United Kingdom7 contributions1 
helpful vote</v>
      </c>
      <c r="Q113" s="4" t="str">
        <f ca="1">IFERROR(__xludf.DUMMYFUNCTION("""COMPUTED_VALUE"""),"Weekend stayWe checked in Friday the 22nd February . We were there untill Monday 
morning. We droped off our luggage on the Friday morning and they kept it 
for us untill we checked in later that evening. We asked for a travel cot 
for our daughter and th"&amp;"ere was one in the room all up but it was filthy had 
big holes in the mesh and was all stained . Should have been thrown out . 
They quickly changed it over for us after we complained. The Sunday night 
the fire alarms started to go off at 11.pm they kep"&amp;"t shoping nd starting my 
husband went down to ask what was going on and was told not to worry as it 
was the gym next doors alarms that were concted to the travel lodge fire 
alarms . They then started to go on for longer and we had to evacuate the 
trav"&amp;"el lodge . We are just left on the…Read moreDate of stay: February 
2019HelpfulShare")</f>
        <v>Weekend stayWe checked in Friday the 22nd February . We were there untill Monday 
morning. We droped off our luggage on the Friday morning and they kept it 
for us untill we checked in later that evening. We asked for a travel cot 
for our daughter and there was one in the room all up but it was filthy had 
big holes in the mesh and was all stained . Should have been thrown out . 
They quickly changed it over for us after we complained. The Sunday night 
the fire alarms started to go off at 11.pm they kept shoping nd starting my 
husband went down to ask what was going on and was told not to worry as it 
was the gym next doors alarms that were concted to the travel lodge fire 
alarms . They then started to go on for longer and we had to evacuate the 
travel lodge . We are just left on the…Read moreDate of stay: February 
2019HelpfulShare</v>
      </c>
      <c r="U113" s="4" t="str">
        <f ca="1">IFERROR(__xludf.DUMMYFUNCTION("IMPORTXML(C114,$U$1)"),"Loading...")</f>
        <v>Loading...</v>
      </c>
    </row>
    <row r="114" spans="1:21" ht="15">
      <c r="A114" s="25" t="s">
        <v>9182</v>
      </c>
      <c r="B114" s="17" t="s">
        <v>126</v>
      </c>
      <c r="C114" s="23" t="str">
        <f t="shared" si="0"/>
        <v>https://www.tripadvisor.co.uk/Hotel_Review-g186338-d1812157-Reviews-or560-Travelodge_London_Waterloo_Hotel-London_England.html#REVIEWS</v>
      </c>
      <c r="D114" s="4" t="str">
        <f ca="1">IFERROR(__xludf.DUMMYFUNCTION("IMPORTXML(C114,$D$1)"),"Tom Wright wrote a review Mar 2019Derby, United Kingdom8 contributions14 
helpful votes")</f>
        <v>Tom Wright wrote a review Mar 2019Derby, United Kingdom8 contributions14 
helpful votes</v>
      </c>
      <c r="E114" s="4" t="str">
        <f ca="1">IFERROR(__xludf.DUMMYFUNCTION("""COMPUTED_VALUE"""),"Great value stayWaterloo travelodge is a great value, budget hotel in London. Rooms are 
pleasant and clean. Breakfast very good. And staff are pleasant and 
helpful. This was our second stay and cannot fault it at the price we 
paid.Read moreReview colle"&amp;"cted in partnership with TravelodgeDate of stay: 
March 2019HelpfulShare")</f>
        <v>Great value stayWaterloo travelodge is a great value, budget hotel in London. Rooms are 
pleasant and clean. Breakfast very good. And staff are pleasant and 
helpful. This was our second stay and cannot fault it at the price we 
paid.Read moreReview collected in partnership with TravelodgeDate of stay: 
March 2019HelpfulShare</v>
      </c>
      <c r="G114" s="24" t="str">
        <f ca="1">IFERROR(__xludf.DUMMYFUNCTION("IMPORTXML(C114, $G$1)"),"#N/A")</f>
        <v>#N/A</v>
      </c>
      <c r="I114" s="21"/>
      <c r="J114" s="21" t="str">
        <f ca="1">IFERROR(__xludf.DUMMYFUNCTION("IMPORTXML(C114, $J$1)"),"Kerri E wrote a review Mar 20192 contributions2 helpful votes")</f>
        <v>Kerri E wrote a review Mar 20192 contributions2 helpful votes</v>
      </c>
      <c r="K114" s="4" t="str">
        <f ca="1">IFERROR(__xludf.DUMMYFUNCTION("""COMPUTED_VALUE"""),"London StayThe Travelodge Waterloo was one of the best values I found, as London can 
be very expensive. It even beat out most AIr B and B's and here of course 
we had a large bed and a cleaning services each day, a bar/cafe, and a 
known chain of hotels."&amp;" It was a little smaller however I feel that is 
normal in Europe compared to America. The Wifi worked REALLY well, however 
you could only connect two devices which I found to be odd. We had 
breakfast at the hotel which was super convenient and they had"&amp;" a great 
coffee machine. We also had dinner there a few times instead of going back 
out because we did a lot of walking and the dinner food was AWESOME! THe 
location was perfect, just a few min walking from the large waterloo 
underground station. Smal"&amp;"l issue was noise traveled easy inside the…Read 
moreReview collected in partnership with TravelodgeDate of stay: February 
2019HelpfulShare")</f>
        <v>London StayThe Travelodge Waterloo was one of the best values I found, as London can 
be very expensive. It even beat out most AIr B and B's and here of course 
we had a large bed and a cleaning services each day, a bar/cafe, and a 
known chain of hotels. It was a little smaller however I feel that is 
normal in Europe compared to America. The Wifi worked REALLY well, however 
you could only connect two devices which I found to be odd. We had 
breakfast at the hotel which was super convenient and they had a great 
coffee machine. We also had dinner there a few times instead of going back 
out because we did a lot of walking and the dinner food was AWESOME! THe 
location was perfect, just a few min walking from the large waterloo 
underground station. Small issue was noise traveled easy inside the…Read 
moreReview collected in partnership with TravelodgeDate of stay: February 
2019HelpfulShare</v>
      </c>
      <c r="L114" s="21"/>
      <c r="M114" s="21" t="str">
        <f ca="1">IFERROR(__xludf.DUMMYFUNCTION("IMPORTXML(C114, $M$1)"),"Foggtraveller wrote a review Mar 2019Foggtraveller12 contributions8 helpful 
votes")</f>
        <v>Foggtraveller wrote a review Mar 2019Foggtraveller12 contributions8 helpful 
votes</v>
      </c>
      <c r="N114" s="4" t="str">
        <f ca="1">IFERROR(__xludf.DUMMYFUNCTION("""COMPUTED_VALUE"""),"Great stay and nice staffStayed here loads and always clean and friendly 5 minutes from Waterloo 
station A good location with trains and buses and south bank is cool place 
to hang out Breakfast was good Roland well worth the moneyRead moreDate of 
stay:"&amp;" March 2019HelpfulShare")</f>
        <v>Great stay and nice staffStayed here loads and always clean and friendly 5 minutes from Waterloo 
station A good location with trains and buses and south bank is cool place 
to hang out Breakfast was good Roland well worth the moneyRead moreDate of 
stay: March 2019HelpfulShare</v>
      </c>
      <c r="O114" s="21"/>
      <c r="P114" s="21" t="str">
        <f ca="1">IFERROR(__xludf.DUMMYFUNCTION("IMPORTXML(C114, $P$1)"),"Escape60409169918 wrote a review Mar 20191 contribution")</f>
        <v>Escape60409169918 wrote a review Mar 20191 contribution</v>
      </c>
      <c r="Q114" s="4" t="str">
        <f ca="1">IFERROR(__xludf.DUMMYFUNCTION("""COMPUTED_VALUE"""),"NiceThis was a nice place to stay and I'd recommend it. The room was clean and 
the staff were friendly. I got a good night's sleep apart from the fire 
alarm going off in the morning which went off for at least 20 minutesRead 
moreReview collected in par"&amp;"tnership with this hotelDate of stay: February 
2019HelpfulShare")</f>
        <v>NiceThis was a nice place to stay and I'd recommend it. The room was clean and 
the staff were friendly. I got a good night's sleep apart from the fire 
alarm going off in the morning which went off for at least 20 minutesRead 
moreReview collected in partnership with this hotelDate of stay: February 
2019HelpfulShare</v>
      </c>
      <c r="U114" s="4" t="str">
        <f ca="1">IFERROR(__xludf.DUMMYFUNCTION("IMPORTXML(C115,$U$1)"),"Loading...")</f>
        <v>Loading...</v>
      </c>
    </row>
    <row r="115" spans="1:21" ht="15">
      <c r="A115" s="5" t="s">
        <v>9305</v>
      </c>
      <c r="B115" s="17" t="s">
        <v>126</v>
      </c>
      <c r="C115" s="23" t="str">
        <f t="shared" si="0"/>
        <v>https://www.tripadvisor.co.uk/Hotel_Review-g186338-d1812157-Reviews-or565-Travelodge_London_Waterloo_Hotel-London_England.html#REVIEWS</v>
      </c>
      <c r="D115" s="4" t="str">
        <f ca="1">IFERROR(__xludf.DUMMYFUNCTION("IMPORTXML(C115,$D$1)"),"amo4325 wrote a review Mar 2019Hertfordshire, United Kingdom10 
contributions11 helpful votes")</f>
        <v>amo4325 wrote a review Mar 2019Hertfordshire, United Kingdom10 
contributions11 helpful votes</v>
      </c>
      <c r="E115" s="4" t="str">
        <f ca="1">IFERROR(__xludf.DUMMYFUNCTION("""COMPUTED_VALUE"""),"Friendly staff and ideal locationThis was the perfect place for us before my daughter was performing at the 
Royal Festival Hall. Very quiet - so a good night’s sleep. Pleasant bar and 
restaurant area. The staff were lovely and we felt well looked after "&amp;"
especially during our evening meal which was good value for money. We would 
stay here again.Read moreReview collected in partnership with this 
hotelDate of stay: February 20191 Helpful voteHelpfulShare")</f>
        <v>Friendly staff and ideal locationThis was the perfect place for us before my daughter was performing at the 
Royal Festival Hall. Very quiet - so a good night’s sleep. Pleasant bar and 
restaurant area. The staff were lovely and we felt well looked after 
especially during our evening meal which was good value for money. We would 
stay here again.Read moreReview collected in partnership with this 
hotelDate of stay: February 20191 Helpful voteHelpfulShare</v>
      </c>
      <c r="G115" s="24" t="str">
        <f ca="1">IFERROR(__xludf.DUMMYFUNCTION("IMPORTXML(C115, $G$1)"),"bobthetraveller25 wrote a review Mar 2019Norwich, United Kingdom26 
contributions9 helpful votes")</f>
        <v>bobthetraveller25 wrote a review Mar 2019Norwich, United Kingdom26 
contributions9 helpful votes</v>
      </c>
      <c r="H115" s="4" t="str">
        <f ca="1">IFERROR(__xludf.DUMMYFUNCTION("""COMPUTED_VALUE"""),"nice stayThe hotel is nice and clean and the staff are friendly and will try to help 
you, the room was compact and was clean and smelt nice , with clean bed 
linen, and comfy bed, there was a nasty stain on the carpet and the toilet 
seat moved around wh"&amp;"en you sat on it, and there was no soap in the 
dispensers, but overall very good experience!Read moreReview collected in 
partnership with this hotelDate of stay: February 2019HelpfulShare")</f>
        <v>nice stayThe hotel is nice and clean and the staff are friendly and will try to help 
you, the room was compact and was clean and smelt nice , with clean bed 
linen, and comfy bed, there was a nasty stain on the carpet and the toilet 
seat moved around when you sat on it, and there was no soap in the 
dispensers, but overall very good experience!Read moreReview collected in 
partnership with this hotelDate of stay: February 2019HelpfulShare</v>
      </c>
      <c r="I115" s="21"/>
      <c r="J115" s="21" t="str">
        <f ca="1">IFERROR(__xludf.DUMMYFUNCTION("IMPORTXML(C115, $J$1)"),"#N/A")</f>
        <v>#N/A</v>
      </c>
      <c r="L115" s="21"/>
      <c r="M115" s="21" t="str">
        <f ca="1">IFERROR(__xludf.DUMMYFUNCTION("IMPORTXML(C115, $M$1)"),"Gary D wrote a review Feb 2019Lincoln, United Kingdom6 contributions4 
helpful votes")</f>
        <v>Gary D wrote a review Feb 2019Lincoln, United Kingdom6 contributions4 
helpful votes</v>
      </c>
      <c r="N115" s="4" t="str">
        <f ca="1">IFERROR(__xludf.DUMMYFUNCTION("""COMPUTED_VALUE"""),"Stay at Waterloo Travelodge Very PleasantWe stayed at the Waterloo Travelodge on Thursday 21st Feb and was made very 
welcome by the staff, in fact I felt they went above and beyond. The hotel 
is clean and modern. Rooms were clean and had any amenities t"&amp;"hat you would 
want.Read moreReview collected in partnership with this hotelDate of stay: 
February 2019HelpfulShare")</f>
        <v>Stay at Waterloo Travelodge Very PleasantWe stayed at the Waterloo Travelodge on Thursday 21st Feb and was made very 
welcome by the staff, in fact I felt they went above and beyond. The hotel 
is clean and modern. Rooms were clean and had any amenities that you would 
want.Read moreReview collected in partnership with this hotelDate of stay: 
February 2019HelpfulShare</v>
      </c>
      <c r="O115" s="21"/>
      <c r="P115" s="21" t="str">
        <f ca="1">IFERROR(__xludf.DUMMYFUNCTION("IMPORTXML(C115, $P$1)"),"lozzie18 wrote a review Feb 2019England2 contributions")</f>
        <v>lozzie18 wrote a review Feb 2019England2 contributions</v>
      </c>
      <c r="Q115" s="4" t="str">
        <f ca="1">IFERROR(__xludf.DUMMYFUNCTION("""COMPUTED_VALUE"""),"Never againBooked for a 2 night stay for my daughter's birthday. Checked in on a 
Friday evening. Went to room to find that heating/Aircon machine was making 
a horrific noise. Luckily was able to turn it off so had no use of this for 
the 2 nights we wer"&amp;"e there. Carpet covered in marks and stains. Water all 
over window ledge from condensation. On the Saturday morning we were woken 
by a intermittent fire alarm. Luckily partner had check for fire exit the 
night before. Evacuated thorough first fire door"&amp;" in to a small courtyard. 
No signs on where to go or wait. Found another door which lead to the main 
road. Horrified to find that we couldn't actually get the exit door open as 
large metal rubbish bin had been placed in front of the door. Luckily was 
"&amp;"able to force door open and push bin out of…Read moreDate of stay: February 
2019HelpfulShareResponse from TravelodgeUK, Ben from the Social Media Team 
at Travelodge London Waterloo HotelResponded 1 Mar 2019Thank you for your 
feedback. We are really sor"&amp;"ry to hear of your experience. Please accept our 
sincerest apologies and we have passed your comments onto the hotel 
manager. Could we kindly ask you to contact one of our Customer Services 
Advisors via our website help form with a copy of your review "&amp;"to look into 
this more thoroughly. Thank you again for reviewing our hotel.Read more")</f>
        <v>Never againBooked for a 2 night stay for my daughter's birthday. Checked in on a 
Friday evening. Went to room to find that heating/Aircon machine was making 
a horrific noise. Luckily was able to turn it off so had no use of this for 
the 2 nights we were there. Carpet covered in marks and stains. Water all 
over window ledge from condensation. On the Saturday morning we were woken 
by a intermittent fire alarm. Luckily partner had check for fire exit the 
night before. Evacuated thorough first fire door in to a small courtyard. 
No signs on where to go or wait. Found another door which lead to the main 
road. Horrified to find that we couldn't actually get the exit door open as 
large metal rubbish bin had been placed in front of the door. Luckily was 
able to force door open and push bin out of…Read moreDate of stay: February 
2019HelpfulShareResponse from TravelodgeUK, Ben from the Social Media Team 
at Travelodge London Waterloo HotelResponded 1 Mar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v>
      </c>
      <c r="U115" s="4" t="str">
        <f ca="1">IFERROR(__xludf.DUMMYFUNCTION("IMPORTXML(C116,$U$1)"),"Loading...")</f>
        <v>Loading...</v>
      </c>
    </row>
    <row r="116" spans="1:21" ht="15">
      <c r="A116" s="25" t="s">
        <v>9427</v>
      </c>
      <c r="B116" s="17" t="s">
        <v>126</v>
      </c>
      <c r="C116" s="23" t="str">
        <f t="shared" si="0"/>
        <v>https://www.tripadvisor.co.uk/Hotel_Review-g186338-d1812157-Reviews-or570-Travelodge_London_Waterloo_Hotel-London_England.html#REVIEWS</v>
      </c>
      <c r="D116" s="4" t="str">
        <f ca="1">IFERROR(__xludf.DUMMYFUNCTION("IMPORTXML(C116,$D$1)"),"Jen B wrote a review Feb 20196 contributions2 helpful votes")</f>
        <v>Jen B wrote a review Feb 20196 contributions2 helpful votes</v>
      </c>
      <c r="E116" s="4" t="str">
        <f ca="1">IFERROR(__xludf.DUMMYFUNCTION("""COMPUTED_VALUE"""),"DO NOT STAY HEREFirst of all we arrive to the hotel on an extremely hot day in the city and 
the room is blasting 26 degrees heat making it unbearable to be in. There 
is a loud bleeping alarm coming from outside the room so we are unable to 
even open th"&amp;"e window to air the room in peace. At 8.30am the next morning 
after a sleepless night, the fire alarm goes off in all the rooms! No staff 
can be found to explain what is happening and no evacuation taken place. 
After 15 minutes or so we finally speak t"&amp;"o someone who lets us know the 
alarm panel was accidentally broken. No apology was offered or a 
compensation for being so rudely awoke and Travelodge policy of a fire 
evacuation was carried out. Heads banging from the sound, we check out 
early. Stay r"&amp;"uined and very unhelpful staff, would never stay…Read 
moreReview collected in partnership with TravelodgeDate of stay: February 
20191 Helpful voteHelpfulShareResponse from TravelodgeUK, Ben from the 
Social Media Team at Travelodge London Waterloo Hotel"&amp;"Responded 1 Mar 
2019Thank you for your feedback. We are really sorry to hear of your 
experience. Please accept our sincerest apologies and we have passed your 
comments onto the hotel manager. Could we kindly ask you to contact one of 
our Customer Serv"&amp;"ices Advisors via our website help form with a copy of 
your review to look into this more thoroughly. Thank you again for 
reviewing our hotel.Read more")</f>
        <v>DO NOT STAY HEREFirst of all we arrive to the hotel on an extremely hot day in the city and 
the room is blasting 26 degrees heat making it unbearable to be in. There 
is a loud bleeping alarm coming from outside the room so we are unable to 
even open the window to air the room in peace. At 8.30am the next morning 
after a sleepless night, the fire alarm goes off in all the rooms! No staff 
can be found to explain what is happening and no evacuation taken place. 
After 15 minutes or so we finally speak to someone who lets us know the 
alarm panel was accidentally broken. No apology was offered or a 
compensation for being so rudely awoke and Travelodge policy of a fire 
evacuation was carried out. Heads banging from the sound, we check out 
early. Stay ruined and very unhelpful staff, would never stay…Read 
moreReview collected in partnership with TravelodgeDate of stay: February 
20191 Helpful voteHelpfulShareResponse from TravelodgeUK, Ben from the 
Social Media Team at Travelodge London Waterloo HotelResponded 1 Mar 
2019Thank you for your feedback. We are really sorry to hear of your 
experience. Please accept our sincerest apologies and we have passed your 
comments onto the hotel manager. Could we kindly ask you to contact one of 
our Customer Services Advisors via our website help form with a copy of 
your review to look into this more thoroughly. Thank you again for 
reviewing our hotel.Read more</v>
      </c>
      <c r="G116" s="24" t="str">
        <f ca="1">IFERROR(__xludf.DUMMYFUNCTION("IMPORTXML(C116, $G$1)"),"Karen M wrote a review Feb 2019Liverpool, United Kingdom4 contributions")</f>
        <v>Karen M wrote a review Feb 2019Liverpool, United Kingdom4 contributions</v>
      </c>
      <c r="H116" s="4" t="str">
        <f ca="1">IFERROR(__xludf.DUMMYFUNCTION("""COMPUTED_VALUE"""),"Fabulous hotel and staffI stay here regularly on business due it's location to central London, 
value for money and cleanliness. All the staff are friendly and welcoming 
but Lyndsey in the restaurant is a real gem. ALWAYS smiling and calm even 
when rush"&amp;"ed off her feet, full of zest and eager to please. She epitomizes 
everything you would want in a member of staff and I always look forward to 
seeing her when I am there. Thanks!Read moreDate of stay: February 
2019HelpfulShare")</f>
        <v>Fabulous hotel and staffI stay here regularly on business due it's location to central London, 
value for money and cleanliness. All the staff are friendly and welcoming 
but Lyndsey in the restaurant is a real gem. ALWAYS smiling and calm even 
when rushed off her feet, full of zest and eager to please. She epitomizes 
everything you would want in a member of staff and I always look forward to 
seeing her when I am there. Thanks!Read moreDate of stay: February 
2019HelpfulShare</v>
      </c>
      <c r="I116" s="21"/>
      <c r="J116" s="21" t="str">
        <f ca="1">IFERROR(__xludf.DUMMYFUNCTION("IMPORTXML(C116, $J$1)"),"Littleleg64 wrote a review Feb 2019Portsmouth, United Kingdom39 
contributions11 helpful votes")</f>
        <v>Littleleg64 wrote a review Feb 2019Portsmouth, United Kingdom39 
contributions11 helpful votes</v>
      </c>
      <c r="K116" s="4" t="str">
        <f ca="1">IFERROR(__xludf.DUMMYFUNCTION("""COMPUTED_VALUE"""),"Good ValueHad a Lovely night at London Waterloo Hotel we chose this Sunday as it was 
good value for money and as we were not theatregoers there is still a lot 
to do around London the hotel itself was clean tidy and very central to the 
station and under"&amp;"ground and some of the sites of London very close to the 
Southbank would definitely do this again but the price we paid for 
breakfastVery good value all you can eat food was hot fresh Could not fault 
itRead moreReview collected in partnership with Trav"&amp;"elodgeDate of stay: 
February 2019HelpfulShare")</f>
        <v>Good ValueHad a Lovely night at London Waterloo Hotel we chose this Sunday as it was 
good value for money and as we were not theatregoers there is still a lot 
to do around London the hotel itself was clean tidy and very central to the 
station and underground and some of the sites of London very close to the 
Southbank would definitely do this again but the price we paid for 
breakfastVery good value all you can eat food was hot fresh Could not fault 
itRead moreReview collected in partnership with TravelodgeDate of stay: 
February 2019HelpfulShare</v>
      </c>
      <c r="L116" s="21"/>
      <c r="M116" s="21" t="str">
        <f ca="1">IFERROR(__xludf.DUMMYFUNCTION("IMPORTXML(C116, $M$1)"),"Mj B wrote a review Feb 20191 contribution")</f>
        <v>Mj B wrote a review Feb 20191 contribution</v>
      </c>
      <c r="N116" s="4" t="str">
        <f ca="1">IFERROR(__xludf.DUMMYFUNCTION("""COMPUTED_VALUE"""),"Waterloo amazing visitSo welcoming at the Travelodge everybody was so friendly always willing to 
help the room was as expected, clean room available everyday that you are 
there breakfast was a wide range of food to select although both mornings 
beans s"&amp;"eem to be cold or very luke warm but good overall we also had meal 
in the evening Lindsay was great easy to talk to and very pleasant great 
value food at £12 for main and dessert which tasted good too also at 
checking out reception was very helpful as "&amp;"they took our bags to look after 
as we went out for the day before we went home overall great service and 
rooms would definitely recommend and come backRead moreDate of stay: 
February 2019HelpfulShare")</f>
        <v>Waterloo amazing visitSo welcoming at the Travelodge everybody was so friendly always willing to 
help the room was as expected, clean room available everyday that you are 
there breakfast was a wide range of food to select although both mornings 
beans seem to be cold or very luke warm but good overall we also had meal 
in the evening Lindsay was great easy to talk to and very pleasant great 
value food at £12 for main and dessert which tasted good too also at 
checking out reception was very helpful as they took our bags to look after 
as we went out for the day before we went home overall great service and 
rooms would definitely recommend and come backRead moreDate of stay: 
February 2019HelpfulShare</v>
      </c>
      <c r="O116" s="21"/>
      <c r="P116" s="21" t="str">
        <f ca="1">IFERROR(__xludf.DUMMYFUNCTION("IMPORTXML(C116, $P$1)"),"#N/A")</f>
        <v>#N/A</v>
      </c>
      <c r="U116" s="4" t="str">
        <f ca="1">IFERROR(__xludf.DUMMYFUNCTION("IMPORTXML(C117,$U$1)"),"Loading...")</f>
        <v>Loading...</v>
      </c>
    </row>
    <row r="117" spans="1:21" ht="15">
      <c r="A117" s="25" t="s">
        <v>9539</v>
      </c>
      <c r="B117" s="17" t="s">
        <v>126</v>
      </c>
      <c r="C117" s="23" t="str">
        <f t="shared" si="0"/>
        <v>https://www.tripadvisor.co.uk/Hotel_Review-g186338-d1812157-Reviews-or575-Travelodge_London_Waterloo_Hotel-London_England.html#REVIEWS</v>
      </c>
      <c r="D117" s="4" t="str">
        <f ca="1">IFERROR(__xludf.DUMMYFUNCTION("IMPORTXML(C117,$D$1)"),"Thomas809 wrote a review Feb 201947 contributions21 helpful votes")</f>
        <v>Thomas809 wrote a review Feb 201947 contributions21 helpful votes</v>
      </c>
      <c r="E117" s="4" t="str">
        <f ca="1">IFERROR(__xludf.DUMMYFUNCTION("""COMPUTED_VALUE"""),"Best Travelodge I've stayed in.Stayed here last week, and couldn't fault it. All the staff were friendly 
and helpful. Arrived early as forgot to book early check-in but wasn't a 
problem as was given room early anyway. Bar staff friendly, and breakfast 
"&amp;"in the morning was fine. The fire alarm kept going off in the morning 9am 
ish, so got ready to leave the building but was told it was ok to stay 
inside. This was a very minor issue, and didn't alter our view of this 
travelodge.Read moreReview collected"&amp;" in partnership with TravelodgeDate of 
stay: February 2019HelpfulShare")</f>
        <v>Best Travelodge I've stayed in.Stayed here last week, and couldn't fault it. All the staff were friendly 
and helpful. Arrived early as forgot to book early check-in but wasn't a 
problem as was given room early anyway. Bar staff friendly, and breakfast 
in the morning was fine. The fire alarm kept going off in the morning 9am 
ish, so got ready to leave the building but was told it was ok to stay 
inside. This was a very minor issue, and didn't alter our view of this 
travelodge.Read moreReview collected in partnership with TravelodgeDate of 
stay: February 2019HelpfulShare</v>
      </c>
      <c r="G117" s="24" t="str">
        <f ca="1">IFERROR(__xludf.DUMMYFUNCTION("IMPORTXML(C117, $G$1)"),"loopylou106 wrote a review Feb 2019Launceston, United Kingdom4 
contributions2 helpful votes")</f>
        <v>loopylou106 wrote a review Feb 2019Launceston, United Kingdom4 
contributions2 helpful votes</v>
      </c>
      <c r="H117" s="4" t="str">
        <f ca="1">IFERROR(__xludf.DUMMYFUNCTION("""COMPUTED_VALUE"""),"Warm Welcome at Waterloo!Second stay at Travelodge Waterloo - although smaller room than last time, 
still plenty of room for two of us. Friendly staff, clean and tidy 
(although did notice a cobweb at the top of the window). Stayed on top 
floor - no not"&amp;"iceable noise from traffic. Good night's sleep (must be all 
that walking!)Read moreReview collected in partnership with TravelodgeDate 
of stay: February 2019HelpfulShare")</f>
        <v>Warm Welcome at Waterloo!Second stay at Travelodge Waterloo - although smaller room than last time, 
still plenty of room for two of us. Friendly staff, clean and tidy 
(although did notice a cobweb at the top of the window). Stayed on top 
floor - no noticeable noise from traffic. Good night's sleep (must be all 
that walking!)Read moreReview collected in partnership with TravelodgeDate 
of stay: February 2019HelpfulShare</v>
      </c>
      <c r="I117" s="21"/>
      <c r="J117" s="21" t="str">
        <f ca="1">IFERROR(__xludf.DUMMYFUNCTION("IMPORTXML(C117, $J$1)"),"faefrank wrote a review Feb 2019London, United Kingdom59 contributions15 
helpful votes")</f>
        <v>faefrank wrote a review Feb 2019London, United Kingdom59 contributions15 
helpful votes</v>
      </c>
      <c r="K117" s="4" t="str">
        <f ca="1">IFERROR(__xludf.DUMMYFUNCTION("""COMPUTED_VALUE"""),"Excellent stay.We stayed here for a short weekend break and were very impressed with this 
hotel. Our room was spotlessly clean and equipped with iron, ironing board 
and hairdryer. We were also impressed with the hotel security as once out 
of the lift y"&amp;"ou needed a key to access the door to the floor your room was 
on. Staff were very polite and friendly at all times and it was about a 5 
minute walk to Waterloo station and approx 20 min walk to Leicester Square, 
the other advantage was being able to le"&amp;"ave our luggage in a secure 
environment until we were ready to go home. Breakfast was excellent piping 
hot and plenty of it with a good selection of continental if you preferred 
it was as good as other more expensive hotels we've stayed at and we will "&amp;"
certainly stay here again.Read moreDate of stay: February 2019HelpfulShare")</f>
        <v>Excellent stay.We stayed here for a short weekend break and were very impressed with this 
hotel. Our room was spotlessly clean and equipped with iron, ironing board 
and hairdryer. We were also impressed with the hotel security as once out 
of the lift you needed a key to access the door to the floor your room was 
on. Staff were very polite and friendly at all times and it was about a 5 
minute walk to Waterloo station and approx 20 min walk to Leicester Square, 
the other advantage was being able to leave our luggage in a secure 
environment until we were ready to go home. Breakfast was excellent piping 
hot and plenty of it with a good selection of continental if you preferred 
it was as good as other more expensive hotels we've stayed at and we will 
certainly stay here again.Read moreDate of stay: February 2019HelpfulShare</v>
      </c>
      <c r="L117" s="21"/>
      <c r="M117" s="21" t="str">
        <f ca="1">IFERROR(__xludf.DUMMYFUNCTION("IMPORTXML(C117, $M$1)"),"Compass35793906803 wrote a review Feb 2019Longjumeau, France1 contribution")</f>
        <v>Compass35793906803 wrote a review Feb 2019Longjumeau, France1 contribution</v>
      </c>
      <c r="N117" s="4" t="str">
        <f ca="1">IFERROR(__xludf.DUMMYFUNCTION("""COMPUTED_VALUE"""),"Everything was perfectWe met very nice people, the room and the hotel in general were really 
clean. We would be happy to come back! We had dinner one night, the food 
was really good and the waitress so nice, we had a lovely momentRead 
moreReview collec"&amp;"ted in partnership with TravelodgeDate of stay: February 
2019HelpfulShare")</f>
        <v>Everything was perfectWe met very nice people, the room and the hotel in general were really 
clean. We would be happy to come back! We had dinner one night, the food 
was really good and the waitress so nice, we had a lovely momentRead 
moreReview collected in partnership with TravelodgeDate of stay: February 
2019HelpfulShare</v>
      </c>
      <c r="O117" s="21"/>
      <c r="P117" s="21" t="str">
        <f ca="1">IFERROR(__xludf.DUMMYFUNCTION("IMPORTXML(C117, $P$1)"),"sue873 wrote a review Feb 2019Kingston-upon-Hull, United Kingdom4 
contributions2 helpful votes")</f>
        <v>sue873 wrote a review Feb 2019Kingston-upon-Hull, United Kingdom4 
contributions2 helpful votes</v>
      </c>
      <c r="Q117" s="4" t="str">
        <f ca="1">IFERROR(__xludf.DUMMYFUNCTION("""COMPUTED_VALUE"""),"London breakGood location on Waterloo road, few minutes walk from tube station, 10 mins 
walk from Blackfriars and Westminster bridges, clean, tidy and friendly and 
helpful staff, will stay here again when visiting London again.Read 
moreReview collected"&amp;" in partnership with TravelodgeDate of stay: February 
2019HelpfulShare")</f>
        <v>London breakGood location on Waterloo road, few minutes walk from tube station, 10 mins 
walk from Blackfriars and Westminster bridges, clean, tidy and friendly and 
helpful staff, will stay here again when visiting London again.Read 
moreReview collected in partnership with TravelodgeDate of stay: February 
2019HelpfulShare</v>
      </c>
      <c r="U117" s="4" t="str">
        <f ca="1">IFERROR(__xludf.DUMMYFUNCTION("IMPORTXML(C118,$U$1)"),"Loading...")</f>
        <v>Loading...</v>
      </c>
    </row>
    <row r="118" spans="1:21" ht="15">
      <c r="A118" s="25" t="s">
        <v>9648</v>
      </c>
      <c r="B118" s="17" t="s">
        <v>126</v>
      </c>
      <c r="C118" s="23" t="str">
        <f t="shared" si="0"/>
        <v>https://www.tripadvisor.co.uk/Hotel_Review-g186338-d1812157-Reviews-or580-Travelodge_London_Waterloo_Hotel-London_England.html#REVIEWS</v>
      </c>
      <c r="D118" s="4" t="str">
        <f ca="1">IFERROR(__xludf.DUMMYFUNCTION("IMPORTXML(C118,$D$1)"),"Dave T wrote a review Feb 2019Sunderland, United Kingdom2 contributions")</f>
        <v>Dave T wrote a review Feb 2019Sunderland, United Kingdom2 contributions</v>
      </c>
      <c r="E118" s="4" t="str">
        <f ca="1">IFERROR(__xludf.DUMMYFUNCTION("""COMPUTED_VALUE"""),"Welcoming, friendly and comfortableA great three night business stay in a comfortable hotel. Breakfast was 
excellent, a comfortable bar area and good room with everything I needed. A 
special mention for the staff who were courteous, helpful and professi"&amp;"onal 
at all times. I would thoroughly recommend it and will be back.Read 
moreDate of stay: February 2019HelpfulShare")</f>
        <v>Welcoming, friendly and comfortableA great three night business stay in a comfortable hotel. Breakfast was 
excellent, a comfortable bar area and good room with everything I needed. A 
special mention for the staff who were courteous, helpful and professional 
at all times. I would thoroughly recommend it and will be back.Read 
moreDate of stay: February 2019HelpfulShare</v>
      </c>
      <c r="G118" s="24" t="str">
        <f ca="1">IFERROR(__xludf.DUMMYFUNCTION("IMPORTXML(C118, $G$1)"),"Damian L wrote a review Feb 2019Newport, United Kingdom3 contributions")</f>
        <v>Damian L wrote a review Feb 2019Newport, United Kingdom3 contributions</v>
      </c>
      <c r="H118" s="4" t="str">
        <f ca="1">IFERROR(__xludf.DUMMYFUNCTION("""COMPUTED_VALUE"""),"Modern, clean, friendly staff...all you need from a hotelThe particular Travelodge we stayed in was a Travelodge Plus and it was 
perfect for our one night stay in London. Perfectly placed for a Central 
London visit! The place was modern, clean and tidy."&amp;"...all you want from a 
hotel! Staff were friendly and helpful. Breakfast is great value for all 
you can eat. Look out for a quick video overview of the room soon on 
CharlieShooters KnowHow on Youtube. I am looking to upload it shortly.Read 
moreReview "&amp;"collected in partnership with TravelodgeDate of stay: February 
2019HelpfulShare")</f>
        <v>Modern, clean, friendly staff...all you need from a hotelThe particular Travelodge we stayed in was a Travelodge Plus and it was 
perfect for our one night stay in London. Perfectly placed for a Central 
London visit! The place was modern, clean and tidy....all you want from a 
hotel! Staff were friendly and helpful. Breakfast is great value for all 
you can eat. Look out for a quick video overview of the room soon on 
CharlieShooters KnowHow on Youtube. I am looking to upload it shortly.Read 
moreReview collected in partnership with TravelodgeDate of stay: February 
2019HelpfulShare</v>
      </c>
      <c r="I118" s="21"/>
      <c r="J118" s="21" t="str">
        <f ca="1">IFERROR(__xludf.DUMMYFUNCTION("IMPORTXML(C118, $J$1)"),"JACKKLAD wrote a review Feb 2019Swansea, United Kingdom347 contributions143 
helpful votes")</f>
        <v>JACKKLAD wrote a review Feb 2019Swansea, United Kingdom347 contributions143 
helpful votes</v>
      </c>
      <c r="K118" s="4" t="str">
        <f ca="1">IFERROR(__xludf.DUMMYFUNCTION("""COMPUTED_VALUE"""),"Great find in LondonFantastic value for the money and brilliant full English breakfast. 10 
minutes walk from Waterloo station &amp; 5 minutes from The old Vic theatre. 
Great, polite, smart ,professional helpful staff all of them sorry can't 
remember names "&amp;"but thank you all very much excellent serviceRead moreReview 
collected in partnership with TravelodgeDate of stay: February 
2019HelpfulShare")</f>
        <v>Great find in LondonFantastic value for the money and brilliant full English breakfast. 10 
minutes walk from Waterloo station &amp; 5 minutes from The old Vic theatre. 
Great, polite, smart ,professional helpful staff all of them sorry can't 
remember names but thank you all very much excellent serviceRead moreReview 
collected in partnership with TravelodgeDate of stay: February 
2019HelpfulShare</v>
      </c>
      <c r="L118" s="21"/>
      <c r="M118" s="21" t="str">
        <f ca="1">IFERROR(__xludf.DUMMYFUNCTION("IMPORTXML(C118, $M$1)"),"Patricia18B wrote a review Feb 2019Arbroath, United Kingdom51 
contributions25 helpful votes")</f>
        <v>Patricia18B wrote a review Feb 2019Arbroath, United Kingdom51 
contributions25 helpful votes</v>
      </c>
      <c r="N118" s="4" t="str">
        <f ca="1">IFERROR(__xludf.DUMMYFUNCTION("""COMPUTED_VALUE"""),"Ideal location for our family trip sight seeing around. Rom was very 
comfortable and clean. Liked offee machine in room.Ideal location for our family trip sight seeing around London. Room was 
very comfortable and clean. Liked the coffee machine in the r"&amp;"oom. Staff 
were very friendly and helpful. Close to bus stops and tube station.Read 
moreReview collected in partnership with this hotelDate of stay: February 
2019HelpfulShare")</f>
        <v>Ideal location for our family trip sight seeing around. Rom was very 
comfortable and clean. Liked offee machine in room.Ideal location for our family trip sight seeing around London. Room was 
very comfortable and clean. Liked the coffee machine in the room. Staff 
were very friendly and helpful. Close to bus stops and tube station.Read 
moreReview collected in partnership with this hotelDate of stay: February 
2019HelpfulShare</v>
      </c>
      <c r="O118" s="21"/>
      <c r="P118" s="21" t="str">
        <f ca="1">IFERROR(__xludf.DUMMYFUNCTION("IMPORTXML(C118, $P$1)"),"jchamb0131 wrote a review Feb 2019United Kingdom253 contributions13 helpful 
votes")</f>
        <v>jchamb0131 wrote a review Feb 2019United Kingdom253 contributions13 helpful 
votes</v>
      </c>
      <c r="Q118" s="4" t="str">
        <f ca="1">IFERROR(__xludf.DUMMYFUNCTION("""COMPUTED_VALUE"""),"Great stayStayed here for 1 night during our trip to London. Got a great deal for a 
Sunday night and the room was fab and very modern. Staff were very friendly 
especially Marcio on the bar, he was rushed off his feet but was still 
friendly, polite and "&amp;"charming. What a lovely guy.Read moreDate of stay: 
February 2019HelpfulShare")</f>
        <v>Great stayStayed here for 1 night during our trip to London. Got a great deal for a 
Sunday night and the room was fab and very modern. Staff were very friendly 
especially Marcio on the bar, he was rushed off his feet but was still 
friendly, polite and charming. What a lovely guy.Read moreDate of stay: 
February 2019HelpfulShare</v>
      </c>
      <c r="U118" s="4" t="str">
        <f ca="1">IFERROR(__xludf.DUMMYFUNCTION("IMPORTXML(C119,$U$1)"),"Loading...")</f>
        <v>Loading...</v>
      </c>
    </row>
    <row r="119" spans="1:21" ht="15">
      <c r="A119" s="5" t="s">
        <v>9750</v>
      </c>
      <c r="B119" s="17" t="s">
        <v>126</v>
      </c>
      <c r="C119" s="23" t="str">
        <f t="shared" si="0"/>
        <v>https://www.tripadvisor.co.uk/Hotel_Review-g186338-d1812157-Reviews-or585-Travelodge_London_Waterloo_Hotel-London_England.html#REVIEWS</v>
      </c>
      <c r="D119" s="4" t="str">
        <f ca="1">IFERROR(__xludf.DUMMYFUNCTION("IMPORTXML(C119,$D$1)"),"Rebecca P wrote a review Feb 2019Dorking, United Kingdom15 contributions8 
helpful votes")</f>
        <v>Rebecca P wrote a review Feb 2019Dorking, United Kingdom15 contributions8 
helpful votes</v>
      </c>
      <c r="E119" s="4" t="str">
        <f ca="1">IFERROR(__xludf.DUMMYFUNCTION("""COMPUTED_VALUE"""),"ExcellentLove this Travelodge. The staff are all fantastic, welcoming and friendly. 
The rooms are lovely, clean and comfortable. The food is amazing and such 
good value for money. Perfect location for exploringRead moreReview 
collected in partnership w"&amp;"ith TravelodgeDate of stay: February 
2019HelpfulShare")</f>
        <v>ExcellentLove this Travelodge. The staff are all fantastic, welcoming and friendly. 
The rooms are lovely, clean and comfortable. The food is amazing and such 
good value for money. Perfect location for exploringRead moreReview 
collected in partnership with TravelodgeDate of stay: February 
2019HelpfulShare</v>
      </c>
      <c r="G119" s="24" t="str">
        <f ca="1">IFERROR(__xludf.DUMMYFUNCTION("IMPORTXML(C119, $G$1)"),"#N/A")</f>
        <v>#N/A</v>
      </c>
      <c r="I119" s="21"/>
      <c r="J119" s="21" t="str">
        <f ca="1">IFERROR(__xludf.DUMMYFUNCTION("IMPORTXML(C119, $J$1)"),"monicamasRome wrote a review Feb 2019Rome, Italy48 contributions26 helpful 
votes")</f>
        <v>monicamasRome wrote a review Feb 2019Rome, Italy48 contributions26 helpful 
votes</v>
      </c>
      <c r="K119" s="4" t="str">
        <f ca="1">IFERROR(__xludf.DUMMYFUNCTION("""COMPUTED_VALUE"""),"Delightful experience at the TravelodgeExcellent location and with very kind and helpful staff, I had an amazing 
staying at the Travelodge Waterloo. The room was not big but it was clean 
and with an amazing view on the Shard. I will choose it again for "&amp;"my next 
trips in London and I will recommend it to friends. Excellent value for 
money.Read moreReview collected in partnership with TravelodgeDate of stay: 
February 20191 Helpful voteHelpfulShare")</f>
        <v>Delightful experience at the TravelodgeExcellent location and with very kind and helpful staff, I had an amazing 
staying at the Travelodge Waterloo. The room was not big but it was clean 
and with an amazing view on the Shard. I will choose it again for my next 
trips in London and I will recommend it to friends. Excellent value for 
money.Read moreReview collected in partnership with TravelodgeDate of stay: 
February 20191 Helpful voteHelpfulShare</v>
      </c>
      <c r="L119" s="21"/>
      <c r="M119" s="21" t="str">
        <f ca="1">IFERROR(__xludf.DUMMYFUNCTION("IMPORTXML(C119, $M$1)"),"Janne Linn wrote a review Feb 2019Gjerstad Municipality, Norway1 
contribution")</f>
        <v>Janne Linn wrote a review Feb 2019Gjerstad Municipality, Norway1 
contribution</v>
      </c>
      <c r="N119" s="4" t="str">
        <f ca="1">IFERROR(__xludf.DUMMYFUNCTION("""COMPUTED_VALUE"""),"Great stay!Smiling, friendly and service minded staff. Breakfast OK with a buffet. 
Clean, nice smelling rooms (first thing we noticed) and good value for 
money. Close to Waterloo station. Not too far from London eye, Thames, Big 
Ben or Westminster if y"&amp;"ou’re happy to walk a bit.Read moreReview collected 
in partnership with TravelodgeDate of stay: February 2019HelpfulShare")</f>
        <v>Great stay!Smiling, friendly and service minded staff. Breakfast OK with a buffet. 
Clean, nice smelling rooms (first thing we noticed) and good value for 
money. Close to Waterloo station. Not too far from London eye, Thames, Big 
Ben or Westminster if you’re happy to walk a bit.Read moreReview collected 
in partnership with TravelodgeDate of stay: February 2019HelpfulShare</v>
      </c>
      <c r="O119" s="21"/>
      <c r="P119" s="21" t="str">
        <f ca="1">IFERROR(__xludf.DUMMYFUNCTION("IMPORTXML(C119, $P$1)"),"Camper50066257618 wrote a review Feb 20191 contribution")</f>
        <v>Camper50066257618 wrote a review Feb 20191 contribution</v>
      </c>
      <c r="Q119" s="4" t="str">
        <f ca="1">IFERROR(__xludf.DUMMYFUNCTION("""COMPUTED_VALUE"""),"Weekend stayExcellent location, so easy to get to central London. The hotel was clean 
and comfortable, albeit our room was chilly when we arrived. Raised this 
with the staff who supplied extra duvets, there may have been a problem 
with the heating?Read"&amp;" moreReview collected in partnership with 
TravelodgeDate of stay: February 2019HelpfulShare")</f>
        <v>Weekend stayExcellent location, so easy to get to central London. The hotel was clean 
and comfortable, albeit our room was chilly when we arrived. Raised this 
with the staff who supplied extra duvets, there may have been a problem 
with the heating?Read moreReview collected in partnership with 
TravelodgeDate of stay: February 2019HelpfulShare</v>
      </c>
      <c r="U119" s="4" t="str">
        <f ca="1">IFERROR(__xludf.DUMMYFUNCTION("IMPORTXML(C120,$U$1)"),"Loading...")</f>
        <v>Loading...</v>
      </c>
    </row>
    <row r="120" spans="1:21" ht="15">
      <c r="A120" s="25" t="s">
        <v>9857</v>
      </c>
      <c r="B120" s="17" t="s">
        <v>126</v>
      </c>
      <c r="C120" s="23" t="str">
        <f t="shared" si="0"/>
        <v>https://www.tripadvisor.co.uk/Hotel_Review-g186338-d1812157-Reviews-or590-Travelodge_London_Waterloo_Hotel-London_England.html#REVIEWS</v>
      </c>
      <c r="D120" s="4" t="str">
        <f ca="1">IFERROR(__xludf.DUMMYFUNCTION("IMPORTXML(C120,$D$1)"),"#N/A")</f>
        <v>#N/A</v>
      </c>
      <c r="G120" s="24" t="str">
        <f ca="1">IFERROR(__xludf.DUMMYFUNCTION("IMPORTXML(C120, $G$1)"),"Nat W wrote a review Feb 2019Leicestershire, United Kingdom169 
contributions38 helpful votes")</f>
        <v>Nat W wrote a review Feb 2019Leicestershire, United Kingdom169 
contributions38 helpful votes</v>
      </c>
      <c r="H120" s="4" t="str">
        <f ca="1">IFERROR(__xludf.DUMMYFUNCTION("""COMPUTED_VALUE"""),"Overnight stay with workBooked as great price and location I needed near Westminster. Lovely room 
clean and bright. Small but very functional bathroom. Only had a shower but 
I think that is better. Small hanging area for clothes and a desk and 
chair. T"&amp;"ea and coffee. Comfy bed and extra pillows available. Window could 
open. Fresh sheets and towels. Bar seemed nice. Only had a got chocolate. 
Lovely friendly service. Would definitely stay again. Only down side is 
room I was in was next to some kind of "&amp;"pump room or maintenance room or 
something, so did produce a little bit of noise that made it harder to 
settle.Read moreDate of stay: February 2019HelpfulShare")</f>
        <v>Overnight stay with workBooked as great price and location I needed near Westminster. Lovely room 
clean and bright. Small but very functional bathroom. Only had a shower but 
I think that is better. Small hanging area for clothes and a desk and 
chair. Tea and coffee. Comfy bed and extra pillows available. Window could 
open. Fresh sheets and towels. Bar seemed nice. Only had a got chocolate. 
Lovely friendly service. Would definitely stay again. Only down side is 
room I was in was next to some kind of pump room or maintenance room or 
something, so did produce a little bit of noise that made it harder to 
settle.Read moreDate of stay: February 2019HelpfulShare</v>
      </c>
      <c r="I120" s="21"/>
      <c r="J120" s="21" t="str">
        <f ca="1">IFERROR(__xludf.DUMMYFUNCTION("IMPORTXML(C120, $J$1)"),"RainbowFish1 wrote a review Feb 2019Denmead, United Kingdom115 
contributions38 helpful votes")</f>
        <v>RainbowFish1 wrote a review Feb 2019Denmead, United Kingdom115 
contributions38 helpful votes</v>
      </c>
      <c r="K120" s="4" t="str">
        <f ca="1">IFERROR(__xludf.DUMMYFUNCTION("""COMPUTED_VALUE"""),"Good locationBrilliant location. Easy to check in and check out. Staff seemed friendly. 
Room was on 7th floor which was quieter although some guests didn't get 
that message in the early hours, not to slam your doors. Chose this hotel 
as had hospital ap"&amp;"pointments the following day at Guy's and St Thomas' 
Hospital. Need a degree to work out lights especially in the middle of the 
night when you want to use the bathroom. Good selection of tea bags and hot 
chocolate on tea tray in room. I tried the coffe"&amp;"e machine but the coffee 
was far too strong even though I added lots of milk, would be nice to have 
a latte pod or hot chocolate pod however liked that I had a chocolate 
sachet on tray. Had a little issue with the spot lights above bed, when I 
turned "&amp;"them off to go to sleep, they dimmed but…Read moreDate of stay: 
February 2019HelpfulShare")</f>
        <v>Good locationBrilliant location. Easy to check in and check out. Staff seemed friendly. 
Room was on 7th floor which was quieter although some guests didn't get 
that message in the early hours, not to slam your doors. Chose this hotel 
as had hospital appointments the following day at Guy's and St Thomas' 
Hospital. Need a degree to work out lights especially in the middle of the 
night when you want to use the bathroom. Good selection of tea bags and hot 
chocolate on tea tray in room. I tried the coffee machine but the coffee 
was far too strong even though I added lots of milk, would be nice to have 
a latte pod or hot chocolate pod however liked that I had a chocolate 
sachet on tray. Had a little issue with the spot lights above bed, when I 
turned them off to go to sleep, they dimmed but…Read moreDate of stay: 
February 2019HelpfulShare</v>
      </c>
      <c r="L120" s="21"/>
      <c r="M120" s="21" t="str">
        <f ca="1">IFERROR(__xludf.DUMMYFUNCTION("IMPORTXML(C120, $M$1)"),"#N/A")</f>
        <v>#N/A</v>
      </c>
      <c r="O120" s="21"/>
      <c r="P120" s="21" t="str">
        <f ca="1">IFERROR(__xludf.DUMMYFUNCTION("IMPORTXML(C120, $P$1)"),"Roy S wrote a review Feb 2019London Waterloo3 contributions")</f>
        <v>Roy S wrote a review Feb 2019London Waterloo3 contributions</v>
      </c>
      <c r="Q120" s="4" t="str">
        <f ca="1">IFERROR(__xludf.DUMMYFUNCTION("""COMPUTED_VALUE"""),"dated, dreary and dreadfulwe stayed here for business again at the last minute. I would have 
preferred to sleep in a buss shelter. Food was microwaved, cold and 
disgusting. Maybe they should stay there themselves to experience the 
pain.Read moreDate of"&amp;" stay: August 2018HelpfulShareResponse from 
TravelodgeUK, Tilly from The Social Media Team at Travelodge London 
Waterloo HotelResponded 19 Feb 2019Thank you for submitting your review of 
our London Waterloo Hotel. We are so sorry to hear about your exp"&amp;"erience 
and will ensure your comments are passed to the hotel team to improve the 
service we offer. If you wish to report this to our customer service team 
please may we kindly request you contact them with your review via our 
website. May we thank yo"&amp;"u for sharing your experience and we hope you stay 
with us in the future.Read more")</f>
        <v>dated, dreary and dreadfulwe stayed here for business again at the last minute. I would have 
preferred to sleep in a buss shelter. Food was microwaved, cold and 
disgusting. Maybe they should stay there themselves to experience the 
pain.Read moreDate of stay: August 2018HelpfulShareResponse from 
TravelodgeUK, Tilly from The Social Media Team at Travelodge London 
Waterloo HotelResponded 19 Feb 2019Thank you for submitting your review of 
our London Waterloo Hotel. We are so sorry to hear about your experience 
and will ensure your comments are passed to the hotel team to improve the 
service we offer. If you wish to report this to our customer service team 
please may we kindly request you contact them with your review via our 
website. May we thank you for sharing your experience and we hope you stay 
with us in the future.Read more</v>
      </c>
      <c r="U120" s="4" t="str">
        <f ca="1">IFERROR(__xludf.DUMMYFUNCTION("IMPORTXML(C121,$U$1)"),"Loading...")</f>
        <v>Loading...</v>
      </c>
    </row>
    <row r="121" spans="1:21" ht="15">
      <c r="A121" s="25" t="s">
        <v>9955</v>
      </c>
      <c r="B121" s="17" t="s">
        <v>126</v>
      </c>
      <c r="C121" s="23" t="str">
        <f t="shared" si="0"/>
        <v>https://www.tripadvisor.co.uk/Hotel_Review-g186338-d1812157-Reviews-or595-Travelodge_London_Waterloo_Hotel-London_England.html#REVIEWS</v>
      </c>
      <c r="D121" s="4" t="str">
        <f ca="1">IFERROR(__xludf.DUMMYFUNCTION("IMPORTXML(C121,$D$1)"),"hannam8m wrote a review Feb 2019Reykjavik, Iceland3 contributions")</f>
        <v>hannam8m wrote a review Feb 2019Reykjavik, Iceland3 contributions</v>
      </c>
      <c r="E121" s="4" t="str">
        <f ca="1">IFERROR(__xludf.DUMMYFUNCTION("""COMPUTED_VALUE"""),"Great stayWe were welcomed by an excellent staff who helped us and explained the 
nearest attesctions and restaurants. The rooms were very comfortable and 
clean. The food was a good option. The cafe is opened 24 hours a day and 
their prices are very att"&amp;"ractive. The location was excellent and close to 
Waterloo station. A good selection of restaurants nearby. Will definitely 
go back if we're in London.Read moreReview collected in partnership with 
TravelodgeDate of stay: February 2019HelpfulShare")</f>
        <v>Great stayWe were welcomed by an excellent staff who helped us and explained the 
nearest attesctions and restaurants. The rooms were very comfortable and 
clean. The food was a good option. The cafe is opened 24 hours a day and 
their prices are very attractive. The location was excellent and close to 
Waterloo station. A good selection of restaurants nearby. Will definitely 
go back if we're in London.Read moreReview collected in partnership with 
TravelodgeDate of stay: February 2019HelpfulShare</v>
      </c>
      <c r="G121" s="24" t="str">
        <f ca="1">IFERROR(__xludf.DUMMYFUNCTION("IMPORTXML(C121, $G$1)"),"Sheila M wrote a review Feb 2019Hampshire, United Kingdom55 contributions13 
helpful votes")</f>
        <v>Sheila M wrote a review Feb 2019Hampshire, United Kingdom55 contributions13 
helpful votes</v>
      </c>
      <c r="H121" s="4" t="str">
        <f ca="1">IFERROR(__xludf.DUMMYFUNCTION("""COMPUTED_VALUE"""),"Nice and cheapI was going to give this hotel two starts because I was a bit annoyed that 
it doesn't have any free wifi but I changed my mind this morning. Breakfast 
was included in the price of the room and it was totally worthy, what a 
wonderful break"&amp;"fast! It has lots of things: English breakfast, fruit, 
fruitjuices, cereals... I will definitely come back.Read moreDate of stay: 
February 2019HelpfulShare")</f>
        <v>Nice and cheapI was going to give this hotel two starts because I was a bit annoyed that 
it doesn't have any free wifi but I changed my mind this morning. Breakfast 
was included in the price of the room and it was totally worthy, what a 
wonderful breakfast! It has lots of things: English breakfast, fruit, 
fruitjuices, cereals... I will definitely come back.Read moreDate of stay: 
February 2019HelpfulShare</v>
      </c>
      <c r="I121" s="21"/>
      <c r="J121" s="21" t="str">
        <f ca="1">IFERROR(__xludf.DUMMYFUNCTION("IMPORTXML(C121, $J$1)"),"Lucy C wrote a review Feb 2019Washington, United Kingdom14 contributions2 
helpful votes")</f>
        <v>Lucy C wrote a review Feb 2019Washington, United Kingdom14 contributions2 
helpful votes</v>
      </c>
      <c r="K121" s="4" t="str">
        <f ca="1">IFERROR(__xludf.DUMMYFUNCTION("""COMPUTED_VALUE"""),"Decent!Good hotel, very welcoming, modern, clean and very quiet at night too! Only 
Let down was no plug in bath to have a bath which would have been nice 
after a long journey and also the rooms don’t come with hairdryer as 
standard! Would definitely st"&amp;"ay again.Read moreDate of stay: February 
2019HelpfulShare")</f>
        <v>Decent!Good hotel, very welcoming, modern, clean and very quiet at night too! Only 
Let down was no plug in bath to have a bath which would have been nice 
after a long journey and also the rooms don’t come with hairdryer as 
standard! Would definitely stay again.Read moreDate of stay: February 
2019HelpfulShare</v>
      </c>
      <c r="L121" s="21"/>
      <c r="M121" s="21" t="str">
        <f ca="1">IFERROR(__xludf.DUMMYFUNCTION("IMPORTXML(C121, $M$1)"),"#N/A")</f>
        <v>#N/A</v>
      </c>
      <c r="O121" s="21"/>
      <c r="P121" s="21" t="str">
        <f ca="1">IFERROR(__xludf.DUMMYFUNCTION("IMPORTXML(C121, $P$1)"),"A-side-of-opinion wrote a review Feb 2019Edinburgh, United Kingdom22 
contributions19 helpful votes")</f>
        <v>A-side-of-opinion wrote a review Feb 2019Edinburgh, United Kingdom22 
contributions19 helpful votes</v>
      </c>
      <c r="Q121" s="4" t="str">
        <f ca="1">IFERROR(__xludf.DUMMYFUNCTION("""COMPUTED_VALUE"""),"All you could ask for.Affordable, clean, staff extraordinarily helpful and we could leave our 
luggage after check out ! Perfect for a city break stay. The rooms were 
basic but all you need. Had a bar and breakfast options as well! Would 
highly recommen"&amp;"dRead moreDate of stay: February 2019HelpfulShare")</f>
        <v>All you could ask for.Affordable, clean, staff extraordinarily helpful and we could leave our 
luggage after check out ! Perfect for a city break stay. The rooms were 
basic but all you need. Had a bar and breakfast options as well! Would 
highly recommendRead moreDate of stay: February 2019HelpfulShare</v>
      </c>
      <c r="U121" s="4" t="str">
        <f ca="1">IFERROR(__xludf.DUMMYFUNCTION("IMPORTXML(C122,$U$1)"),"Loading...")</f>
        <v>Loading...</v>
      </c>
    </row>
    <row r="122" spans="1:21" ht="15">
      <c r="A122" s="25" t="s">
        <v>10049</v>
      </c>
      <c r="B122" s="17" t="s">
        <v>126</v>
      </c>
      <c r="C122" s="23" t="str">
        <f t="shared" si="0"/>
        <v>https://www.tripadvisor.co.uk/Hotel_Review-g186338-d1812157-Reviews-or600-Travelodge_London_Waterloo_Hotel-London_England.html#REVIEWS</v>
      </c>
      <c r="D122" s="4" t="str">
        <f ca="1">IFERROR(__xludf.DUMMYFUNCTION("IMPORTXML(C122,$D$1)"),"Fearless708593 wrote a review Feb 20192 contributions")</f>
        <v>Fearless708593 wrote a review Feb 20192 contributions</v>
      </c>
      <c r="E122" s="4" t="str">
        <f ca="1">IFERROR(__xludf.DUMMYFUNCTION("""COMPUTED_VALUE"""),"PerfectAmazing value for money, clean, comfortable and enjoyable stay. Had 
everything we needed for one overnight stay - enough pillows, shower soap 
dispenser, tv and coffee and tea making facilities. Would definitely book 
again!Read moreReview collect"&amp;"ed in partnership with TravelodgeDate of stay: 
February 2019HelpfulShare")</f>
        <v>PerfectAmazing value for money, clean, comfortable and enjoyable stay. Had 
everything we needed for one overnight stay - enough pillows, shower soap 
dispenser, tv and coffee and tea making facilities. Would definitely book 
again!Read moreReview collected in partnership with TravelodgeDate of stay: 
February 2019HelpfulShare</v>
      </c>
      <c r="G122" s="24" t="str">
        <f ca="1">IFERROR(__xludf.DUMMYFUNCTION("IMPORTXML(C122, $G$1)"),"Vincent59 wrote a review Feb 2019Berkshire42 contributions87 helpful votes")</f>
        <v>Vincent59 wrote a review Feb 2019Berkshire42 contributions87 helpful votes</v>
      </c>
      <c r="H122" s="4" t="str">
        <f ca="1">IFERROR(__xludf.DUMMYFUNCTION("""COMPUTED_VALUE"""),"Handy locationFriday night stay, trip to the theatre and the London Eye. Travelodge was 
Clean and tidy. Pleasant staff. Sensible price. Good bed. Surprisingly 
quiet on the 6th floor. Close to many attractions. Would certainly use 
again.Read moreDate of"&amp;" stay: February 20191 Helpful voteHelpfulShare")</f>
        <v>Handy locationFriday night stay, trip to the theatre and the London Eye. Travelodge was 
Clean and tidy. Pleasant staff. Sensible price. Good bed. Surprisingly 
quiet on the 6th floor. Close to many attractions. Would certainly use 
again.Read moreDate of stay: February 20191 Helpful voteHelpfulShare</v>
      </c>
      <c r="I122" s="21"/>
      <c r="J122" s="21" t="str">
        <f ca="1">IFERROR(__xludf.DUMMYFUNCTION("IMPORTXML(C122, $J$1)"),"Dave W wrote a review Feb 2019Dorchester, United Kingdom15 contributions2 
helpful votes")</f>
        <v>Dave W wrote a review Feb 2019Dorchester, United Kingdom15 contributions2 
helpful votes</v>
      </c>
      <c r="K122" s="4" t="str">
        <f ca="1">IFERROR(__xludf.DUMMYFUNCTION("""COMPUTED_VALUE"""),"Not badIt's a decent enough location, easy to get from and quick from Waterloo. 
Good breakfast and well maintained. The heating was a bit odd, it was an 
air conditioner that randomly came on and off...and it was cold. Had to 
apparently get it switched "&amp;"from auto to manual? We were offered another 
heater. The keycard for the door stopped working about 4 times and had to 
be replaced each time. There was a fire evacuation in the middle of the 
night, but no staff appeared to be taking control of the situ"&amp;"ation, no 
obvious fire wardens.The staff were very friendly and helpful.Room on the 
8th floor was a bit small and I didn't find the bed that comfortable.Shower 
pressure was pretty weak, but nice and hot. Bathroom pretty small.Read 
moreReview collected"&amp;" in partnership with TravelodgeDate of stay: February 
2019HelpfulShareResponse from TravelodgeUK, Tilly from The Social Media 
Team at Travelodge London Waterloo HotelResponded 10 Feb 2019Thank you for 
your review of our London Waterloo Hotel. We're sor"&amp;"ry to learn of the 
issues that you experienced with the heater and your key card, however we 
are pleased that the location was good, you enjoyed the breakfast and the 
hotel team were friendly and helpful. We will be sure to pass this to the 
hotel team"&amp;" and hope to welcome you back soonRead more")</f>
        <v>Not badIt's a decent enough location, easy to get from and quick from Waterloo. 
Good breakfast and well maintained. The heating was a bit odd, it was an 
air conditioner that randomly came on and off...and it was cold. Had to 
apparently get it switched from auto to manual? We were offered another 
heater. The keycard for the door stopped working about 4 times and had to 
be replaced each time. There was a fire evacuation in the middle of the 
night, but no staff appeared to be taking control of the situation, no 
obvious fire wardens.The staff were very friendly and helpful.Room on the 
8th floor was a bit small and I didn't find the bed that comfortable.Shower 
pressure was pretty weak, but nice and hot. Bathroom pretty small.Read 
moreReview collected in partnership with TravelodgeDate of stay: February 
2019HelpfulShareResponse from TravelodgeUK, Tilly from The Social Media 
Team at Travelodge London Waterloo HotelResponded 10 Feb 2019Thank you for 
your review of our London Waterloo Hotel. We're sorry to learn of the 
issues that you experienced with the heater and your key card, however we 
are pleased that the location was good, you enjoyed the breakfast and the 
hotel team were friendly and helpful. We will be sure to pass this to the 
hotel team and hope to welcome you back soonRead more</v>
      </c>
      <c r="L122" s="21"/>
      <c r="M122" s="21" t="str">
        <f ca="1">IFERROR(__xludf.DUMMYFUNCTION("IMPORTXML(C122, $M$1)"),"Roam49797604559 wrote a review Feb 2019County Dublin, Ireland1 contribution")</f>
        <v>Roam49797604559 wrote a review Feb 2019County Dublin, Ireland1 contribution</v>
      </c>
      <c r="N122" s="4" t="str">
        <f ca="1">IFERROR(__xludf.DUMMYFUNCTION("""COMPUTED_VALUE"""),"Mother/daughter weekendVery friendly but efficient staff. There's a lovely small bar/foyer in 
which to enjoy a relaxed post-sightseeing drink/nightcap or snack. The room 
was small but perfectly suitable for the 2 of us. It was clean &amp; 
comfortable with "&amp;"TV and tea/coffee making facilities. There were also extra 
pillows in the room. The hotel is really central being 5 mins walk from 
Waterloo station, served by buses and within walking distance of sights, 
Borough Market &amp; South Bank. I wouldn't bother w"&amp;"ith the fried breakfast as 
it was tasteless. Will definitely stay there again.Read moreReview 
collected in partnership with TravelodgeDate of stay: January 20191 Helpful 
voteHelpfulShare")</f>
        <v>Mother/daughter weekendVery friendly but efficient staff. There's a lovely small bar/foyer in 
which to enjoy a relaxed post-sightseeing drink/nightcap or snack. The room 
was small but perfectly suitable for the 2 of us. It was clean &amp; 
comfortable with TV and tea/coffee making facilities. There were also extra 
pillows in the room. The hotel is really central being 5 mins walk from 
Waterloo station, served by buses and within walking distance of sights, 
Borough Market &amp; South Bank. I wouldn't bother with the fried breakfast as 
it was tasteless. Will definitely stay there again.Read moreReview 
collected in partnership with TravelodgeDate of stay: January 20191 Helpful 
voteHelpfulShare</v>
      </c>
      <c r="O122" s="21"/>
      <c r="P122" s="21" t="str">
        <f ca="1">IFERROR(__xludf.DUMMYFUNCTION("IMPORTXML(C122, $P$1)"),"Zoecal wrote a review Feb 2019Annecy, France134 contributions28 helpful 
votes")</f>
        <v>Zoecal wrote a review Feb 2019Annecy, France134 contributions28 helpful 
votes</v>
      </c>
      <c r="Q122" s="4" t="str">
        <f ca="1">IFERROR(__xludf.DUMMYFUNCTION("""COMPUTED_VALUE"""),"Clean, spacious, comfortable and good locationStayed for 2 nights with my daughter. A spacious room (unusual for London), 
clean, really quiet from street noise (also unusual for London). 
Comfortable beds and a really good, warm and powerful shower (with"&amp;" a 
handheld shower head that you could actually use rather than a fixed head 
or the hose tied up too short). Easy to walk to from Waterloo Station. Our 
cooked breakfast was good and free for my daughter - good value for a 
London £8.95 eat-all-you-want"&amp;" deal. We’ll definitely be back!Read moreDate 
of stay: February 20191 Helpful voteHelpfulShare")</f>
        <v>Clean, spacious, comfortable and good locationStayed for 2 nights with my daughter. A spacious room (unusual for London), 
clean, really quiet from street noise (also unusual for London). 
Comfortable beds and a really good, warm and powerful shower (with a 
handheld shower head that you could actually use rather than a fixed head 
or the hose tied up too short). Easy to walk to from Waterloo Station. Our 
cooked breakfast was good and free for my daughter - good value for a 
London £8.95 eat-all-you-want deal. We’ll definitely be back!Read moreDate 
of stay: February 20191 Helpful voteHelpfulShare</v>
      </c>
      <c r="U122" s="4" t="str">
        <f ca="1">IFERROR(__xludf.DUMMYFUNCTION("IMPORTXML(C123,$U$1)"),"Loading...")</f>
        <v>Loading...</v>
      </c>
    </row>
    <row r="123" spans="1:21" ht="15">
      <c r="A123" s="5" t="s">
        <v>10163</v>
      </c>
      <c r="B123" s="17" t="s">
        <v>126</v>
      </c>
      <c r="C123" s="23" t="str">
        <f t="shared" si="0"/>
        <v>https://www.tripadvisor.co.uk/Hotel_Review-g186338-d1812157-Reviews-or605-Travelodge_London_Waterloo_Hotel-London_England.html#REVIEWS</v>
      </c>
      <c r="D123" s="4" t="str">
        <f ca="1">IFERROR(__xludf.DUMMYFUNCTION("IMPORTXML(C123,$D$1)"),"#N/A")</f>
        <v>#N/A</v>
      </c>
      <c r="G123" s="24" t="str">
        <f ca="1">IFERROR(__xludf.DUMMYFUNCTION("IMPORTXML(C123, $G$1)"),"VKLiew wrote a review Feb 2019Kuala Lumpur, Malaysia406 contributions67 
helpful votes")</f>
        <v>VKLiew wrote a review Feb 2019Kuala Lumpur, Malaysia406 contributions67 
helpful votes</v>
      </c>
      <c r="H123" s="4" t="str">
        <f ca="1">IFERROR(__xludf.DUMMYFUNCTION("""COMPUTED_VALUE"""),"comfy family roomsspacious rooms, locations is walkable to Waterloo station. 2 small lifts 
and one was on maintenance for the whole hotels, thats not so good. my only 
setback is they only offer 30mins wifi and you need to pay if you need to 
use it long"&amp;"er.Read moreDate of stay: January 2019HelpfulShare")</f>
        <v>comfy family roomsspacious rooms, locations is walkable to Waterloo station. 2 small lifts 
and one was on maintenance for the whole hotels, thats not so good. my only 
setback is they only offer 30mins wifi and you need to pay if you need to 
use it longer.Read moreDate of stay: January 2019HelpfulShare</v>
      </c>
      <c r="I123" s="21"/>
      <c r="J123" s="21" t="str">
        <f ca="1">IFERROR(__xludf.DUMMYFUNCTION("IMPORTXML(C123, $J$1)"),"Mr McClure wrote a review Jan 2019London, United Kingdom1 contribution")</f>
        <v>Mr McClure wrote a review Jan 2019London, United Kingdom1 contribution</v>
      </c>
      <c r="K123" s="4" t="str">
        <f ca="1">IFERROR(__xludf.DUMMYFUNCTION("""COMPUTED_VALUE"""),"Really Welcome Visit and great ManagerI visited the hotel on the 15th January for a flyby drink with a friend 
whilst we waited for family. The hotel lobby was clean and warm (I remember 
this due to how cold it was outside), our hot drinks were made prom"&amp;"ptly and 
the mash mellow on top of the hot chocolate made my day. We met and spoke 
to a really lovely lady called Vee or Dee (not too sure she informed us she 
was a manager at the hotel to be honest she looked the part smartly dressed 
and a matching s"&amp;"mile to compliment her outfit). Thank you for the welcome 
smile you gave us when you passed us as we entered the building and also 
for taking some time out to recommend some activities for us to do and see 
whilst in London. Your welcome nature and info"&amp;"rmation about the hotel has 
convinced us to stay at the hotel in March…Read moreDate of stay: January 
2019HelpfulShare")</f>
        <v>Really Welcome Visit and great ManagerI visited the hotel on the 15th January for a flyby drink with a friend 
whilst we waited for family. The hotel lobby was clean and warm (I remember 
this due to how cold it was outside), our hot drinks were made promptly and 
the mash mellow on top of the hot chocolate made my day. We met and spoke 
to a really lovely lady called Vee or Dee (not too sure she informed us she 
was a manager at the hotel to be honest she looked the part smartly dressed 
and a matching smile to compliment her outfit). Thank you for the welcome 
smile you gave us when you passed us as we entered the building and also 
for taking some time out to recommend some activities for us to do and see 
whilst in London. Your welcome nature and information about the hotel has 
convinced us to stay at the hotel in March…Read moreDate of stay: January 
2019HelpfulShare</v>
      </c>
      <c r="L123" s="21"/>
      <c r="M123" s="21" t="str">
        <f ca="1">IFERROR(__xludf.DUMMYFUNCTION("IMPORTXML(C123, $M$1)"),"Sarah20726 wrote a review Jan 2019Southampton, England, United Kingdom3 
contributions2 helpful votes")</f>
        <v>Sarah20726 wrote a review Jan 2019Southampton, England, United Kingdom3 
contributions2 helpful votes</v>
      </c>
      <c r="N123" s="4" t="str">
        <f ca="1">IFERROR(__xludf.DUMMYFUNCTION("""COMPUTED_VALUE"""),"Perfect.Location is 3/4min walk from Waterloo station (same road as the exit by the 
underground) USB sockets in all plugs. Bathroom look brand new. The whole 
room did to be fair!! Great price. Will stay again.Read moreReview 
collected in partnership wi"&amp;"th TravelodgeDate of stay: January 
2019HelpfulShare")</f>
        <v>Perfect.Location is 3/4min walk from Waterloo station (same road as the exit by the 
underground) USB sockets in all plugs. Bathroom look brand new. The whole 
room did to be fair!! Great price. Will stay again.Read moreReview 
collected in partnership with TravelodgeDate of stay: January 
2019HelpfulShare</v>
      </c>
      <c r="O123" s="21"/>
      <c r="P123" s="21" t="str">
        <f ca="1">IFERROR(__xludf.DUMMYFUNCTION("IMPORTXML(C123, $P$1)"),"Andrew Slezak wrote a review Jan 20191 contribution")</f>
        <v>Andrew Slezak wrote a review Jan 20191 contribution</v>
      </c>
      <c r="Q123" s="4" t="str">
        <f ca="1">IFERROR(__xludf.DUMMYFUNCTION("""COMPUTED_VALUE"""),"Night stayThis hotel is just great value for money . Super clean , lovely friendly 
staff and the breakfast was super yummy . Excellent location . Couldn’t 
fault anything at all . I highly recommend it for both business and leisure 
activities .Read more"&amp;"Date of stay: January 2019HelpfulShare")</f>
        <v>Night stayThis hotel is just great value for money . Super clean , lovely friendly 
staff and the breakfast was super yummy . Excellent location . Couldn’t 
fault anything at all . I highly recommend it for both business and leisure 
activities .Read moreDate of stay: January 2019HelpfulShare</v>
      </c>
      <c r="U123" s="4" t="str">
        <f ca="1">IFERROR(__xludf.DUMMYFUNCTION("IMPORTXML(C124,$U$1)"),"Loading...")</f>
        <v>Loading...</v>
      </c>
    </row>
    <row r="124" spans="1:21" ht="15">
      <c r="A124" s="25" t="s">
        <v>10239</v>
      </c>
      <c r="B124" s="17" t="s">
        <v>126</v>
      </c>
      <c r="C124" s="23" t="str">
        <f t="shared" si="0"/>
        <v>https://www.tripadvisor.co.uk/Hotel_Review-g186338-d1812157-Reviews-or610-Travelodge_London_Waterloo_Hotel-London_England.html#REVIEWS</v>
      </c>
      <c r="D124" s="4" t="str">
        <f ca="1">IFERROR(__xludf.DUMMYFUNCTION("IMPORTXML(C124,$D$1)"),"Hoptonjohn wrote a review Jan 2019Great Yarmouth, United Kingdom298 
contributions78 helpful votes")</f>
        <v>Hoptonjohn wrote a review Jan 2019Great Yarmouth, United Kingdom298 
contributions78 helpful votes</v>
      </c>
      <c r="E124" s="4" t="str">
        <f ca="1">IFERROR(__xludf.DUMMYFUNCTION("""COMPUTED_VALUE"""),"Love the super roomThis hotel is convenient for work and has recently been refurbished. Lately 
I have used the super rooms which are just a couple of notches better than 
the standard offering. Checkin was as ever straightforward and on arrival 
in my ro"&amp;"om on the seventh floor I was pleased to note that the heating was 
working as it was cold outside. The room was clean and quiet and the 
showers exceptional. The only slight downside was the heating control kept 
defaulting to 30°. This meant I switched "&amp;"it off overnight. The added bonus 
of the pod coffee machine has to be mentioned also.I’m sure I will be 
staying here again in the future.Read moreDate of stay: January 20191 
Helpful voteHelpfulShare")</f>
        <v>Love the super roomThis hotel is convenient for work and has recently been refurbished. Lately 
I have used the super rooms which are just a couple of notches better than 
the standard offering. Checkin was as ever straightforward and on arrival 
in my room on the seventh floor I was pleased to note that the heating was 
working as it was cold outside. The room was clean and quiet and the 
showers exceptional. The only slight downside was the heating control kept 
defaulting to 30°. This meant I switched it off overnight. The added bonus 
of the pod coffee machine has to be mentioned also.I’m sure I will be 
staying here again in the future.Read moreDate of stay: January 20191 
Helpful voteHelpfulShare</v>
      </c>
      <c r="G124" s="24" t="str">
        <f ca="1">IFERROR(__xludf.DUMMYFUNCTION("IMPORTXML(C124, $G$1)"),"#N/A")</f>
        <v>#N/A</v>
      </c>
      <c r="I124" s="21"/>
      <c r="J124" s="21" t="str">
        <f ca="1">IFERROR(__xludf.DUMMYFUNCTION("IMPORTXML(C124, $J$1)"),"Nanzala wrote a review Jan 2019Greater London, United Kingdom7 
contributions3 helpful votes")</f>
        <v>Nanzala wrote a review Jan 2019Greater London, United Kingdom7 
contributions3 helpful votes</v>
      </c>
      <c r="K124" s="4" t="str">
        <f ca="1">IFERROR(__xludf.DUMMYFUNCTION("""COMPUTED_VALUE"""),"Great locationMy husband and I stayed here for a week. The location’s great as it’s a 
stones throw away from Waterloo Underground station and The Old Vic bus 
station. Overall it’s actually a pretty great hotel, particularly for 
business travelers. The "&amp;"only issue we had: Our mattress. It was definitely 
not back friendly, we had aching shoulders and backs throughout our stay. 
Would also be great if they could throw in a few more amenities.Read 
moreDate of stay: January 20191 Helpful voteHelpfulShareRe"&amp;"sponse from 
TravelodgeUK, Molly from the Social Media Team at Travelodge London 
Waterloo HotelResponded 28 Jan 2019Thank you for your review. We're pleased 
to hear that your stay was enhanced by the location of the Hotel. However, 
we're sorry to learn"&amp;" that you found the bed to be uncomfortable. We hope to 
provide all of our guest's with a pleasant and relaxing stay, however we do 
understand that it is not always possible to cater to each guest's 
individual preferences. We will take your feedback on"&amp;" board. Being a budget 
Hotel brand, we believe that we provide all the necessary facilities to 
ensure a comfortable stay, for value. However we are always looking to 
improve the services we offer and we will pass your comments on to the 
relevant team."&amp;" Thank you again for your review.Read more")</f>
        <v>Great locationMy husband and I stayed here for a week. The location’s great as it’s a 
stones throw away from Waterloo Underground station and The Old Vic bus 
station. Overall it’s actually a pretty great hotel, particularly for 
business travelers. The only issue we had: Our mattress. It was definitely 
not back friendly, we had aching shoulders and backs throughout our stay. 
Would also be great if they could throw in a few more amenities.Read 
moreDate of stay: January 20191 Helpful voteHelpfulShareResponse from 
TravelodgeUK, Molly from the Social Media Team at Travelodge London 
Waterloo HotelResponded 28 Jan 2019Thank you for your review. We're pleased 
to hear that your stay was enhanced by the location of the Hotel. However, 
we're sorry to learn that you found the bed to be uncomfortable. We hope to 
provide all of our guest's with a pleasant and relaxing stay, however we do 
understand that it is not always possible to cater to each guest's 
individual preferences. We will take your feedback on board. Being a budget 
Hotel brand, we believe that we provide all the necessary facilities to 
ensure a comfortable stay, for value. However we are always looking to 
improve the services we offer and we will pass your comments on to the 
relevant team. Thank you again for your review.Read more</v>
      </c>
      <c r="L124" s="21"/>
      <c r="M124" s="21" t="str">
        <f ca="1">IFERROR(__xludf.DUMMYFUNCTION("IMPORTXML(C124, $M$1)"),"Kelly wrote a review Jan 20191 contribution")</f>
        <v>Kelly wrote a review Jan 20191 contribution</v>
      </c>
      <c r="N124" s="4" t="str">
        <f ca="1">IFERROR(__xludf.DUMMYFUNCTION("""COMPUTED_VALUE"""),"Friendly staff and good hotelVery helpful and friendly staff, especially April who was warm and 
welcoming when we arrived and Lindsey who always had a smile and added some 
fun to our mealtimes, thank you very much! We will return soon.Read 
moreDate of "&amp;"stay: January 2019HelpfulShare")</f>
        <v>Friendly staff and good hotelVery helpful and friendly staff, especially April who was warm and 
welcoming when we arrived and Lindsey who always had a smile and added some 
fun to our mealtimes, thank you very much! We will return soon.Read 
moreDate of stay: January 2019HelpfulShare</v>
      </c>
      <c r="O124" s="21"/>
      <c r="P124" s="21" t="str">
        <f ca="1">IFERROR(__xludf.DUMMYFUNCTION("IMPORTXML(C124, $P$1)"),"Colettigirl wrote a review Jan 201921 contributions8 helpful votes")</f>
        <v>Colettigirl wrote a review Jan 201921 contributions8 helpful votes</v>
      </c>
      <c r="Q124" s="4" t="str">
        <f ca="1">IFERROR(__xludf.DUMMYFUNCTION("""COMPUTED_VALUE"""),"Amazing hotelMu daughter and I came to London for a few days at stayed at Travelodge 
Waterloo. We had such a fantastic time with the most amazing staff. From 
the house keeping staff to bar staff and the waitresses and waiting and 
reception. Everyone wa"&amp;"s so friendly, genuinely interested in their guests 
and have a great friendship between the staff. We will be back again most 
definitely. It was so clean, and looked exactly like the website. The food 
was so reasonable. Thank you to all for making our "&amp;"trip extra special.Read 
moreDate of stay: January 2019HelpfulShare")</f>
        <v>Amazing hotelMu daughter and I came to London for a few days at stayed at Travelodge 
Waterloo. We had such a fantastic time with the most amazing staff. From 
the house keeping staff to bar staff and the waitresses and waiting and 
reception. Everyone was so friendly, genuinely interested in their guests 
and have a great friendship between the staff. We will be back again most 
definitely. It was so clean, and looked exactly like the website. The food 
was so reasonable. Thank you to all for making our trip extra special.Read 
moreDate of stay: January 2019HelpfulShare</v>
      </c>
      <c r="U124" s="4" t="str">
        <f ca="1">IFERROR(__xludf.DUMMYFUNCTION("IMPORTXML(C125,$U$1)"),"Loading...")</f>
        <v>Loading...</v>
      </c>
    </row>
    <row r="125" spans="1:21" ht="15">
      <c r="A125" s="25" t="s">
        <v>10306</v>
      </c>
      <c r="B125" s="17" t="s">
        <v>126</v>
      </c>
      <c r="C125" s="23" t="str">
        <f t="shared" si="0"/>
        <v>https://www.tripadvisor.co.uk/Hotel_Review-g186338-d1812157-Reviews-or615-Travelodge_London_Waterloo_Hotel-London_England.html#REVIEWS</v>
      </c>
      <c r="D125" s="4" t="str">
        <f ca="1">IFERROR(__xludf.DUMMYFUNCTION("IMPORTXML(C125,$D$1)"),"Fearless29762669638 wrote a review Jan 2019Wells, United Kingdom1 
contribution")</f>
        <v>Fearless29762669638 wrote a review Jan 2019Wells, United Kingdom1 
contribution</v>
      </c>
      <c r="E125" s="4" t="str">
        <f ca="1">IFERROR(__xludf.DUMMYFUNCTION("""COMPUTED_VALUE"""),"Excellent stay in Waterloo TravelodgeMy room was comfortable, as was the bed, and without being showy, contained 
everything I needed. We rated breakfast highly, with a wide range of 
choices, and staff were friendly and helpful. Small lounge area with ba"&amp;"r 
useful for meeting friends.Read moreReview collected in partnership with 
TravelodgeDate of stay: January 2019HelpfulShare")</f>
        <v>Excellent stay in Waterloo TravelodgeMy room was comfortable, as was the bed, and without being showy, contained 
everything I needed. We rated breakfast highly, with a wide range of 
choices, and staff were friendly and helpful. Small lounge area with bar 
useful for meeting friends.Read moreReview collected in partnership with 
TravelodgeDate of stay: January 2019HelpfulShare</v>
      </c>
      <c r="G125" s="24" t="str">
        <f ca="1">IFERROR(__xludf.DUMMYFUNCTION("IMPORTXML(C125, $G$1)"),"juliejbrown wrote a review Jan 2019Poole, United Kingdom1 contribution")</f>
        <v>juliejbrown wrote a review Jan 2019Poole, United Kingdom1 contribution</v>
      </c>
      <c r="H125" s="4" t="str">
        <f ca="1">IFERROR(__xludf.DUMMYFUNCTION("""COMPUTED_VALUE"""),"Great location.Friendly staff.Clean rooms and beds comfy.Location is ideal if arriving at 
waterloo.Close to lots of places to visit.Good eating places 
nearby.Bathroom is a good size with a great shower.Would thoroughly 
recommend.Read moreReview collect"&amp;"ed in partnership with TravelodgeDate of 
stay: January 2019HelpfulShare")</f>
        <v>Great location.Friendly staff.Clean rooms and beds comfy.Location is ideal if arriving at 
waterloo.Close to lots of places to visit.Good eating places 
nearby.Bathroom is a good size with a great shower.Would thoroughly 
recommend.Read moreReview collected in partnership with TravelodgeDate of 
stay: January 2019HelpfulShare</v>
      </c>
      <c r="I125" s="21"/>
      <c r="J125" s="21" t="str">
        <f ca="1">IFERROR(__xludf.DUMMYFUNCTION("IMPORTXML(C125, $J$1)"),"Trond M wrote a review Jan 2019Forde, Norway23 contributions2 helpful votes")</f>
        <v>Trond M wrote a review Jan 2019Forde, Norway23 contributions2 helpful votes</v>
      </c>
      <c r="K125" s="4" t="str">
        <f ca="1">IFERROR(__xludf.DUMMYFUNCTION("""COMPUTED_VALUE"""),"Afordable, central &amp; niceNice hotel in central London. Great if you visit the Southbank Centre, and 
just to walk over the bridge to get to Westminister. Staff was nice. Had my 
suitcase standing in reception all Sunday as I had a late flight. Behind 
loc"&amp;"ked doors and that was very comfortable to know it was safe.Read 
moreReview collected in partnership with TravelodgeDate of stay: January 
2019HelpfulShare")</f>
        <v>Afordable, central &amp; niceNice hotel in central London. Great if you visit the Southbank Centre, and 
just to walk over the bridge to get to Westminister. Staff was nice. Had my 
suitcase standing in reception all Sunday as I had a late flight. Behind 
locked doors and that was very comfortable to know it was safe.Read 
moreReview collected in partnership with TravelodgeDate of stay: January 
2019HelpfulShare</v>
      </c>
      <c r="L125" s="21"/>
      <c r="M125" s="21" t="str">
        <f ca="1">IFERROR(__xludf.DUMMYFUNCTION("IMPORTXML(C125, $M$1)"),"#N/A")</f>
        <v>#N/A</v>
      </c>
      <c r="O125" s="21"/>
      <c r="P125" s="21" t="str">
        <f ca="1">IFERROR(__xludf.DUMMYFUNCTION("IMPORTXML(C125, $P$1)"),"AUKTourist wrote a review Jan 2019Fort Lauderdale, Florida791 
contributions494 helpful votes")</f>
        <v>AUKTourist wrote a review Jan 2019Fort Lauderdale, Florida791 
contributions494 helpful votes</v>
      </c>
      <c r="Q125" s="4" t="str">
        <f ca="1">IFERROR(__xludf.DUMMYFUNCTION("""COMPUTED_VALUE"""),"Super Room Super StayThe Travelodge Waterloo is in an excellent location for accessing The City. 
The room was clean, had lots of plugs at least 7 with usb connection, 
shower hot and powerful with a comfortable bed. Breakfast is ok but the 
heat lamps te"&amp;"nd to dry the food and it is only warm, but there are plenty 
of things to choose from on the light breakfast menu Highly 
recommended!Read moreDate of stay: January 2019HelpfulShare")</f>
        <v>Super Room Super StayThe Travelodge Waterloo is in an excellent location for accessing The City. 
The room was clean, had lots of plugs at least 7 with usb connection, 
shower hot and powerful with a comfortable bed. Breakfast is ok but the 
heat lamps tend to dry the food and it is only warm, but there are plenty 
of things to choose from on the light breakfast menu Highly 
recommended!Read moreDate of stay: January 2019HelpfulShare</v>
      </c>
      <c r="U125" s="4" t="str">
        <f ca="1">IFERROR(__xludf.DUMMYFUNCTION("IMPORTXML(C126,$U$1)"),"Loading...")</f>
        <v>Loading...</v>
      </c>
    </row>
    <row r="126" spans="1:21" ht="15">
      <c r="A126" s="25" t="s">
        <v>10363</v>
      </c>
      <c r="B126" s="17" t="s">
        <v>126</v>
      </c>
      <c r="C126" s="23" t="str">
        <f t="shared" si="0"/>
        <v>https://www.tripadvisor.co.uk/Hotel_Review-g186338-d1812157-Reviews-or620-Travelodge_London_Waterloo_Hotel-London_England.html#REVIEWS</v>
      </c>
      <c r="D126" s="4" t="str">
        <f ca="1">IFERROR(__xludf.DUMMYFUNCTION("IMPORTXML(C126,$D$1)"),"Robert B wrote a review Jan 2019Uxbridge14 contributions4 helpful votes")</f>
        <v>Robert B wrote a review Jan 2019Uxbridge14 contributions4 helpful votes</v>
      </c>
      <c r="E126" s="4" t="str">
        <f ca="1">IFERROR(__xludf.DUMMYFUNCTION("""COMPUTED_VALUE"""),"Good value, very cleanVery basic but inexpensive, keycards unreliable. Bar stays open all night 
and not too dear by London standards. Went for the cheaper breakfast 
option, plenty to eat, very good standard. Staff were very friendly.Read 
moreDate of st"&amp;"ay: January 2019HelpfulShare")</f>
        <v>Good value, very cleanVery basic but inexpensive, keycards unreliable. Bar stays open all night 
and not too dear by London standards. Went for the cheaper breakfast 
option, plenty to eat, very good standard. Staff were very friendly.Read 
moreDate of stay: January 2019HelpfulShare</v>
      </c>
      <c r="G126" s="24" t="str">
        <f ca="1">IFERROR(__xludf.DUMMYFUNCTION("IMPORTXML(C126, $G$1)"),"#N/A")</f>
        <v>#N/A</v>
      </c>
      <c r="I126" s="21"/>
      <c r="J126" s="21" t="str">
        <f ca="1">IFERROR(__xludf.DUMMYFUNCTION("IMPORTXML(C126, $J$1)"),"Mobile54219537848 wrote a review Jan 20191 contribution1 helpful vote")</f>
        <v>Mobile54219537848 wrote a review Jan 20191 contribution1 helpful vote</v>
      </c>
      <c r="K126" s="4" t="str">
        <f ca="1">IFERROR(__xludf.DUMMYFUNCTION("""COMPUTED_VALUE"""),"Happy customerLovely hotel, clean, great breakfast, value for money and polite staff. 
Lady at reception even printed tickets out for me so I could get discount 
on tourist attractions. Also great location only few minute walk to 
tube.Read moreReview col"&amp;"lected in partnership with TravelodgeDate of stay: 
January 2019HelpfulShare")</f>
        <v>Happy customerLovely hotel, clean, great breakfast, value for money and polite staff. 
Lady at reception even printed tickets out for me so I could get discount 
on tourist attractions. Also great location only few minute walk to 
tube.Read moreReview collected in partnership with TravelodgeDate of stay: 
January 2019HelpfulShare</v>
      </c>
      <c r="L126" s="21"/>
      <c r="M126" s="21" t="str">
        <f ca="1">IFERROR(__xludf.DUMMYFUNCTION("IMPORTXML(C126, $M$1)"),"martin talbot wrote a review Jan 20195 contributions2 helpful votes")</f>
        <v>martin talbot wrote a review Jan 20195 contributions2 helpful votes</v>
      </c>
      <c r="N126" s="4" t="str">
        <f ca="1">IFERROR(__xludf.DUMMYFUNCTION("""COMPUTED_VALUE"""),"Travelodge Excellence!!This recently refurbished Travelodge is an excellent flagship for the 
brand. It has fresh, welcoming decor, the rooms are maintained to a high 
standard and the staff are friendly and customer service concious. It is in 
a prime lo"&amp;"cation for the Waterloo travel hub and also the various venues 
along the South Bank.Read moreReview collected in partnership with 
TravelodgeDate of stay: January 2019HelpfulShare")</f>
        <v>Travelodge Excellence!!This recently refurbished Travelodge is an excellent flagship for the 
brand. It has fresh, welcoming decor, the rooms are maintained to a high 
standard and the staff are friendly and customer service concious. It is in 
a prime location for the Waterloo travel hub and also the various venues 
along the South Bank.Read moreReview collected in partnership with 
TravelodgeDate of stay: January 2019HelpfulShare</v>
      </c>
      <c r="O126" s="21"/>
      <c r="P126" s="21" t="str">
        <f ca="1">IFERROR(__xludf.DUMMYFUNCTION("IMPORTXML(C126, $P$1)"),"Curiosity51707707514 wrote a review Jan 2019Southampton, United Kingdom1 
contribution1 helpful vote")</f>
        <v>Curiosity51707707514 wrote a review Jan 2019Southampton, United Kingdom1 
contribution1 helpful vote</v>
      </c>
      <c r="Q126" s="4" t="str">
        <f ca="1">IFERROR(__xludf.DUMMYFUNCTION("""COMPUTED_VALUE"""),"Grave lodge, Waterloo, London, EnglandMy wife and I stayed veenifnt at this travelodge. During our short stay we 
experienced very friendly and helpful staff, with high professional” 
standards. The room was excellent in terms of its presentation and 
fac"&amp;"ilities and in terms of cost. I would strongly recommend the hotel to 
visitors to London for these reasons and because it is very close to many 
facilities including theatres, the London Eye, the Globe Theatre, Borough 
Market and Westminster.Read moreRe"&amp;"view collected in partnership with 
TravelodgeDate of stay: January 2019HelpfulShare")</f>
        <v>Grave lodge, Waterloo, London, EnglandMy wife and I stayed veenifnt at this travelodge. During our short stay we 
experienced very friendly and helpful staff, with high professional” 
standards. The room was excellent in terms of its presentation and 
facilities and in terms of cost. I would strongly recommend the hotel to 
visitors to London for these reasons and because it is very close to many 
facilities including theatres, the London Eye, the Globe Theatre, Borough 
Market and Westminster.Read moreReview collected in partnership with 
TravelodgeDate of stay: January 2019HelpfulShare</v>
      </c>
      <c r="U126" s="4" t="str">
        <f ca="1">IFERROR(__xludf.DUMMYFUNCTION("IMPORTXML(C127,$U$1)"),"Loading...")</f>
        <v>Loading...</v>
      </c>
    </row>
    <row r="127" spans="1:21" ht="15">
      <c r="A127" s="5" t="s">
        <v>10414</v>
      </c>
      <c r="B127" s="17" t="s">
        <v>126</v>
      </c>
      <c r="C127" s="23" t="str">
        <f t="shared" si="0"/>
        <v>https://www.tripadvisor.co.uk/Hotel_Review-g186338-d1812157-Reviews-or625-Travelodge_London_Waterloo_Hotel-London_England.html#REVIEWS</v>
      </c>
      <c r="D127" s="4" t="str">
        <f ca="1">IFERROR(__xludf.DUMMYFUNCTION("IMPORTXML(C127,$D$1)"),"devonfamily_12 wrote a review Jan 2019Devon England31 contributions13 
helpful votes")</f>
        <v>devonfamily_12 wrote a review Jan 2019Devon England31 contributions13 
helpful votes</v>
      </c>
      <c r="E127" s="4" t="str">
        <f ca="1">IFERROR(__xludf.DUMMYFUNCTION("""COMPUTED_VALUE"""),"Great locationLove staying at this hotel as its so central for everything. Southbank and 
the London Eye 5 minutes walk, easy access to the Jubilee line which is 
perfect if you are going to the O2. Rooms are clean and spacious and some 
have great views "&amp;"of the London Eye or the Shard. Staff are always friendly 
and helpful.Read moreReview collected in partnership with this hotelDate of 
stay: December 2018HelpfulShare")</f>
        <v>Great locationLove staying at this hotel as its so central for everything. Southbank and 
the London Eye 5 minutes walk, easy access to the Jubilee line which is 
perfect if you are going to the O2. Rooms are clean and spacious and some 
have great views of the London Eye or the Shard. Staff are always friendly 
and helpful.Read moreReview collected in partnership with this hotelDate of 
stay: December 2018HelpfulShare</v>
      </c>
      <c r="G127" s="24" t="str">
        <f ca="1">IFERROR(__xludf.DUMMYFUNCTION("IMPORTXML(C127, $G$1)"),"brugge4him wrote a review Jan 2019Bruges, Belgium2 contributions1 helpful 
vote")</f>
        <v>brugge4him wrote a review Jan 2019Bruges, Belgium2 contributions1 helpful 
vote</v>
      </c>
      <c r="H127" s="4" t="str">
        <f ca="1">IFERROR(__xludf.DUMMYFUNCTION("""COMPUTED_VALUE"""),"Enjoyed our stayRoom was clean, location is great - about a 5 minute walk from Waterloo. 
Tea and water kettle were provided as well as hairdryer. The only negative 
is that you only receive 30 mins of free wifi. Not many hotels do that 
anymore, it shoul"&amp;"d be free entirely. But can't fault the property or the 
staff. We enjoyed our stay and will do it again.Read moreReview collected 
in partnership with this hotelDate of stay: December 2018HelpfulShare")</f>
        <v>Enjoyed our stayRoom was clean, location is great - about a 5 minute walk from Waterloo. 
Tea and water kettle were provided as well as hairdryer. The only negative 
is that you only receive 30 mins of free wifi. Not many hotels do that 
anymore, it should be free entirely. But can't fault the property or the 
staff. We enjoyed our stay and will do it again.Read moreReview collected 
in partnership with this hotelDate of stay: December 2018HelpfulShare</v>
      </c>
      <c r="I127" s="21"/>
      <c r="J127" s="21" t="str">
        <f ca="1">IFERROR(__xludf.DUMMYFUNCTION("IMPORTXML(C127, $J$1)"),"EmilyMarquez wrote a review Jan 2019Miami, Florida256 contributions58 
helpful votes")</f>
        <v>EmilyMarquez wrote a review Jan 2019Miami, Florida256 contributions58 
helpful votes</v>
      </c>
      <c r="K127" s="4" t="str">
        <f ca="1">IFERROR(__xludf.DUMMYFUNCTION("""COMPUTED_VALUE"""),"Not My First ChoiceWith an office in Blackfriars, we were assigned to stay here. Personally, 
not my favorite place as it has no good area to gather with friends for a 
drink, or no real restaurant or bar. The rooms are large and comfortable 
but I hate t"&amp;"he nasty old carpets even smelly and humid at times. The hotel 
runs with a skeleton staff that is never available when needed, and if you 
need an iron or other special request, you’ll most likely have to wait. It 
is clean but lacks service so this hote"&amp;"l is never my first choice. It is 
inexpensive so that’s a plus!Read moreDate of stay: October 
2018HelpfulShareResponse from TravelodgeUK, Shaf from the Social Media 
Team. at Travelodge London Waterloo HotelResponded 17 Jan 2019Thank you for 
submitting"&amp;" your review of our London Waterloo Travelodge. We're so sorry to 
hear about your recent experience and would like to hear more about your 
stay. May we kindly request you contact us via our website with your review 
so our customer service team can inve"&amp;"stigate your visit with the hotel. 
Thank you again for posting your comments and we hope to hear from you 
soon.Read more")</f>
        <v>Not My First ChoiceWith an office in Blackfriars, we were assigned to stay here. Personally, 
not my favorite place as it has no good area to gather with friends for a 
drink, or no real restaurant or bar. The rooms are large and comfortable 
but I hate the nasty old carpets even smelly and humid at times. The hotel 
runs with a skeleton staff that is never available when needed, and if you 
need an iron or other special request, you’ll most likely have to wait. It 
is clean but lacks service so this hotel is never my first choice. It is 
inexpensive so that’s a plus!Read moreDate of stay: October 
2018HelpfulShareResponse from TravelodgeUK, Shaf from the Social Media 
Team. at Travelodge London Waterloo HotelResponded 17 Jan 2019Thank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v>
      </c>
      <c r="L127" s="21"/>
      <c r="M127" s="21" t="str">
        <f ca="1">IFERROR(__xludf.DUMMYFUNCTION("IMPORTXML(C127, $M$1)"),"What's on in (and around) Hailsham wrote a review Jan 2019Hailsham, United 
Kingdom2 contributions")</f>
        <v>What's on in (and around) Hailsham wrote a review Jan 2019Hailsham, United 
Kingdom2 contributions</v>
      </c>
      <c r="N127" s="4" t="str">
        <f ca="1">IFERROR(__xludf.DUMMYFUNCTION("""COMPUTED_VALUE"""),"Great central locationWe had travelled up from the South Coast for audition in Denmark Hill. It 
was a great spot for getting to the venue with taxis and buses right 
outside. The views out of the windows weren't great but this wasn't a 
surprise. The ove"&amp;"rall stay was great with a smart, clean, friendly 
atmosphere. I can't fault it, except for the sausages at breakfast were 
extremely unpleasant, but the rest was excellent with a wide choice of 
buffet items. Rooms were clean, tidy and the TV worked on a"&amp;"ll stations. I'd 
definitely use this Travelodge again.Read moreReview collected in 
partnership with TravelodgeDate of stay: January 2019HelpfulShare")</f>
        <v>Great central locationWe had travelled up from the South Coast for audition in Denmark Hill. It 
was a great spot for getting to the venue with taxis and buses right 
outside. The views out of the windows weren't great but this wasn't a 
surprise. The overall stay was great with a smart, clean, friendly 
atmosphere. I can't fault it, except for the sausages at breakfast were 
extremely unpleasant, but the rest was excellent with a wide choice of 
buffet items. Rooms were clean, tidy and the TV worked on all stations. I'd 
definitely use this Travelodge again.Read moreReview collected in 
partnership with TravelodgeDate of stay: January 2019HelpfulShare</v>
      </c>
      <c r="O127" s="21"/>
      <c r="P127" s="21" t="str">
        <f ca="1">IFERROR(__xludf.DUMMYFUNCTION("IMPORTXML(C127, $P$1)"),"SuzieJ wrote a review Jan 2019Birmingham, United Kingdom5 contributions4 
helpful votes")</f>
        <v>SuzieJ wrote a review Jan 2019Birmingham, United Kingdom5 contributions4 
helpful votes</v>
      </c>
      <c r="Q127" s="4" t="str">
        <f ca="1">IFERROR(__xludf.DUMMYFUNCTION("""COMPUTED_VALUE"""),"Great Stay as everGood stay in convenient place in waliking distance to Waterloo station. 
Staff were friendly and helpful. Room was warm clean and beds very 
comfortable. The breakfast was self service with a reasonable range of food 
and drinkRead moreR"&amp;"eview collected in partnership with this hotelDate of 
stay: December 2018HelpfulShare")</f>
        <v>Great Stay as everGood stay in convenient place in waliking distance to Waterloo station. 
Staff were friendly and helpful. Room was warm clean and beds very 
comfortable. The breakfast was self service with a reasonable range of food 
and drinkRead moreReview collected in partnership with this hotelDate of 
stay: December 2018HelpfulShare</v>
      </c>
      <c r="U127" s="4" t="str">
        <f ca="1">IFERROR(__xludf.DUMMYFUNCTION("IMPORTXML(C128,$U$1)"),"Loading...")</f>
        <v>Loading...</v>
      </c>
    </row>
    <row r="128" spans="1:21" ht="15">
      <c r="A128" s="25" t="s">
        <v>10511</v>
      </c>
      <c r="B128" s="17" t="s">
        <v>126</v>
      </c>
      <c r="C128" s="23" t="str">
        <f t="shared" si="0"/>
        <v>https://www.tripadvisor.co.uk/Hotel_Review-g186338-d1812157-Reviews-or630-Travelodge_London_Waterloo_Hotel-London_England.html#REVIEWS</v>
      </c>
      <c r="D128" s="4" t="str">
        <f ca="1">IFERROR(__xludf.DUMMYFUNCTION("IMPORTXML(C128,$D$1)"),"RaChEl_SaY wrote a review Jan 2019Southend-on-Sea, United Kingdom6 
contributions1 helpful vote")</f>
        <v>RaChEl_SaY wrote a review Jan 2019Southend-on-Sea, United Kingdom6 
contributions1 helpful vote</v>
      </c>
      <c r="E128" s="4" t="str">
        <f ca="1">IFERROR(__xludf.DUMMYFUNCTION("""COMPUTED_VALUE"""),"Waterloo HotelVery happy with our stay staff were very friendly and welcoming on the desk 
room was very tidy room was Fresh had a little kettles you can make tea and 
coffee perfect location breakfast was delicious will definitely stay 
againRead moreRev"&amp;"iew collected in partnership with TravelodgeDate of stay: 
January 2019HelpfulShare")</f>
        <v>Waterloo HotelVery happy with our stay staff were very friendly and welcoming on the desk 
room was very tidy room was Fresh had a little kettles you can make tea and 
coffee perfect location breakfast was delicious will definitely stay 
againRead moreReview collected in partnership with TravelodgeDate of stay: 
January 2019HelpfulShare</v>
      </c>
      <c r="G128" s="24" t="str">
        <f ca="1">IFERROR(__xludf.DUMMYFUNCTION("IMPORTXML(C128, $G$1)"),"sck68 wrote a review Jan 2019London, United Kingdom149 contributions28 
helpful votes")</f>
        <v>sck68 wrote a review Jan 2019London, United Kingdom149 contributions28 
helpful votes</v>
      </c>
      <c r="H128" s="4" t="str">
        <f ca="1">IFERROR(__xludf.DUMMYFUNCTION("""COMPUTED_VALUE"""),"Not bad for the areaThis is a good Travelodge because it is close to Waterloo train station and 
still close enough to walk to all the main central London locations such as 
Embankment, Covent Garden and Soho. I have been to this location several 
time an"&amp;"d can often be a better price than some of the other central London 
Travelodges.Read moreReview collected in partnership with this hotelDate of 
stay: December 2018HelpfulShare")</f>
        <v>Not bad for the areaThis is a good Travelodge because it is close to Waterloo train station and 
still close enough to walk to all the main central London locations such as 
Embankment, Covent Garden and Soho. I have been to this location several 
time and can often be a better price than some of the other central London 
Travelodges.Read moreReview collected in partnership with this hotelDate of 
stay: December 2018HelpfulShare</v>
      </c>
      <c r="I128" s="21"/>
      <c r="J128" s="21" t="str">
        <f ca="1">IFERROR(__xludf.DUMMYFUNCTION("IMPORTXML(C128, $J$1)"),"#N/A")</f>
        <v>#N/A</v>
      </c>
      <c r="L128" s="21"/>
      <c r="M128" s="21" t="str">
        <f ca="1">IFERROR(__xludf.DUMMYFUNCTION("IMPORTXML(C128, $M$1)"),"FarAway27911934439 wrote a review Jan 2019Glasgow, United Kingdom1 
contribution1 helpful vote")</f>
        <v>FarAway27911934439 wrote a review Jan 2019Glasgow, United Kingdom1 
contribution1 helpful vote</v>
      </c>
      <c r="N128" s="4" t="str">
        <f ca="1">IFERROR(__xludf.DUMMYFUNCTION("""COMPUTED_VALUE"""),"Another great stayAnother Great stay have been staying around 3-4 times a year for the last 5 
years and always have a great stay staff are always helpful and welcoming 
and make the stay an absolute pleasure. First time staying in one of the 
Super room "&amp;"and its definetley worth it.Read moreReview collected in 
partnership with this hotelDate of stay: December 2018HelpfulShare")</f>
        <v>Another great stayAnother Great stay have been staying around 3-4 times a year for the last 5 
years and always have a great stay staff are always helpful and welcoming 
and make the stay an absolute pleasure. First time staying in one of the 
Super room and its definetley worth it.Read moreReview collected in 
partnership with this hotelDate of stay: December 2018HelpfulShare</v>
      </c>
      <c r="O128" s="21"/>
      <c r="P128" s="21" t="str">
        <f ca="1">IFERROR(__xludf.DUMMYFUNCTION("IMPORTXML(C128, $P$1)"),"AdrianRutter wrote a review Jan 2019Redruth, United Kingdom7 contributions1 
helpful vote")</f>
        <v>AdrianRutter wrote a review Jan 2019Redruth, United Kingdom7 contributions1 
helpful vote</v>
      </c>
      <c r="Q128" s="4" t="str">
        <f ca="1">IFERROR(__xludf.DUMMYFUNCTION("""COMPUTED_VALUE"""),"Fantastic hotel in great location.This hotel is a great place to stay when visiting London. The location is 
ideal, 3 minutes walk from Waterloo station, several bus routes going 
straight past the front door and within easy walking distance of 
attractio"&amp;"ns like the London eye, Westminster and the Imperial war museum, 
There are several shops and great restaurants within 5 - 10 mins walk of 
the hotel too. However, the best thing about this hotel are the staff. We 
had an extremely warm welcome on arrival"&amp;". It became clear very quickly that 
nothing was too much trouble. The staff gave us great advice for visiting 
London, lots of handy tips regarding travel routes etc. I stayed just the 
one night, but our daughter and her partner were there for 4 nights."&amp;" I rang 
the hotel before our arrival to ask if we could have a…Read moreDate of 
stay: January 2019HelpfulShare")</f>
        <v>Fantastic hotel in great location.This hotel is a great place to stay when visiting London. The location is 
ideal, 3 minutes walk from Waterloo station, several bus routes going 
straight past the front door and within easy walking distance of 
attractions like the London eye, Westminster and the Imperial war museum, 
There are several shops and great restaurants within 5 - 10 mins walk of 
the hotel too. However, the best thing about this hotel are the staff. We 
had an extremely warm welcome on arrival. It became clear very quickly that 
nothing was too much trouble. The staff gave us great advice for visiting 
London, lots of handy tips regarding travel routes etc. I stayed just the 
one night, but our daughter and her partner were there for 4 nights. I rang 
the hotel before our arrival to ask if we could have a…Read moreDate of 
stay: January 2019HelpfulShare</v>
      </c>
      <c r="U128" s="4" t="str">
        <f ca="1">IFERROR(__xludf.DUMMYFUNCTION("IMPORTXML(C129,$U$1)"),"Loading...")</f>
        <v>Loading...</v>
      </c>
    </row>
    <row r="129" spans="1:21" ht="15">
      <c r="A129" s="25" t="s">
        <v>10617</v>
      </c>
      <c r="B129" s="17" t="s">
        <v>126</v>
      </c>
      <c r="C129" s="23" t="str">
        <f t="shared" si="0"/>
        <v>https://www.tripadvisor.co.uk/Hotel_Review-g186338-d1812157-Reviews-or635-Travelodge_London_Waterloo_Hotel-London_England.html#REVIEWS</v>
      </c>
      <c r="D129" s="4" t="str">
        <f ca="1">IFERROR(__xludf.DUMMYFUNCTION("IMPORTXML(C129,$D$1)"),"#N/A")</f>
        <v>#N/A</v>
      </c>
      <c r="G129" s="24" t="str">
        <f ca="1">IFERROR(__xludf.DUMMYFUNCTION("IMPORTXML(C129, $G$1)"),"#N/A")</f>
        <v>#N/A</v>
      </c>
      <c r="I129" s="21"/>
      <c r="J129" s="21" t="str">
        <f ca="1">IFERROR(__xludf.DUMMYFUNCTION("IMPORTXML(C129, $J$1)"),"Kat W wrote a review Jan 2019Tampa, Florida10 contributions4 helpful votes")</f>
        <v>Kat W wrote a review Jan 2019Tampa, Florida10 contributions4 helpful votes</v>
      </c>
      <c r="K129" s="4" t="str">
        <f ca="1">IFERROR(__xludf.DUMMYFUNCTION("""COMPUTED_VALUE"""),"Great place to stay if you are trying to see Central London!We traveled to London from Florida, USA, over the New Year Holiday and 
stayed at this hotel for 9 nights. We successfully got to see everything we 
came to see while staying at this hotel. It is"&amp;" about a 5 minutes walk to 
Waterloo Station. The hotel has a bar that is open 24/7 and breakfast 
available each morning (for an extra charge). The bar will serve pizza at 
the late hours of the night, which was surprisingly very good and there is 
a dai"&amp;"ly Happy Hour, which was also a great deal (bogo beer and single mixed 
drinks, discounted wine bottles)! Service at the front desk and bar was 
always excellent. Adam was one of the bartenders, who deserves a special 
shout out for his excellent service "&amp;"to us during our stay! The hotel room 
was small (single queen bed, bathroom, desk and 2…Read moreDate of stay: 
January 2019HelpfulShare")</f>
        <v>Great place to stay if you are trying to see Central London!We traveled to London from Florida, USA, over the New Year Holiday and 
stayed at this hotel for 9 nights. We successfully got to see everything we 
came to see while staying at this hotel. It is about a 5 minutes walk to 
Waterloo Station. The hotel has a bar that is open 24/7 and breakfast 
available each morning (for an extra charge). The bar will serve pizza at 
the late hours of the night, which was surprisingly very good and there is 
a daily Happy Hour, which was also a great deal (bogo beer and single mixed 
drinks, discounted wine bottles)! Service at the front desk and bar was 
always excellent. Adam was one of the bartenders, who deserves a special 
shout out for his excellent service to us during our stay! The hotel room 
was small (single queen bed, bathroom, desk and 2…Read moreDate of stay: 
January 2019HelpfulShare</v>
      </c>
      <c r="L129" s="21"/>
      <c r="M129" s="21" t="str">
        <f ca="1">IFERROR(__xludf.DUMMYFUNCTION("IMPORTXML(C129, $M$1)"),"Twinkles05 wrote a review Jan 2019London1 contribution1 helpful vote")</f>
        <v>Twinkles05 wrote a review Jan 2019London1 contribution1 helpful vote</v>
      </c>
      <c r="N129" s="4" t="str">
        <f ca="1">IFERROR(__xludf.DUMMYFUNCTION("""COMPUTED_VALUE"""),"Cheap, Clean and CentralClean and modern hotel, friendly staff, 5 minutes walk from Waterloo 
Station so easy to travel to anywhere in London. Cab ordered from reception 
was £11 to Leicester Square. Affordable room for a Friday night stay. 
Couldn’t real"&amp;"ly ask for anything more - other than chocolate croissants in 
buffet breakfast ��Read moreReview collected in partnership with 
TravelodgeDate of stay: January 2019HelpfulShare")</f>
        <v>Cheap, Clean and CentralClean and modern hotel, friendly staff, 5 minutes walk from Waterloo 
Station so easy to travel to anywhere in London. Cab ordered from reception 
was £11 to Leicester Square. Affordable room for a Friday night stay. 
Couldn’t really ask for anything more - other than chocolate croissants in 
buffet breakfast ��Read moreReview collected in partnership with 
TravelodgeDate of stay: January 2019HelpfulShare</v>
      </c>
      <c r="O129" s="21"/>
      <c r="P129" s="21" t="str">
        <f ca="1">IFERROR(__xludf.DUMMYFUNCTION("IMPORTXML(C129, $P$1)"),"Lucyc1973 wrote a review Jan 2019Brighton, United Kingdom4 contributions")</f>
        <v>Lucyc1973 wrote a review Jan 2019Brighton, United Kingdom4 contributions</v>
      </c>
      <c r="Q129" s="4" t="str">
        <f ca="1">IFERROR(__xludf.DUMMYFUNCTION("""COMPUTED_VALUE"""),"Very convenient locationThis hotel is just five minutes walk from Waterloo, ten mins from south 
bank, walk into Covent Garden in twenty minutes great location for a mini 
break. Room clean, breakfast fine, staff friendly and helpfulRead 
moreReview colle"&amp;"cted in partnership with this hotelDate of stay: December 
2018HelpfulShare")</f>
        <v>Very convenient locationThis hotel is just five minutes walk from Waterloo, ten mins from south 
bank, walk into Covent Garden in twenty minutes great location for a mini 
break. Room clean, breakfast fine, staff friendly and helpfulRead 
moreReview collected in partnership with this hotelDate of stay: December 
2018HelpfulShare</v>
      </c>
      <c r="U129" s="4" t="str">
        <f ca="1">IFERROR(__xludf.DUMMYFUNCTION("IMPORTXML(C130,$U$1)"),"Loading...")</f>
        <v>Loading...</v>
      </c>
    </row>
    <row r="130" spans="1:21" ht="15">
      <c r="A130" s="25" t="s">
        <v>10710</v>
      </c>
      <c r="B130" s="17" t="s">
        <v>126</v>
      </c>
      <c r="C130" s="23" t="str">
        <f t="shared" si="0"/>
        <v>https://www.tripadvisor.co.uk/Hotel_Review-g186338-d1812157-Reviews-or640-Travelodge_London_Waterloo_Hotel-London_England.html#REVIEWS</v>
      </c>
      <c r="D130" s="4" t="str">
        <f ca="1">IFERROR(__xludf.DUMMYFUNCTION("IMPORTXML(C130,$D$1)"),"RGLiverpool wrote a review Jan 2019Liverpool, United Kingdom63 
contributions5 helpful votes")</f>
        <v>RGLiverpool wrote a review Jan 2019Liverpool, United Kingdom63 
contributions5 helpful votes</v>
      </c>
      <c r="E130" s="4" t="str">
        <f ca="1">IFERROR(__xludf.DUMMYFUNCTION("""COMPUTED_VALUE"""),"+1")</f>
        <v>+1</v>
      </c>
      <c r="F130" s="4" t="str">
        <f ca="1">IFERROR(__xludf.DUMMYFUNCTION("""COMPUTED_VALUE"""),"New look TravelodgeNice comfy travelodge hotel with the new look rooms. Everything you expect 
from Travelodge plus Air Conditioning. The top floor rooms have wide 
windows and its always quieter on the top floor. Extra pillows are provided 
plus ironing "&amp;"board although you have to get an iron from reception.Read 
moreDate of stay: January 2019HelpfulShare")</f>
        <v>New look TravelodgeNice comfy travelodge hotel with the new look rooms. Everything you expect 
from Travelodge plus Air Conditioning. The top floor rooms have wide 
windows and its always quieter on the top floor. Extra pillows are provided 
plus ironing board although you have to get an iron from reception.Read 
moreDate of stay: January 2019HelpfulShare</v>
      </c>
      <c r="G130" s="24" t="str">
        <f ca="1">IFERROR(__xludf.DUMMYFUNCTION("IMPORTXML(C130, $G$1)"),"Marie B wrote a review Jan 2019Norwich, United Kingdom69 contributions7 
helpful votes")</f>
        <v>Marie B wrote a review Jan 2019Norwich, United Kingdom69 contributions7 
helpful votes</v>
      </c>
      <c r="H130" s="4" t="str">
        <f ca="1">IFERROR(__xludf.DUMMYFUNCTION("""COMPUTED_VALUE"""),"Excellent customer servoceAfter a long trip with an 11 month only, I stumbled up to the front desk at 
10am to leave our bags before we checked in later. They were so friendly 
and welcoming. I asked if they had a toilet I could change the baby in? 
They "&amp;"were so kind and organised a room, gave me the key so I could 
change/feed her in. I appreciated this so much! The rooms are lovely and 
the family room spacious. I was impressed especially as it was such great 
value and so close to Waterloo, south bank "&amp;"etc... we are already planning 
our next trip. Thank you Travelodge.Read moreDate of stay: January 
2019HelpfulShare")</f>
        <v>Excellent customer servoceAfter a long trip with an 11 month only, I stumbled up to the front desk at 
10am to leave our bags before we checked in later. They were so friendly 
and welcoming. I asked if they had a toilet I could change the baby in? 
They were so kind and organised a room, gave me the key so I could 
change/feed her in. I appreciated this so much! The rooms are lovely and 
the family room spacious. I was impressed especially as it was such great 
value and so close to Waterloo, south bank etc... we are already planning 
our next trip. Thank you Travelodge.Read moreDate of stay: January 
2019HelpfulShare</v>
      </c>
      <c r="I130" s="21"/>
      <c r="J130" s="21" t="str">
        <f ca="1">IFERROR(__xludf.DUMMYFUNCTION("IMPORTXML(C130, $J$1)"),"MamaFishTeacher wrote a review Jan 2019Bude, United Kingdom38 
contributions18 helpful votes")</f>
        <v>MamaFishTeacher wrote a review Jan 2019Bude, United Kingdom38 
contributions18 helpful votes</v>
      </c>
      <c r="K130" s="4" t="str">
        <f ca="1">IFERROR(__xludf.DUMMYFUNCTION("""COMPUTED_VALUE"""),"Decent central London budget optionStayed here because it was a good value decent offer walking distance from 
station on arrival. Nothing flash but it works. Small ish supplement for 
upgraded room with Lavazza machine, kitkats etc was worth it. Staff al"&amp;"l 
friendly and competent. Special shout out to Hilina on reception who is 
charming and helpful. If you want a convenient central base with mod cons 
that doesn't break the bank then this is well worth a look. Will most 
probably be back next time I'm co"&amp;"ming in or out of Waterloo.Read moreDate 
of stay: January 2019HelpfulShare")</f>
        <v>Decent central London budget optionStayed here because it was a good value decent offer walking distance from 
station on arrival. Nothing flash but it works. Small ish supplement for 
upgraded room with Lavazza machine, kitkats etc was worth it. Staff all 
friendly and competent. Special shout out to Hilina on reception who is 
charming and helpful. If you want a convenient central base with mod cons 
that doesn't break the bank then this is well worth a look. Will most 
probably be back next time I'm coming in or out of Waterloo.Read moreDate 
of stay: January 2019HelpfulShare</v>
      </c>
      <c r="L130" s="21"/>
      <c r="M130" s="21" t="str">
        <f ca="1">IFERROR(__xludf.DUMMYFUNCTION("IMPORTXML(C130, $M$1)"),"BSC-Reviewer wrote a review Jan 2019London, United Kingdom40 
contributions11 helpful votes")</f>
        <v>BSC-Reviewer wrote a review Jan 2019London, United Kingdom40 
contributions11 helpful votes</v>
      </c>
      <c r="N130" s="4" t="str">
        <f ca="1">IFERROR(__xludf.DUMMYFUNCTION("""COMPUTED_VALUE"""),"GoodI booked a stay for after a Christmas dinner in late December. The hotel is 
very conveniently located about five minutes away from Waterloo station. 
Downstairs it has a lovely bar that was open late into the night. The staff 
here are great, and che"&amp;"ckin and checkout were made very simple and quick. 
The room was good, with clean linen, TV, shower etc. All in working order 
and very clean. Overall, if your looking for a good, clean and convenient 
place near Waterloo that is value for money, then I w"&amp;"ould recommend this. I 
would use this again.Read moreDate of stay: December 2018HelpfulShare")</f>
        <v>GoodI booked a stay for after a Christmas dinner in late December. The hotel is 
very conveniently located about five minutes away from Waterloo station. 
Downstairs it has a lovely bar that was open late into the night. The staff 
here are great, and checkin and checkout were made very simple and quick. 
The room was good, with clean linen, TV, shower etc. All in working order 
and very clean. Overall, if your looking for a good, clean and convenient 
place near Waterloo that is value for money, then I would recommend this. I 
would use this again.Read moreDate of stay: December 2018HelpfulShare</v>
      </c>
      <c r="O130" s="21"/>
      <c r="P130" s="21" t="str">
        <f ca="1">IFERROR(__xludf.DUMMYFUNCTION("IMPORTXML(C130, $P$1)"),"Sightseer02123652696 wrote a review Jan 2019Kaiserslautern, Germany2 
contributions")</f>
        <v>Sightseer02123652696 wrote a review Jan 2019Kaiserslautern, Germany2 
contributions</v>
      </c>
      <c r="Q130" s="4" t="str">
        <f ca="1">IFERROR(__xludf.DUMMYFUNCTION("""COMPUTED_VALUE"""),"Great HotelGreat location and amazing staff. Room was clean and the floor was quiet as 
advertised. The cafe and bar was great for something quick to eat or drink. 
The lounge was nce to be to people watch and chill for a bit as well.Read 
moreReview coll"&amp;"ected in partnership with this hotelDate of stay: December 
2018HelpfulShare")</f>
        <v>Great HotelGreat location and amazing staff. Room was clean and the floor was quiet as 
advertised. The cafe and bar was great for something quick to eat or drink. 
The lounge was nce to be to people watch and chill for a bit as well.Read 
moreReview collected in partnership with this hotelDate of stay: December 
2018HelpfulShare</v>
      </c>
      <c r="U130" s="4" t="str">
        <f ca="1">IFERROR(__xludf.DUMMYFUNCTION("IMPORTXML(C131,$U$1)"),"Loading...")</f>
        <v>Loading...</v>
      </c>
    </row>
    <row r="131" spans="1:21" ht="15">
      <c r="A131" s="5" t="s">
        <v>10816</v>
      </c>
      <c r="B131" s="17" t="s">
        <v>126</v>
      </c>
      <c r="C131" s="23" t="str">
        <f t="shared" si="0"/>
        <v>https://www.tripadvisor.co.uk/Hotel_Review-g186338-d1812157-Reviews-or645-Travelodge_London_Waterloo_Hotel-London_England.html#REVIEWS</v>
      </c>
      <c r="D131" s="4" t="str">
        <f ca="1">IFERROR(__xludf.DUMMYFUNCTION("IMPORTXML(C131,$D$1)"),"Rebecca N wrote a review Jan 2019Hertfordshire, United Kingdom60 
contributions29 helpful votes")</f>
        <v>Rebecca N wrote a review Jan 2019Hertfordshire, United Kingdom60 
contributions29 helpful votes</v>
      </c>
      <c r="E131" s="4" t="str">
        <f ca="1">IFERROR(__xludf.DUMMYFUNCTION("""COMPUTED_VALUE"""),"Nice, clean, modern.My husband and I stayed here overnight due to attending a Christmas party 
nearby. Nice modern hotel, clean tidy rooms. The room was pretty small but 
it was fine for us as we didn’t spend much time in it. We had breakfast in 
the morn"&amp;"ing too which was really nice. Would recommend for a cheap 
stay.Read moreDate of stay: December 2018HelpfulShare")</f>
        <v>Nice, clean, modern.My husband and I stayed here overnight due to attending a Christmas party 
nearby. Nice modern hotel, clean tidy rooms. The room was pretty small but 
it was fine for us as we didn’t spend much time in it. We had breakfast in 
the morning too which was really nice. Would recommend for a cheap 
stay.Read moreDate of stay: December 2018HelpfulShare</v>
      </c>
      <c r="G131" s="24" t="str">
        <f ca="1">IFERROR(__xludf.DUMMYFUNCTION("IMPORTXML(C131, $G$1)"),"#N/A")</f>
        <v>#N/A</v>
      </c>
      <c r="I131" s="21"/>
      <c r="J131" s="21" t="str">
        <f ca="1">IFERROR(__xludf.DUMMYFUNCTION("IMPORTXML(C131, $J$1)"),"Escape42634324242 wrote a review Jan 2019Norwich, United Kingdom1 
contribution1 helpful vote")</f>
        <v>Escape42634324242 wrote a review Jan 2019Norwich, United Kingdom1 
contribution1 helpful vote</v>
      </c>
      <c r="K131" s="4" t="str">
        <f ca="1">IFERROR(__xludf.DUMMYFUNCTION("""COMPUTED_VALUE"""),"Super StayHad a really lovely stay at the Waterloo Travelodge. Lovely clean room. We 
had a family room and it was plenty big enough for all four of us. Really 
good location for exploring London. Easily accessible.Read moreReview 
collected in partnershi"&amp;"p with this hotelDate of stay: December 
2018HelpfulShare")</f>
        <v>Super StayHad a really lovely stay at the Waterloo Travelodge. Lovely clean room. We 
had a family room and it was plenty big enough for all four of us. Really 
good location for exploring London. Easily accessible.Read moreReview 
collected in partnership with this hotelDate of stay: December 
2018HelpfulShare</v>
      </c>
      <c r="L131" s="21"/>
      <c r="M131" s="21" t="str">
        <f ca="1">IFERROR(__xludf.DUMMYFUNCTION("IMPORTXML(C131, $M$1)"),"GJCLondon wrote a review Jan 2019Seaford, United Kingdom16 contributions10 
helpful votes")</f>
        <v>GJCLondon wrote a review Jan 2019Seaford, United Kingdom16 contributions10 
helpful votes</v>
      </c>
      <c r="N131" s="4" t="str">
        <f ca="1">IFERROR(__xludf.DUMMYFUNCTION("""COMPUTED_VALUE"""),"Great stay!Really surprised with this Travelodge, everything spacious &amp; clean, great 
bar area, unlimited breakfast (with our grandson free). The staff were very 
helpful, bubbly and interested. The location is a short walk to the south 
bank, and it was "&amp;"a very reasonable price. Would definitely use again..!Read 
moreReview collected in partnership with this hotelDate of stay: December 
2018HelpfulShare")</f>
        <v>Great stay!Really surprised with this Travelodge, everything spacious &amp; clean, great 
bar area, unlimited breakfast (with our grandson free). The staff were very 
helpful, bubbly and interested. The location is a short walk to the south 
bank, and it was a very reasonable price. Would definitely use again..!Read 
moreReview collected in partnership with this hotelDate of stay: December 
2018HelpfulShare</v>
      </c>
      <c r="O131" s="21"/>
      <c r="P131" s="21" t="str">
        <f ca="1">IFERROR(__xludf.DUMMYFUNCTION("IMPORTXML(C131, $P$1)"),"Tara O wrote a review Jan 20193 contributions5 helpful votes")</f>
        <v>Tara O wrote a review Jan 20193 contributions5 helpful votes</v>
      </c>
      <c r="Q131" s="4" t="str">
        <f ca="1">IFERROR(__xludf.DUMMYFUNCTION("""COMPUTED_VALUE"""),"Christmas stay in LondonI really enjoyed my stay in Travelodge Waterloo. The super rooms were 
nicely designed and comfortable. Even though it was Christmas day they 
provide us with lots of extra towels. The only down side to the room was 
that it didn't"&amp;" have a fridge.Read moreReview collected in partnership with 
TravelodgeDate of stay: December 2018HelpfulShare")</f>
        <v>Christmas stay in LondonI really enjoyed my stay in Travelodge Waterloo. The super rooms were 
nicely designed and comfortable. Even though it was Christmas day they 
provide us with lots of extra towels. The only down side to the room was 
that it didn't have a fridge.Read moreReview collected in partnership with 
TravelodgeDate of stay: December 2018HelpfulShare</v>
      </c>
      <c r="U131" s="4" t="str">
        <f ca="1">IFERROR(__xludf.DUMMYFUNCTION("IMPORTXML(C132,$U$1)"),"Loading...")</f>
        <v>Loading...</v>
      </c>
    </row>
    <row r="132" spans="1:21" ht="15">
      <c r="A132" s="25" t="s">
        <v>10905</v>
      </c>
      <c r="B132" s="17" t="s">
        <v>126</v>
      </c>
      <c r="C132" s="23" t="str">
        <f t="shared" si="0"/>
        <v>https://www.tripadvisor.co.uk/Hotel_Review-g186338-d1812157-Reviews-or650-Travelodge_London_Waterloo_Hotel-London_England.html#REVIEWS</v>
      </c>
      <c r="D132" s="4" t="str">
        <f ca="1">IFERROR(__xludf.DUMMYFUNCTION("IMPORTXML(C132,$D$1)"),"#N/A")</f>
        <v>#N/A</v>
      </c>
      <c r="G132" s="24" t="str">
        <f ca="1">IFERROR(__xludf.DUMMYFUNCTION("IMPORTXML(C132, $G$1)"),"Mick P wrote a review Jan 2019Poole, United Kingdom21 contributions2 
helpful votes")</f>
        <v>Mick P wrote a review Jan 2019Poole, United Kingdom21 contributions2 
helpful votes</v>
      </c>
      <c r="H132" s="4" t="str">
        <f ca="1">IFERROR(__xludf.DUMMYFUNCTION("""COMPUTED_VALUE"""),"Great Location for Theatres.Just a short walk from Waterloo station, and only a few minutes to walk 
over Waterloo Bridge into the heart of the attractions. Super rooms, very 
clean and modern, and surprisingly quiet considering the location. All the 
loc"&amp;"al buses stop just over the road, in case if you don't feel like 
walking. The breakfast was good with lots of fresh food.Read moreReview 
collected in partnership with TravelodgeDate of stay: January 20191 Helpful 
voteHelpfulShare")</f>
        <v>Great Location for Theatres.Just a short walk from Waterloo station, and only a few minutes to walk 
over Waterloo Bridge into the heart of the attractions. Super rooms, very 
clean and modern, and surprisingly quiet considering the location. All the 
local buses stop just over the road, in case if you don't feel like 
walking. The breakfast was good with lots of fresh food.Read moreReview 
collected in partnership with TravelodgeDate of stay: January 20191 Helpful 
voteHelpfulShare</v>
      </c>
      <c r="I132" s="21"/>
      <c r="J132" s="21" t="str">
        <f ca="1">IFERROR(__xludf.DUMMYFUNCTION("IMPORTXML(C132, $J$1)"),"Curiosity243117 wrote a review Jan 2019Burnley, United Kingdom1 
contribution1 helpful vote")</f>
        <v>Curiosity243117 wrote a review Jan 2019Burnley, United Kingdom1 
contribution1 helpful vote</v>
      </c>
      <c r="K132" s="4" t="str">
        <f ca="1">IFERROR(__xludf.DUMMYFUNCTION("""COMPUTED_VALUE"""),"Convenient HotelThe hotel was convenient, clean and comfortable and at a reasonable 
price.We were able to walk to the theatre area and also to Westminster but 
transport is also close by so you can easily reach anywhere in London from 
this hotel.Read mo"&amp;"reReview collected in partnership with TravelodgeDate of 
stay: January 20191 Helpful voteHelpfulShare")</f>
        <v>Convenient HotelThe hotel was convenient, clean and comfortable and at a reasonable 
price.We were able to walk to the theatre area and also to Westminster but 
transport is also close by so you can easily reach anywhere in London from 
this hotel.Read moreReview collected in partnership with TravelodgeDate of 
stay: January 20191 Helpful voteHelpfulShare</v>
      </c>
      <c r="L132" s="21"/>
      <c r="M132" s="21" t="str">
        <f ca="1">IFERROR(__xludf.DUMMYFUNCTION("IMPORTXML(C132, $M$1)"),"Alex W wrote a review Jan 2019Abingdon, England, United Kingdom4 
contributions2 helpful votes")</f>
        <v>Alex W wrote a review Jan 2019Abingdon, England, United Kingdom4 
contributions2 helpful votes</v>
      </c>
      <c r="N132" s="4" t="str">
        <f ca="1">IFERROR(__xludf.DUMMYFUNCTION("""COMPUTED_VALUE"""),"Tidy, good location and good value for moneyA short walk from Waterloo station, the Travelodge was good value. Room was 
clean and pleasant and we enjoyed a nice walk to the south bank and over 
the Thames to Trafalgar Sq. Only issue was that we paid for "&amp;"2 WIFI codes 
and one didn't work. We had the same issue the previous night when staying 
at the Travelodge in Oxford.Read moreReview collected in partnership with 
TravelodgeDate of stay: December 20181 Helpful voteHelpfulShare")</f>
        <v>Tidy, good location and good value for moneyA short walk from Waterloo station, the Travelodge was good value. Room was 
clean and pleasant and we enjoyed a nice walk to the south bank and over 
the Thames to Trafalgar Sq. Only issue was that we paid for 2 WIFI codes 
and one didn't work. We had the same issue the previous night when staying 
at the Travelodge in Oxford.Read moreReview collected in partnership with 
TravelodgeDate of stay: December 20181 Helpful voteHelpfulShare</v>
      </c>
      <c r="O132" s="21"/>
      <c r="P132" s="21" t="str">
        <f ca="1">IFERROR(__xludf.DUMMYFUNCTION("IMPORTXML(C132, $P$1)"),"Matt A wrote a review Jan 201967 contributions22 helpful votes")</f>
        <v>Matt A wrote a review Jan 201967 contributions22 helpful votes</v>
      </c>
      <c r="Q132" s="4" t="str">
        <f ca="1">IFERROR(__xludf.DUMMYFUNCTION("""COMPUTED_VALUE"""),"Helpful staff, clean hotelWell, it's a Travelodge, so you should know the score - small rooms, 
sometimes funny shaped spaces, squeezing round the door to get to the 
toilet etc. My room in this hotel had all these features as well as a noisy 
air-con uni"&amp;"t and a TV remote that didn't work. However, after reporting 
this, a member of staff turned up at the door a few minutes later with some 
remotes, one of which worked, so a plus for helpfulness of the staff. It's 
about 5 mins walk from Waterloo station "&amp;"past the Old Vic, so good tube 
links to the West End, it was clean and had 2 lifts. The bed was firm 
enough and the pillows had the right amount of springiness. Can't complain 
really.Read moreDate of stay: December 20181 Helpful voteHelpfulShare")</f>
        <v>Helpful staff, clean hotelWell, it's a Travelodge, so you should know the score - small rooms, 
sometimes funny shaped spaces, squeezing round the door to get to the 
toilet etc. My room in this hotel had all these features as well as a noisy 
air-con unit and a TV remote that didn't work. However, after reporting 
this, a member of staff turned up at the door a few minutes later with some 
remotes, one of which worked, so a plus for helpfulness of the staff. It's 
about 5 mins walk from Waterloo station past the Old Vic, so good tube 
links to the West End, it was clean and had 2 lifts. The bed was firm 
enough and the pillows had the right amount of springiness. Can't complain 
really.Read moreDate of stay: December 20181 Helpful voteHelpfulShare</v>
      </c>
      <c r="U132" s="4" t="str">
        <f ca="1">IFERROR(__xludf.DUMMYFUNCTION("IMPORTXML(C133,$U$1)"),"Loading...")</f>
        <v>Loading...</v>
      </c>
    </row>
    <row r="133" spans="1:21" ht="15">
      <c r="A133" s="25" t="s">
        <v>10995</v>
      </c>
      <c r="B133" s="17" t="s">
        <v>126</v>
      </c>
      <c r="C133" s="23" t="str">
        <f t="shared" si="0"/>
        <v>https://www.tripadvisor.co.uk/Hotel_Review-g186338-d1812157-Reviews-or655-Travelodge_London_Waterloo_Hotel-London_England.html#REVIEWS</v>
      </c>
      <c r="D133" s="4" t="str">
        <f ca="1">IFERROR(__xludf.DUMMYFUNCTION("IMPORTXML(C133,$D$1)"),"#N/A")</f>
        <v>#N/A</v>
      </c>
      <c r="G133" s="24" t="str">
        <f ca="1">IFERROR(__xludf.DUMMYFUNCTION("IMPORTXML(C133, $G$1)"),"jeangareth154 wrote a review Jan 2019Amesbury, United Kingdom10 
contributions9 helpful votes")</f>
        <v>jeangareth154 wrote a review Jan 2019Amesbury, United Kingdom10 
contributions9 helpful votes</v>
      </c>
      <c r="H133" s="4" t="str">
        <f ca="1">IFERROR(__xludf.DUMMYFUNCTION("""COMPUTED_VALUE"""),"Perfect weekend place.For a weekend london stay this place is perfect. Short distance from 
waterloo station, imperial war museum, southbank concert hall and the 
millennium wheel makes life easy for me and my mobility scooter.Read 
moreReview collected i"&amp;"n partnership with this hotelDate of stay: November 
20181 Helpful voteHelpfulShare")</f>
        <v>Perfect weekend place.For a weekend london stay this place is perfect. Short distance from 
waterloo station, imperial war museum, southbank concert hall and the 
millennium wheel makes life easy for me and my mobility scooter.Read 
moreReview collected in partnership with this hotelDate of stay: November 
20181 Helpful voteHelpfulShare</v>
      </c>
      <c r="I133" s="21"/>
      <c r="J133" s="21" t="str">
        <f ca="1">IFERROR(__xludf.DUMMYFUNCTION("IMPORTXML(C133, $J$1)"),"SBlatchford65 wrote a review Jan 2019Dorset, United Kingdom5 contributions4 
helpful votes")</f>
        <v>SBlatchford65 wrote a review Jan 2019Dorset, United Kingdom5 contributions4 
helpful votes</v>
      </c>
      <c r="K133" s="4" t="str">
        <f ca="1">IFERROR(__xludf.DUMMYFUNCTION("""COMPUTED_VALUE"""),"Really good experienceFriendly helpful staff. Good position for visiting London. Many buses to 
the West End nearby Nice rooms warm, good tv, WiFi and plenty of hot water. 
Beds comfortable pillows a bit hard and lumpy. Good shower nice clean 
fluffy towe"&amp;"ls. Highly recommend.Read moreReview collected in partnership 
with TravelodgeDate of stay: January 20191 Helpful voteHelpfulShare")</f>
        <v>Really good experienceFriendly helpful staff. Good position for visiting London. Many buses to 
the West End nearby Nice rooms warm, good tv, WiFi and plenty of hot water. 
Beds comfortable pillows a bit hard and lumpy. Good shower nice clean 
fluffy towels. Highly recommend.Read moreReview collected in partnership 
with TravelodgeDate of stay: January 20191 Helpful voteHelpfulShare</v>
      </c>
      <c r="L133" s="21"/>
      <c r="M133" s="21" t="str">
        <f ca="1">IFERROR(__xludf.DUMMYFUNCTION("IMPORTXML(C133, $M$1)"),"#N/A")</f>
        <v>#N/A</v>
      </c>
      <c r="O133" s="21"/>
      <c r="P133" s="21" t="str">
        <f ca="1">IFERROR(__xludf.DUMMYFUNCTION("IMPORTXML(C133, $P$1)"),"helenl21 wrote a review Jan 2019Shifnal, United Kingdom86 contributions42 
helpful votes")</f>
        <v>helenl21 wrote a review Jan 2019Shifnal, United Kingdom86 contributions42 
helpful votes</v>
      </c>
      <c r="Q133" s="4" t="str">
        <f ca="1">IFERROR(__xludf.DUMMYFUNCTION("""COMPUTED_VALUE"""),"NoisyStayed for 2 nights. Asked for a quiet room and was told it should be. Room 
was small even though I booked a Super room. Was adequate and clean but the 
noise from the rooms above on the second night was shocking. There are no 
phones in the room to"&amp;" ring reception to enable a complaint. On check out 
the receptionist asked about the stay and so I reported the noise. I was 
asked the room number and another receptionist pointed to the screen as if 
there had been other complaints. The receptionist ap"&amp;"ologised and said I 
would be recompensed. Still waiting. Not good really.Read moreDate of stay: 
December 20181 Helpful voteHelpfulShare")</f>
        <v>NoisyStayed for 2 nights. Asked for a quiet room and was told it should be. Room 
was small even though I booked a Super room. Was adequate and clean but the 
noise from the rooms above on the second night was shocking. There are no 
phones in the room to ring reception to enable a complaint. On check out 
the receptionist asked about the stay and so I reported the noise. I was 
asked the room number and another receptionist pointed to the screen as if 
there had been other complaints. The receptionist apologised and said I 
would be recompensed. Still waiting. Not good really.Read moreDate of stay: 
December 20181 Helpful voteHelpfulShare</v>
      </c>
      <c r="U133" s="4" t="str">
        <f ca="1">IFERROR(__xludf.DUMMYFUNCTION("IMPORTXML(C134,$U$1)"),"Loading...")</f>
        <v>Loading...</v>
      </c>
    </row>
    <row r="134" spans="1:21" ht="15">
      <c r="A134" s="25" t="s">
        <v>11077</v>
      </c>
      <c r="B134" s="17" t="s">
        <v>126</v>
      </c>
      <c r="C134" s="23" t="str">
        <f t="shared" si="0"/>
        <v>https://www.tripadvisor.co.uk/Hotel_Review-g186338-d1812157-Reviews-or660-Travelodge_London_Waterloo_Hotel-London_England.html#REVIEWS</v>
      </c>
      <c r="D134" s="4" t="str">
        <f ca="1">IFERROR(__xludf.DUMMYFUNCTION("IMPORTXML(C134,$D$1)"),"nAAA u wrote a review Jan 20191 contribution1 helpful vote")</f>
        <v>nAAA u wrote a review Jan 20191 contribution1 helpful vote</v>
      </c>
      <c r="E134" s="4" t="str">
        <f ca="1">IFERROR(__xludf.DUMMYFUNCTION("""COMPUTED_VALUE"""),"Good place to stayClean place and comfy beds, reception and all other staff we encountered 
very friendly and helpful, breakfast buffet enough options and reasonable 
price for the area....would definitely stay here again.Read moreDate of 
stay: January 2"&amp;"0191 Helpful voteHelpfulShare")</f>
        <v>Good place to stayClean place and comfy beds, reception and all other staff we encountered 
very friendly and helpful, breakfast buffet enough options and reasonable 
price for the area....would definitely stay here again.Read moreDate of 
stay: January 20191 Helpful voteHelpfulShare</v>
      </c>
      <c r="G134" s="24" t="str">
        <f ca="1">IFERROR(__xludf.DUMMYFUNCTION("IMPORTXML(C134, $G$1)"),"wismageorge wrote a review Jan 2019Yeovil43 contributions38 helpful votes")</f>
        <v>wismageorge wrote a review Jan 2019Yeovil43 contributions38 helpful votes</v>
      </c>
      <c r="H134" s="4" t="str">
        <f ca="1">IFERROR(__xludf.DUMMYFUNCTION("""COMPUTED_VALUE"""),"Excellent value in a good locationThis Travelodge is located about 200 yards from Waterloo Station. It’s not 
Chelsea, but the location is super convenient for visiting London. The 
hotel is immaculate, front desk staff were excellent and the room, althou"&amp;"gh 
compact and basic, was again immaculately clean, well equipped and quiet. 
Oh, and the bed was super comfortable. On top of all this, the room was 
quiet. It’s a Travelodge. It’s not the Savoy. But this was really great 
value, delivering a clean, com"&amp;"fortable room in a super location.Read 
moreReview collected in partnership with TravelodgeDate of stay: January 
20191 Helpful voteHelpfulShare")</f>
        <v>Excellent value in a good locationThis Travelodge is located about 200 yards from Waterloo Station. It’s not 
Chelsea, but the location is super convenient for visiting London. The 
hotel is immaculate, front desk staff were excellent and the room, although 
compact and basic, was again immaculately clean, well equipped and quiet. 
Oh, and the bed was super comfortable. On top of all this, the room was 
quiet. It’s a Travelodge. It’s not the Savoy. But this was really great 
value, delivering a clean, comfortable room in a super location.Read 
moreReview collected in partnership with TravelodgeDate of stay: January 
20191 Helpful voteHelpfulShare</v>
      </c>
      <c r="I134" s="21"/>
      <c r="J134" s="21" t="str">
        <f ca="1">IFERROR(__xludf.DUMMYFUNCTION("IMPORTXML(C134, $J$1)"),"Maureen G wrote a review Jan 2019Belfast, United Kingdom29 contributions26 
helpful votes")</f>
        <v>Maureen G wrote a review Jan 2019Belfast, United Kingdom29 contributions26 
helpful votes</v>
      </c>
      <c r="K134" s="4" t="str">
        <f ca="1">IFERROR(__xludf.DUMMYFUNCTION("""COMPUTED_VALUE"""),"Great value and good locationWe are just back from 2 nts at start of January. Hotel was lovely. Nicely 
decorated and very friendly helpful reception staff. Room was on 8th floor. 
Good view and very comfy bed.good heating system and quick to heat up on 
"&amp;"cold night. We borrowed hairdryer at reception easy enough and good storage 
for cases on last day for free. Location. 10 mins from Waterloo station. 
And a few mins further you are on the Southbank which has many tourist 
attraction and eatying places. Y"&amp;"ou are also 10 mins walk from The Imperial 
War Museum which was worth a couple of hours (free). An excellent fish cafe 
next door to hotel and cod and chips to die for. Will be back.good for 
couples and families. Also very good breakfast buffet availabl"&amp;"e at £6 
continental and £9 full selectionRead moreDate of stay: January 20191 
Helpful voteHelpfulShare")</f>
        <v>Great value and good locationWe are just back from 2 nts at start of January. Hotel was lovely. Nicely 
decorated and very friendly helpful reception staff. Room was on 8th floor. 
Good view and very comfy bed.good heating system and quick to heat up on 
cold night. We borrowed hairdryer at reception easy enough and good storage 
for cases on last day for free. Location. 10 mins from Waterloo station. 
And a few mins further you are on the Southbank which has many tourist 
attraction and eatying places. You are also 10 mins walk from The Imperial 
War Museum which was worth a couple of hours (free). An excellent fish cafe 
next door to hotel and cod and chips to die for. Will be back.good for 
couples and families. Also very good breakfast buffet available at £6 
continental and £9 full selectionRead moreDate of stay: January 20191 
Helpful voteHelpfulShare</v>
      </c>
      <c r="L134" s="21"/>
      <c r="M134" s="21" t="str">
        <f ca="1">IFERROR(__xludf.DUMMYFUNCTION("IMPORTXML(C134, $M$1)"),"RinieWales wrote a review Jan 2019Wales1 contribution2 helpful votes")</f>
        <v>RinieWales wrote a review Jan 2019Wales1 contribution2 helpful votes</v>
      </c>
      <c r="N134" s="4" t="str">
        <f ca="1">IFERROR(__xludf.DUMMYFUNCTION("""COMPUTED_VALUE"""),"Short break London5 minutes walk to underground and very convenient to visit the sights of 
London. Our room was spotless. We had a double room with an extra bed put 
in for our 8 year old daughter but there was still sufficient space. I took 
extra hange"&amp;"rs with me as I guessed there wouldn't be enough and I was right 
as it it always the case wherever I stay. No drawers or cupboards. The 
shower was good, but my boyfriend did slip in it twice so I took care and 
didn't have a problem. The water was very "&amp;"slow draining from the shower. It 
didn't overflow but I just mentioned it to the reception staff on my 
departure which they duly noted. It was very quiet no disturbance from 
traffic or other guests. Reception staff excellent. Good wifi. Good choice 
fo"&amp;"r breakfast. If I want to be picky the fruit salad…Read moreReview 
collected in partnership with TravelodgeDate of stay: January 20191 Helpful 
voteHelpfulShare")</f>
        <v>Short break London5 minutes walk to underground and very convenient to visit the sights of 
London. Our room was spotless. We had a double room with an extra bed put 
in for our 8 year old daughter but there was still sufficient space. I took 
extra hangers with me as I guessed there wouldn't be enough and I was right 
as it it always the case wherever I stay. No drawers or cupboards. The 
shower was good, but my boyfriend did slip in it twice so I took care and 
didn't have a problem. The water was very slow draining from the shower. It 
didn't overflow but I just mentioned it to the reception staff on my 
departure which they duly noted. It was very quiet no disturbance from 
traffic or other guests. Reception staff excellent. Good wifi. Good choice 
for breakfast. If I want to be picky the fruit salad…Read moreReview 
collected in partnership with TravelodgeDate of stay: January 20191 Helpful 
voteHelpfulShare</v>
      </c>
      <c r="O134" s="21"/>
      <c r="P134" s="21" t="str">
        <f ca="1">IFERROR(__xludf.DUMMYFUNCTION("IMPORTXML(C134, $P$1)"),"bexythepirate wrote a review Jan 2019Yeovil, United Kingdom311 
contributions114 helpful votes")</f>
        <v>bexythepirate wrote a review Jan 2019Yeovil, United Kingdom311 
contributions114 helpful votes</v>
      </c>
      <c r="Q134" s="4" t="str">
        <f ca="1">IFERROR(__xludf.DUMMYFUNCTION("""COMPUTED_VALUE"""),"Travelodge+ Great hotel in the heart of LondonThis is one of the several recently refurbished Travelodge’s upgraded to 
Travelodge+ and very nice it is too! The rooms as standard are somewhere 
between the previous standard rooms and the recently added su"&amp;"per rooms 
although superfoods here are also available at a premium. I found the 
standard room very comfortable with clean modern fittings and furnishings. 
The bed was comfy with a decent size TV with plenty of free view channels 
available. Staff are f"&amp;"riendly and informative. The cafe/bar has a 24 hour 
facility, luggage may be left if necessary and all this just a couple of 
hundred metres from Waterloo at a rate that offers very good VFM. Can’t 
fault it and will definitely look to stay here again. R"&amp;"ecommended.Read 
moreDate of stay: December 20181 Helpful voteHelpfulShare")</f>
        <v>Travelodge+ Great hotel in the heart of LondonThis is one of the several recently refurbished Travelodge’s upgraded to 
Travelodge+ and very nice it is too! The rooms as standard are somewhere 
between the previous standard rooms and the recently added super rooms 
although superfoods here are also available at a premium. I found the 
standard room very comfortable with clean modern fittings and furnishings. 
The bed was comfy with a decent size TV with plenty of free view channels 
available. Staff are friendly and informative. The cafe/bar has a 24 hour 
facility, luggage may be left if necessary and all this just a couple of 
hundred metres from Waterloo at a rate that offers very good VFM. Can’t 
fault it and will definitely look to stay here again. Recommended.Read 
moreDate of stay: December 20181 Helpful voteHelpfulShare</v>
      </c>
      <c r="U134" s="4" t="str">
        <f ca="1">IFERROR(__xludf.DUMMYFUNCTION("IMPORTXML(C135,$U$1)"),"Loading...")</f>
        <v>Loading...</v>
      </c>
    </row>
    <row r="135" spans="1:21" ht="15">
      <c r="A135" s="5" t="s">
        <v>11188</v>
      </c>
      <c r="B135" s="17" t="s">
        <v>126</v>
      </c>
      <c r="C135" s="23" t="str">
        <f t="shared" si="0"/>
        <v>https://www.tripadvisor.co.uk/Hotel_Review-g186338-d1812157-Reviews-or665-Travelodge_London_Waterloo_Hotel-London_England.html#REVIEWS</v>
      </c>
      <c r="D135" s="4" t="str">
        <f ca="1">IFERROR(__xludf.DUMMYFUNCTION("IMPORTXML(C135,$D$1)"),"carrickferguso wrote a review Jan 2019carrick northern ireland35 
contributions23 helpful votes")</f>
        <v>carrickferguso wrote a review Jan 2019carrick northern ireland35 
contributions23 helpful votes</v>
      </c>
      <c r="E135" s="4" t="str">
        <f ca="1">IFERROR(__xludf.DUMMYFUNCTION("""COMPUTED_VALUE"""),"Great location at a great priceStayed for 3 nights over the new year, only used public transport to and 
from the airport everything else was within walkin distance, london eye, 
fireworks, hyde park, buckingham, big ben, etc etc. Friendly staff on 
recep"&amp;"tion and at the bar. Rooms were clean and comfortable. We were in the 
3rd floor and looked onto private houses as said in other reviews but you 
arent in ur room that long so didnr bother us at all. Breakfast was nice 
and loads of it, help yourself to c"&amp;"ereal, cooked breakfast, yougurts, fruit 
etc. Had dinner the first night we arrived, it was a bit manic but i 
gathered some of the staff were relatively new, it was cheap and cheerful. 
Didnt catch the girl behind the bars name however she was exception"&amp;"al at 
her job, so polite and friendly and had a lot of time for…Read moreDate of 
stay: January 20191 Helpful voteHelpfulShare")</f>
        <v>Great location at a great priceStayed for 3 nights over the new year, only used public transport to and 
from the airport everything else was within walkin distance, london eye, 
fireworks, hyde park, buckingham, big ben, etc etc. Friendly staff on 
reception and at the bar. Rooms were clean and comfortable. We were in the 
3rd floor and looked onto private houses as said in other reviews but you 
arent in ur room that long so didnr bother us at all. Breakfast was nice 
and loads of it, help yourself to cereal, cooked breakfast, yougurts, fruit 
etc. Had dinner the first night we arrived, it was a bit manic but i 
gathered some of the staff were relatively new, it was cheap and cheerful. 
Didnt catch the girl behind the bars name however she was exceptional at 
her job, so polite and friendly and had a lot of time for…Read moreDate of 
stay: January 20191 Helpful voteHelpfulShare</v>
      </c>
      <c r="G135" s="24" t="str">
        <f ca="1">IFERROR(__xludf.DUMMYFUNCTION("IMPORTXML(C135, $G$1)"),"Jake B wrote a review Jan 20191 contribution2 helpful votes")</f>
        <v>Jake B wrote a review Jan 20191 contribution2 helpful votes</v>
      </c>
      <c r="H135" s="4" t="str">
        <f ca="1">IFERROR(__xludf.DUMMYFUNCTION("""COMPUTED_VALUE"""),"TravelodgeWhen we first arrived we were greeted by friendly staff that were happy to 
help with any questions, when we went to the bar for a drink Lindsay was a 
very friendly and helpful staff member who told us about the happy hour 
deals and made us fe"&amp;"el welcome.Read moreDate of stay: January 20191 Helpful 
voteHelpfulShare")</f>
        <v>TravelodgeWhen we first arrived we were greeted by friendly staff that were happy to 
help with any questions, when we went to the bar for a drink Lindsay was a 
very friendly and helpful staff member who told us about the happy hour 
deals and made us feel welcome.Read moreDate of stay: January 20191 Helpful 
voteHelpfulShare</v>
      </c>
      <c r="I135" s="21"/>
      <c r="J135" s="21" t="str">
        <f ca="1">IFERROR(__xludf.DUMMYFUNCTION("IMPORTXML(C135, $J$1)"),"zan873 wrote a review Jan 2019Llandysul, United Kingdom25 contributions16 
helpful votes")</f>
        <v>zan873 wrote a review Jan 2019Llandysul, United Kingdom25 contributions16 
helpful votes</v>
      </c>
      <c r="K135" s="4" t="str">
        <f ca="1">IFERROR(__xludf.DUMMYFUNCTION("""COMPUTED_VALUE"""),"Ideal location, modern, refurbished hotelPerfect location, central to many things that we wanted to see/places to 
visit. Good value for money breakfast. Reception was very trendy and 
welcoming, nice place to chill. Will be visiting again one day!Read 
m"&amp;"oreReview collected in partnership with TravelodgeDate of stay: December 
20181 Helpful voteHelpfulShare")</f>
        <v>Ideal location, modern, refurbished hotelPerfect location, central to many things that we wanted to see/places to 
visit. Good value for money breakfast. Reception was very trendy and 
welcoming, nice place to chill. Will be visiting again one day!Read 
moreReview collected in partnership with TravelodgeDate of stay: December 
20181 Helpful voteHelpfulShare</v>
      </c>
      <c r="L135" s="21"/>
      <c r="M135" s="21" t="str">
        <f ca="1">IFERROR(__xludf.DUMMYFUNCTION("IMPORTXML(C135, $M$1)"),"mlittle83 wrote a review Dec 20182 contributions5 helpful votes")</f>
        <v>mlittle83 wrote a review Dec 20182 contributions5 helpful votes</v>
      </c>
      <c r="N135" s="4" t="str">
        <f ca="1">IFERROR(__xludf.DUMMYFUNCTION("""COMPUTED_VALUE"""),"LondonTripGreat location and in walking distance to all the main attractions, 
comfortable rooms which were very clean, reasonably priced as I would have 
expected a higher price based on its location and quality. We loved it.Read 
moreReview collected in"&amp;" partnership with TravelodgeDate of stay: December 
20181 Helpful voteHelpfulShare")</f>
        <v>LondonTripGreat location and in walking distance to all the main attractions, 
comfortable rooms which were very clean, reasonably priced as I would have 
expected a higher price based on its location and quality. We loved it.Read 
moreReview collected in partnership with TravelodgeDate of stay: December 
20181 Helpful voteHelpfulShare</v>
      </c>
      <c r="O135" s="21"/>
      <c r="P135" s="21" t="str">
        <f ca="1">IFERROR(__xludf.DUMMYFUNCTION("IMPORTXML(C135, $P$1)"),"Paul R wrote a review Dec 2018Cambridgeshire, United Kingdom1 contribution2 
helpful votes")</f>
        <v>Paul R wrote a review Dec 2018Cambridgeshire, United Kingdom1 contribution2 
helpful votes</v>
      </c>
      <c r="Q135" s="4" t="str">
        <f ca="1">IFERROR(__xludf.DUMMYFUNCTION("""COMPUTED_VALUE"""),"Pleasant stayOvernight stay for a night at the theatre. Our first impression was that 
the room was clean and comfortable. The bathroom was very clean, just as we 
would have liked it to be. The coffee at the bar was really nice as was the 
food at breakf"&amp;"ast. I would definitely stay at this Travelodge again.Read 
moreReview collected in partnership with TravelodgeDate of stay: December 
20181 Helpful voteHelpfulShare")</f>
        <v>Pleasant stayOvernight stay for a night at the theatre. Our first impression was that 
the room was clean and comfortable. The bathroom was very clean, just as we 
would have liked it to be. The coffee at the bar was really nice as was the 
food at breakfast. I would definitely stay at this Travelodge again.Read 
moreReview collected in partnership with TravelodgeDate of stay: December 
20181 Helpful voteHelpfulShare</v>
      </c>
      <c r="U135" s="4" t="str">
        <f ca="1">IFERROR(__xludf.DUMMYFUNCTION("IMPORTXML(C136,$U$1)"),"Loading...")</f>
        <v>Loading...</v>
      </c>
    </row>
    <row r="136" spans="1:21" ht="15">
      <c r="A136" s="25" t="s">
        <v>11289</v>
      </c>
      <c r="B136" s="17" t="s">
        <v>126</v>
      </c>
      <c r="C136" s="23" t="str">
        <f t="shared" si="0"/>
        <v>https://www.tripadvisor.co.uk/Hotel_Review-g186338-d1812157-Reviews-or670-Travelodge_London_Waterloo_Hotel-London_England.html#REVIEWS</v>
      </c>
      <c r="D136" s="4" t="str">
        <f ca="1">IFERROR(__xludf.DUMMYFUNCTION("IMPORTXML(C136,$D$1)"),"Cerys M wrote a review Dec 20186 contributions4 helpful votes")</f>
        <v>Cerys M wrote a review Dec 20186 contributions4 helpful votes</v>
      </c>
      <c r="E136" s="4" t="str">
        <f ca="1">IFERROR(__xludf.DUMMYFUNCTION("""COMPUTED_VALUE"""),"Great location and vfmGreat for a trip to London. Close to the station and everything else. 
Breakfast was fantastic. Hot and lots of it. Love we can open the windows 
in the travelodge. I hate rooms with no air. Clean. Comfortable. Easy check 
in.Read mo"&amp;"reReview collected in partnership with TravelodgeDate of stay: 
December 20181 Helpful voteHelpfulShare")</f>
        <v>Great location and vfmGreat for a trip to London. Close to the station and everything else. 
Breakfast was fantastic. Hot and lots of it. Love we can open the windows 
in the travelodge. I hate rooms with no air. Clean. Comfortable. Easy check 
in.Read moreReview collected in partnership with TravelodgeDate of stay: 
December 20181 Helpful voteHelpfulShare</v>
      </c>
      <c r="G136" s="24" t="str">
        <f ca="1">IFERROR(__xludf.DUMMYFUNCTION("IMPORTXML(C136, $G$1)"),"Sue1775 wrote a review Dec 2018Bolton293 contributions77 helpful votes")</f>
        <v>Sue1775 wrote a review Dec 2018Bolton293 contributions77 helpful votes</v>
      </c>
      <c r="H136" s="4" t="str">
        <f ca="1">IFERROR(__xludf.DUMMYFUNCTION("""COMPUTED_VALUE"""),"Xmas break xxArrived at 11.30 and told by staff cannot early check in until 12 however, 
Would let us know if any available. Went to the desk at 12 and told no 
rooms and cannot leave case as luggage room full. I explained travelling 
with a 7 month pregn"&amp;"ant partner and 8 year old . Staff said if they took my 
bag they would have to take other guests. It takes a lot for me to kick off 
but had no choice. In the end a room was free but no reasoning in staff 
customer service. Great location. Rooms comfy ho"&amp;"wever, bathroom noisy. 
Would not come again xxRead moreDate of stay: December 20181 Helpful 
voteHelpfulShareResponse from TravelodgeUK, Molly from the Social Media 
Team at Travelodge London Waterloo HotelResponded 1 Jan 2019Thank you for 
your review. "&amp;"We're pleased to hear that your stay was enhanced by the 
location of the Hotel and you found the rooms to be comfortable. However, 
we are sorry that you were unable to check in before 12. Our check in time 
is 3pm, however early check in can be purchase"&amp;"d if available, which 
entitles guests to check in from 12 midday. We also apologise that we were 
unable to store your luggage prior to check in. We cannot store luggage 
without space in a secure facility, and this is for security reasons. thank 
you ag"&amp;"ain for your feedback.Read more")</f>
        <v>Xmas break xxArrived at 11.30 and told by staff cannot early check in until 12 however, 
Would let us know if any available. Went to the desk at 12 and told no 
rooms and cannot leave case as luggage room full. I explained travelling 
with a 7 month pregnant partner and 8 year old . Staff said if they took my 
bag they would have to take other guests. It takes a lot for me to kick off 
but had no choice. In the end a room was free but no reasoning in staff 
customer service. Great location. Rooms comfy however, bathroom noisy. 
Would not come again xxRead moreDate of stay: December 20181 Helpful 
voteHelpfulShareResponse from TravelodgeUK, Molly from the Social Media 
Team at Travelodge London Waterloo HotelResponded 1 Jan 2019Thank you for 
your review. We're pleased to hear that your stay was enhanced by the 
location of the Hotel and you found the rooms to be comfortable. However, 
we are sorry that you were unable to check in before 12. Our check in time 
is 3pm, however early check in can be purchased if available, which 
entitles guests to check in from 12 midday. We also apologise that we were 
unable to store your luggage prior to check in. We cannot store luggage 
without space in a secure facility, and this is for security reasons. thank 
you again for your feedback.Read more</v>
      </c>
      <c r="I136" s="21"/>
      <c r="J136" s="21" t="str">
        <f ca="1">IFERROR(__xludf.DUMMYFUNCTION("IMPORTXML(C136, $J$1)"),"Pagie66 wrote a review Dec 2018Plymouth, United Kingdom8 contributions3 
helpful votes")</f>
        <v>Pagie66 wrote a review Dec 2018Plymouth, United Kingdom8 contributions3 
helpful votes</v>
      </c>
      <c r="K136" s="4" t="str">
        <f ca="1">IFERROR(__xludf.DUMMYFUNCTION("""COMPUTED_VALUE"""),"London WaterlooIdeal location for Theathre land. Room noisy a we were situated by door 
leading to lifts. Air Con unit was noisy even when turned off. Bed was 
firm. Glad we were only there for one nightBook in staff seem to ignore us 
until we asked for "&amp;"help. No greeting at allRead moreReview collected in 
partnership with TravelodgeDate of stay: December 20181 Helpful 
voteHelpfulShareResponse from TravelodgeUK, Molly from the Social Media 
Team at Travelodge London Waterloo HotelResponded 30 Dec 2018Th"&amp;"ank you for 
submitting your review. We are sorry to learn of your disappointment 
following your recent stay with us. We hope to ensure all of our guests 
have a comfortable stay, and we are sorry that we did not achieve this on 
this occasion. If you wi"&amp;"sh to contact us directly so that we can discuss 
your experience further, please be aware that you can always contact our 
Customer Services team via our website. All customer feedback is valuable 
to us, so thank you again for your comments.Read more")</f>
        <v>London WaterlooIdeal location for Theathre land. Room noisy a we were situated by door 
leading to lifts. Air Con unit was noisy even when turned off. Bed was 
firm. Glad we were only there for one nightBook in staff seem to ignore us 
until we asked for help. No greeting at allRead moreReview collected in 
partnership with TravelodgeDate of stay: December 20181 Helpful 
voteHelpfulShareResponse from TravelodgeUK, Molly from the Social Media 
Team at Travelodge London Waterloo HotelResponded 30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v>
      </c>
      <c r="L136" s="21"/>
      <c r="M136" s="21" t="str">
        <f ca="1">IFERROR(__xludf.DUMMYFUNCTION("IMPORTXML(C136, $M$1)"),"Alison Q wrote a review Dec 2018Rayleigh, United Kingdom85 contributions43 
helpful votes")</f>
        <v>Alison Q wrote a review Dec 2018Rayleigh, United Kingdom85 contributions43 
helpful votes</v>
      </c>
      <c r="N136" s="4" t="str">
        <f ca="1">IFERROR(__xludf.DUMMYFUNCTION("""COMPUTED_VALUE"""),"Brilliant value!!!I'm so impressed with this little jem. 10 minute walk from the National 
Theatre and Southbank. The room was very spacious and clean, beds were 
comfy and staff were polite and helpful. We got all this for £49! Very 
impressed. We didn't"&amp;" have breakfast or use the bar but quite a few guests 
did and it was neat, tidy and we'll stocked.Read moreDate of stay: December 
20181 Helpful voteHelpfulShare")</f>
        <v>Brilliant value!!!I'm so impressed with this little jem. 10 minute walk from the National 
Theatre and Southbank. The room was very spacious and clean, beds were 
comfy and staff were polite and helpful. We got all this for £49! Very 
impressed. We didn't have breakfast or use the bar but quite a few guests 
did and it was neat, tidy and we'll stocked.Read moreDate of stay: December 
20181 Helpful voteHelpfulShare</v>
      </c>
      <c r="O136" s="21"/>
      <c r="P136" s="21" t="str">
        <f ca="1">IFERROR(__xludf.DUMMYFUNCTION("IMPORTXML(C136, $P$1)"),"Babybellecambs wrote a review Dec 2018Cambridge, United Kingdom78 
contributions36 helpful votes")</f>
        <v>Babybellecambs wrote a review Dec 2018Cambridge, United Kingdom78 
contributions36 helpful votes</v>
      </c>
      <c r="Q136" s="4" t="str">
        <f ca="1">IFERROR(__xludf.DUMMYFUNCTION("""COMPUTED_VALUE"""),"Perfect locationWe had a great nights stay here, the room was perfect and bed super comfy . 
Location is perfect for The South Bank . Lots of great looking pubs and 
restaurants all close by too. It was very cheap and we will be staying here 
again. We di"&amp;"d upgrade to the Super Rooms they offer .Read moreDate of stay: 
December 20181 Helpful voteHelpfulShare")</f>
        <v>Perfect locationWe had a great nights stay here, the room was perfect and bed super comfy . 
Location is perfect for The South Bank . Lots of great looking pubs and 
restaurants all close by too. It was very cheap and we will be staying here 
again. We did upgrade to the Super Rooms they offer .Read moreDate of stay: 
December 20181 Helpful voteHelpfulShare</v>
      </c>
      <c r="U136" s="4" t="str">
        <f ca="1">IFERROR(__xludf.DUMMYFUNCTION("IMPORTXML(C137,$U$1)"),"Loading...")</f>
        <v>Loading...</v>
      </c>
    </row>
    <row r="137" spans="1:21" ht="15">
      <c r="A137" s="25" t="s">
        <v>11397</v>
      </c>
      <c r="B137" s="17" t="s">
        <v>126</v>
      </c>
      <c r="C137" s="23" t="str">
        <f t="shared" si="0"/>
        <v>https://www.tripadvisor.co.uk/Hotel_Review-g186338-d1812157-Reviews-or675-Travelodge_London_Waterloo_Hotel-London_England.html#REVIEWS</v>
      </c>
      <c r="D137" s="4" t="str">
        <f ca="1">IFERROR(__xludf.DUMMYFUNCTION("IMPORTXML(C137,$D$1)"),"trurogirl wrote a review Dec 2018Cornwall, United Kingdom37 contributions26 
helpful votes")</f>
        <v>trurogirl wrote a review Dec 2018Cornwall, United Kingdom37 contributions26 
helpful votes</v>
      </c>
      <c r="E137" s="4" t="str">
        <f ca="1">IFERROR(__xludf.DUMMYFUNCTION("""COMPUTED_VALUE"""),"Excellent Value for Money and Great Location.We stayed for four nights and had a great stay. The staff were really 
welcoming. The hotel is just along from Waterloo underground and overground 
station, less than five minutes walk. We were asked if we want"&amp;"ed a low or 
high room and opted for high, so were allocated a room on the eighth floor. 
The room is made up when you request it to be, which worked well. There is 
a bar and a big breakfast room on the ground floor. Also plenty of buses 
very close by. "&amp;"you can walk to Westminster in about twenty minutes, Covent 
Garden, Regent Street or Oxford Street is a little further but within 
walking distance.Read moreDate of stay: December 20181 Helpful 
voteHelpfulShare")</f>
        <v>Excellent Value for Money and Great Location.We stayed for four nights and had a great stay. The staff were really 
welcoming. The hotel is just along from Waterloo underground and overground 
station, less than five minutes walk. We were asked if we wanted a low or 
high room and opted for high, so were allocated a room on the eighth floor. 
The room is made up when you request it to be, which worked well. There is 
a bar and a big breakfast room on the ground floor. Also plenty of buses 
very close by. you can walk to Westminster in about twenty minutes, Covent 
Garden, Regent Street or Oxford Street is a little further but within 
walking distance.Read moreDate of stay: December 20181 Helpful 
voteHelpfulShare</v>
      </c>
      <c r="G137" s="24" t="str">
        <f ca="1">IFERROR(__xludf.DUMMYFUNCTION("IMPORTXML(C137, $G$1)"),"georgelovell9 wrote a review Dec 2018Cardiff, United Kingdom112 
contributions17 helpful votes")</f>
        <v>georgelovell9 wrote a review Dec 2018Cardiff, United Kingdom112 
contributions17 helpful votes</v>
      </c>
      <c r="H137" s="4" t="str">
        <f ca="1">IFERROR(__xludf.DUMMYFUNCTION("""COMPUTED_VALUE"""),"Hotel of choice whilst working in LondonThis is my personal favourite hotel whilst working in London. The service 
is good, rooms are clean and spacious and there are a few nice places 
within walking distance. Waterloo station and Southwark station are b"&amp;"oth 
2-5 mins away depending on walking speed.Read moreDate of stay: December 
20181 Helpful voteHelpfulShare")</f>
        <v>Hotel of choice whilst working in LondonThis is my personal favourite hotel whilst working in London. The service 
is good, rooms are clean and spacious and there are a few nice places 
within walking distance. Waterloo station and Southwark station are both 
2-5 mins away depending on walking speed.Read moreDate of stay: December 
20181 Helpful voteHelpfulShare</v>
      </c>
      <c r="I137" s="21"/>
      <c r="J137" s="21" t="str">
        <f ca="1">IFERROR(__xludf.DUMMYFUNCTION("IMPORTXML(C137, $J$1)"),"Helen J wrote a review Dec 20184 contributions3 helpful votes")</f>
        <v>Helen J wrote a review Dec 20184 contributions3 helpful votes</v>
      </c>
      <c r="K137" s="4" t="str">
        <f ca="1">IFERROR(__xludf.DUMMYFUNCTION("""COMPUTED_VALUE"""),"Great ServiceGreat service from the Team at Waterloo. We were informed on the way down, 
of an issue with the family room that was booked.On arrival, I was asked if 
I had been informed and confirmed that I was happy with the resolution. 
Which we were.As"&amp;" a gesture of goodwill, we were given free breakfast for 
all four of us on both mornings of our stay.Tibor on Reception was 
brilliant, friendly and happy to help each time we saw him, give him a 
raise or if you have a reward scheme, he needs to have so"&amp;"me recognition of 
how great he is.The rooms were great and we are looking forward to staying 
there again.Read moreReview collected in partnership with TravelodgeDate of 
stay: December 20181 Helpful voteHelpfulShare")</f>
        <v>Great ServiceGreat service from the Team at Waterloo. We were informed on the way down, 
of an issue with the family room that was booked.On arrival, I was asked if 
I had been informed and confirmed that I was happy with the resolution. 
Which we were.As a gesture of goodwill, we were given free breakfast for 
all four of us on both mornings of our stay.Tibor on Reception was 
brilliant, friendly and happy to help each time we saw him, give him a 
raise or if you have a reward scheme, he needs to have some recognition of 
how great he is.The rooms were great and we are looking forward to staying 
there again.Read moreReview collected in partnership with TravelodgeDate of 
stay: December 20181 Helpful voteHelpfulShare</v>
      </c>
      <c r="L137" s="21"/>
      <c r="M137" s="21" t="str">
        <f ca="1">IFERROR(__xludf.DUMMYFUNCTION("IMPORTXML(C137, $M$1)"),"#N/A")</f>
        <v>#N/A</v>
      </c>
      <c r="O137" s="21"/>
      <c r="P137" s="21" t="str">
        <f ca="1">IFERROR(__xludf.DUMMYFUNCTION("IMPORTXML(C137, $P$1)"),"#N/A")</f>
        <v>#N/A</v>
      </c>
      <c r="U137" s="4" t="str">
        <f ca="1">IFERROR(__xludf.DUMMYFUNCTION("IMPORTXML(C138,$U$1)"),"Loading...")</f>
        <v>Loading...</v>
      </c>
    </row>
    <row r="138" spans="1:21" ht="15">
      <c r="A138" s="25" t="s">
        <v>11473</v>
      </c>
      <c r="B138" s="17" t="s">
        <v>126</v>
      </c>
      <c r="C138" s="23" t="str">
        <f t="shared" si="0"/>
        <v>https://www.tripadvisor.co.uk/Hotel_Review-g186338-d1812157-Reviews-or680-Travelodge_London_Waterloo_Hotel-London_England.html#REVIEWS</v>
      </c>
      <c r="D138" s="4" t="str">
        <f ca="1">IFERROR(__xludf.DUMMYFUNCTION("IMPORTXML(C138,$D$1)"),"Consulty wrote a review Dec 2018Oxford, United Kingdom63 contributions50 
helpful votes")</f>
        <v>Consulty wrote a review Dec 2018Oxford, United Kingdom63 contributions50 
helpful votes</v>
      </c>
      <c r="E138" s="4" t="str">
        <f ca="1">IFERROR(__xludf.DUMMYFUNCTION("""COMPUTED_VALUE"""),"Avoid 137 as you are unlikely to sleepHave stayed at a few TL for 1 night in London, normally pretty good for the 
money and 1 night but this has put me off, all night I could hear water 
tanks fillings or water systems going, Only 1 small lift working fo"&amp;"r a 7 fl 
200 room hotel, and you can't walk down so be prepared to wait and wait. 
Good location though.Read moreDate of stay: December 20181 Helpful 
voteHelpfulShare")</f>
        <v>Avoid 137 as you are unlikely to sleepHave stayed at a few TL for 1 night in London, normally pretty good for the 
money and 1 night but this has put me off, all night I could hear water 
tanks fillings or water systems going, Only 1 small lift working for a 7 fl 
200 room hotel, and you can't walk down so be prepared to wait and wait. 
Good location though.Read moreDate of stay: December 20181 Helpful 
voteHelpfulShare</v>
      </c>
      <c r="G138" s="24" t="str">
        <f ca="1">IFERROR(__xludf.DUMMYFUNCTION("IMPORTXML(C138, $G$1)"),"Claire F wrote a review Dec 20181 contribution2 helpful votes")</f>
        <v>Claire F wrote a review Dec 20181 contribution2 helpful votes</v>
      </c>
      <c r="H138" s="4" t="str">
        <f ca="1">IFERROR(__xludf.DUMMYFUNCTION("""COMPUTED_VALUE"""),"STAFF ARE EXCELLENTI stayed here with my son and partner just over a week ago and was so 
impressed with the level of customer service. The chap Duwaynde on the 
front desk was so friendly and warm when he welcomed us. Also, Humayra was 
very kind, lendin"&amp;"g us a hair dryer and providing us local information. 
Thank you both, a credit to Travel Lodge.Read moreDate of stay: December 
20181 Helpful voteHelpfulShare")</f>
        <v>STAFF ARE EXCELLENTI stayed here with my son and partner just over a week ago and was so 
impressed with the level of customer service. The chap Duwaynde on the 
front desk was so friendly and warm when he welcomed us. Also, Humayra was 
very kind, lending us a hair dryer and providing us local information. 
Thank you both, a credit to Travel Lodge.Read moreDate of stay: December 
20181 Helpful voteHelpfulShare</v>
      </c>
      <c r="I138" s="21"/>
      <c r="J138" s="21" t="str">
        <f ca="1">IFERROR(__xludf.DUMMYFUNCTION("IMPORTXML(C138, $J$1)"),"Sightseer32727613378 wrote a review Dec 20181 contribution2 helpful votes")</f>
        <v>Sightseer32727613378 wrote a review Dec 20181 contribution2 helpful votes</v>
      </c>
      <c r="K138" s="4" t="str">
        <f ca="1">IFERROR(__xludf.DUMMYFUNCTION("""COMPUTED_VALUE"""),"5 night stayWe stayed 5 nights in a super room, for the price we paid we were very 
happy with the hotel and the facilities on offer. The hotel is well placed 
close to lots of London attractions and only a short 5 minutes walk to 
Waterloo station. We wo"&amp;"uld happily stay again on our next trip to 
London.Read moreReview collected in partnership with TravelodgeDate of 
stay: December 20181 Helpful voteHelpfulShare")</f>
        <v>5 night stayWe stayed 5 nights in a super room, for the price we paid we were very 
happy with the hotel and the facilities on offer. The hotel is well placed 
close to lots of London attractions and only a short 5 minutes walk to 
Waterloo station. We would happily stay again on our next trip to 
London.Read moreReview collected in partnership with TravelodgeDate of 
stay: December 20181 Helpful voteHelpfulShare</v>
      </c>
      <c r="L138" s="21"/>
      <c r="M138" s="21" t="str">
        <f ca="1">IFERROR(__xludf.DUMMYFUNCTION("IMPORTXML(C138, $M$1)"),"Anna F. wrote a review Dec 2018Martin, Slovakia1 contribution1 helpful vote")</f>
        <v>Anna F. wrote a review Dec 2018Martin, Slovakia1 contribution1 helpful vote</v>
      </c>
      <c r="N138" s="4" t="str">
        <f ca="1">IFERROR(__xludf.DUMMYFUNCTION("""COMPUTED_VALUE"""),"Will stay againNice, clean and cosy hotel just 5 minutes walk from London waterloo and 10 
minutes walk to Southbank Christmas market and London Eye. The only 
disadvantage is you have to pay for wi-fi and there is no hairdryer in the 
room-but if you ask"&amp;" the housekeeping or reception they will give you 
one.Read moreReview collected in partnership with TravelodgeDate of stay: 
December 20181 Helpful voteHelpfulShare")</f>
        <v>Will stay againNice, clean and cosy hotel just 5 minutes walk from London waterloo and 10 
minutes walk to Southbank Christmas market and London Eye. The only 
disadvantage is you have to pay for wi-fi and there is no hairdryer in the 
room-but if you ask the housekeeping or reception they will give you 
one.Read moreReview collected in partnership with TravelodgeDate of stay: 
December 20181 Helpful voteHelpfulShare</v>
      </c>
      <c r="O138" s="21"/>
      <c r="P138" s="21" t="str">
        <f ca="1">IFERROR(__xludf.DUMMYFUNCTION("IMPORTXML(C138, $P$1)"),"#N/A")</f>
        <v>#N/A</v>
      </c>
      <c r="U138" s="4" t="str">
        <f ca="1">IFERROR(__xludf.DUMMYFUNCTION("IMPORTXML(C139,$U$1)"),"Loading...")</f>
        <v>Loading...</v>
      </c>
    </row>
    <row r="139" spans="1:21" ht="15">
      <c r="A139" s="5" t="s">
        <v>11514</v>
      </c>
      <c r="B139" s="17" t="s">
        <v>126</v>
      </c>
      <c r="C139" s="23" t="str">
        <f t="shared" si="0"/>
        <v>https://www.tripadvisor.co.uk/Hotel_Review-g186338-d1812157-Reviews-or685-Travelodge_London_Waterloo_Hotel-London_England.html#REVIEWS</v>
      </c>
      <c r="D139" s="4" t="str">
        <f ca="1">IFERROR(__xludf.DUMMYFUNCTION("IMPORTXML(C139,$D$1)"),"EJG-DT wrote a review Dec 2018London, United Kingdom65 contributions25 
helpful votes")</f>
        <v>EJG-DT wrote a review Dec 2018London, United Kingdom65 contributions25 
helpful votes</v>
      </c>
      <c r="E139" s="4" t="str">
        <f ca="1">IFERROR(__xludf.DUMMYFUNCTION("""COMPUTED_VALUE"""),"Excellent hotel in a nice quiet but very convenient location of Central 
LondonFamily stayed here and found the hotel very clean, easy access, nice family 
room and clean bathroom, Breakfast was great lots of fresh food and great 
service, Wifi had some i"&amp;"ssues logging 2nd device but would be back to this 
hotel again. Great staff and happy to help with any questions, well done 
Travelodge.Read moreReview collected in partnership with TravelodgeDate of 
stay: December 20181 Helpful voteHelpfulShare")</f>
        <v>Excellent hotel in a nice quiet but very convenient location of Central 
LondonFamily stayed here and found the hotel very clean, easy access, nice family 
room and clean bathroom, Breakfast was great lots of fresh food and great 
service, Wifi had some issues logging 2nd device but would be back to this 
hotel again. Great staff and happy to help with any questions, well done 
Travelodge.Read moreReview collected in partnership with TravelodgeDate of 
stay: December 20181 Helpful voteHelpfulShare</v>
      </c>
      <c r="G139" s="24" t="str">
        <f ca="1">IFERROR(__xludf.DUMMYFUNCTION("IMPORTXML(C139, $G$1)"),"fallin60thparty wrote a review Dec 2018Stirling, United Kingdom6 
contributions7 helpful votes")</f>
        <v>fallin60thparty wrote a review Dec 2018Stirling, United Kingdom6 
contributions7 helpful votes</v>
      </c>
      <c r="H139" s="4" t="str">
        <f ca="1">IFERROR(__xludf.DUMMYFUNCTION("""COMPUTED_VALUE"""),"Annual girly trip to LondonPerfect location great base for exploring all the attractions in London 
walking distance to the London Eye and all the attractions along the South 
Bank, this is an annual girly trip and we will definitely be staying at the 
Tr"&amp;"avel Lodge WaterlooRead moreReview collected in partnership with 
TravelodgeDate of stay: December 20181 Helpful voteHelpfulShare")</f>
        <v>Annual girly trip to LondonPerfect location great base for exploring all the attractions in London 
walking distance to the London Eye and all the attractions along the South 
Bank, this is an annual girly trip and we will definitely be staying at the 
Travel Lodge WaterlooRead moreReview collected in partnership with 
TravelodgeDate of stay: December 20181 Helpful voteHelpfulShare</v>
      </c>
      <c r="I139" s="21"/>
      <c r="J139" s="21" t="str">
        <f ca="1">IFERROR(__xludf.DUMMYFUNCTION("IMPORTXML(C139, $J$1)"),"Charlotte J wrote a review Dec 2018Royal Tunbridge Wells, United Kingdom7 
contributions3 helpful votes")</f>
        <v>Charlotte J wrote a review Dec 2018Royal Tunbridge Wells, United Kingdom7 
contributions3 helpful votes</v>
      </c>
      <c r="K139" s="4" t="str">
        <f ca="1">IFERROR(__xludf.DUMMYFUNCTION("""COMPUTED_VALUE"""),"Brilliant Basic and well located.Busy hotel, can be noisy... Did not get a good nights sleep due to rowdy 
guests, staff seemed completely unbothered, fatigued and sort of malaised. 
But were kind and professional whenit came to moving rooms.Read moreRevi"&amp;"ew 
collected in partnership with TravelodgeDate of stay: December 20181 
Helpful voteHelpfulShare")</f>
        <v>Brilliant Basic and well located.Busy hotel, can be noisy... Did not get a good nights sleep due to rowdy 
guests, staff seemed completely unbothered, fatigued and sort of malaised. 
But were kind and professional whenit came to moving rooms.Read moreReview 
collected in partnership with TravelodgeDate of stay: December 20181 
Helpful voteHelpfulShare</v>
      </c>
      <c r="L139" s="21"/>
      <c r="M139" s="21" t="str">
        <f ca="1">IFERROR(__xludf.DUMMYFUNCTION("IMPORTXML(C139, $M$1)"),"TPAT75 wrote a review Dec 2018Oulu, Finland163 contributions61 helpful votes")</f>
        <v>TPAT75 wrote a review Dec 2018Oulu, Finland163 contributions61 helpful votes</v>
      </c>
      <c r="N139" s="4" t="str">
        <f ca="1">IFERROR(__xludf.DUMMYFUNCTION("""COMPUTED_VALUE"""),"Some room for improvementThe location of this hotel is pretty.good. Near Waterloo station and if 
you're fit, you can also walk to many of the major sights. Our room in 5th 
floor was facing the inner yard and was very quiet. No street noise at all 
which"&amp;" was a huge plus for me. The breakfast was very good and definitely 
worth paying for. It was never too crowded and they never run out of any 
items. The dinner was pretty good too for the money you pay. Room was 
modern and clean and the bed was very goo"&amp;"d. Shower was working great 
although you must be careful not to leak the floor. We could leave our 
luggage to the luggage room before check in and after the check out which 
was nice.There were some small gripes though that keep this hotel from 
getting"&amp;" the full score. I personally don't like the Travelodge…Read 
moreReview collected in partnership with TravelodgeDate of stay: December 
20181 Helpful voteHelpfulShare")</f>
        <v>Some room for improvementThe location of this hotel is pretty.good. Near Waterloo station and if 
you're fit, you can also walk to many of the major sights. Our room in 5th 
floor was facing the inner yard and was very quiet. No street noise at all 
which was a huge plus for me. The breakfast was very good and definitely 
worth paying for. It was never too crowded and they never run out of any 
items. The dinner was pretty good too for the money you pay. Room was 
modern and clean and the bed was very good. Shower was working great 
although you must be careful not to leak the floor. We could leave our 
luggage to the luggage room before check in and after the check out which 
was nice.There were some small gripes though that keep this hotel from 
getting the full score. I personally don't like the Travelodge…Read 
moreReview collected in partnership with TravelodgeDate of stay: December 
20181 Helpful voteHelpfulShare</v>
      </c>
      <c r="O139" s="21"/>
      <c r="P139" s="21" t="str">
        <f ca="1">IFERROR(__xludf.DUMMYFUNCTION("IMPORTXML(C139, $P$1)"),"Martin L wrote a review Dec 201815 contributions2 helpful votes")</f>
        <v>Martin L wrote a review Dec 201815 contributions2 helpful votes</v>
      </c>
      <c r="Q139" s="4" t="str">
        <f ca="1">IFERROR(__xludf.DUMMYFUNCTION("""COMPUTED_VALUE"""),"Noise all nightThe heater in my room was noisy so I turned it completely off. However, it 
continued to make a variety of loud sounds all night, but at random 
moments, so I would sleep for a while and then be woken again. The other 
issue was noisy guest"&amp;"s. Starting at 9pm a group were banging on each 
other's doors and having excited, shouted conversations in the corridor, as 
well as singing and shouting in rooms. The corridor shouting went on 
through until midnight and stopped just as I was preparing "&amp;"to get up, get 
dressed and go and complain. The noise was particularly disruptive because 
it flared up at 5 to 10 minute intervals, so again, I would partially drop 
off to sleep and then be woken. As this was the ground floor where the 
rooms are (weir"&amp;"dly) adjacent to the restaurant and bar, and…Read moreDate 
of stay: December 2018HelpfulShareResponse from TravelodgeUK, Molly from 
the Social Media Team at Travelodge London Waterloo HotelResponded 18 Dec 
2018Thank you for submitting your review. We a"&amp;"re sorry to learn of your 
disappointment following your recent stay with us. We hope to ensure all of 
our guests have a comfortable stay, and we are sorry that we did not 
achieve this on this occasion. If you wish to contact us directly so that 
we can"&amp;" discuss your experience further, please be aware that you can always 
contact our Customer Services team via our website. All customer feedback 
is valuable to us, so thank you again for your comments.Read more")</f>
        <v>Noise all nightThe heater in my room was noisy so I turned it completely off. However, it 
continued to make a variety of loud sounds all night, but at random 
moments, so I would sleep for a while and then be woken again. The other 
issue was noisy guests. Starting at 9pm a group were banging on each 
other's doors and having excited, shouted conversations in the corridor, as 
well as singing and shouting in rooms. The corridor shouting went on 
through until midnight and stopped just as I was preparing to get up, get 
dressed and go and complain. The noise was particularly disruptive because 
it flared up at 5 to 10 minute intervals, so again, I would partially drop 
off to sleep and then be woken. As this was the ground floor where the 
rooms are (weirdly) adjacent to the restaurant and bar, and…Read moreDate 
of stay: December 2018HelpfulShareResponse from TravelodgeUK, Molly from 
the Social Media Team at Travelodge London Waterloo HotelResponded 18 Dec 
2018Thank you for submitting your review. We are sorry to learn of your 
disappointment following your recent stay with us. We hope to ensure all of 
our guests have a comfortable stay, and we are sorry that we did not 
achieve this on this occasion. If you wish to contact us directly so that 
we can discuss your experience further, please be aware that you can always 
contact our Customer Services team via our website. All customer feedback 
is valuable to us, so thank you again for your comments.Read more</v>
      </c>
      <c r="U139" s="4" t="str">
        <f ca="1">IFERROR(__xludf.DUMMYFUNCTION("IMPORTXML(C140,$U$1)"),"Loading...")</f>
        <v>Loading...</v>
      </c>
    </row>
    <row r="140" spans="1:21" ht="15">
      <c r="A140" s="25" t="s">
        <v>11570</v>
      </c>
      <c r="B140" s="17" t="s">
        <v>126</v>
      </c>
      <c r="C140" s="23" t="str">
        <f t="shared" si="0"/>
        <v>https://www.tripadvisor.co.uk/Hotel_Review-g186338-d1812157-Reviews-or690-Travelodge_London_Waterloo_Hotel-London_England.html#REVIEWS</v>
      </c>
      <c r="D140" s="4" t="str">
        <f ca="1">IFERROR(__xludf.DUMMYFUNCTION("IMPORTXML(C140,$D$1)"),"Teresa R wrote a review Dec 2018Andover, United Kingdom253 contributions66 
helpful votes")</f>
        <v>Teresa R wrote a review Dec 2018Andover, United Kingdom253 contributions66 
helpful votes</v>
      </c>
      <c r="E140" s="4" t="str">
        <f ca="1">IFERROR(__xludf.DUMMYFUNCTION("""COMPUTED_VALUE"""),"Excellent location, comfortable Hotel with friendly efficient staffWe have stayed here several times and have always enjoyed our stay. It is 
in an excellent location 5 minutes walk to Waterloo station and 10-15 
minutes walk to the Southbank. The staff a"&amp;"re always friendly and efficient 
and help and advise when asked. The room was comfortable and quiet, nice 
bed and shower, decent sized TV. Great breakfast, all night bar. Good value 
for money in the heart of London. Definitely recommend.Read moreDate o"&amp;"f 
stay: December 20181 Helpful voteHelpfulShare")</f>
        <v>Excellent location, comfortable Hotel with friendly efficient staffWe have stayed here several times and have always enjoyed our stay. It is 
in an excellent location 5 minutes walk to Waterloo station and 10-15 
minutes walk to the Southbank. The staff are always friendly and efficient 
and help and advise when asked. The room was comfortable and quiet, nice 
bed and shower, decent sized TV. Great breakfast, all night bar. Good value 
for money in the heart of London. Definitely recommend.Read moreDate of 
stay: December 20181 Helpful voteHelpfulShare</v>
      </c>
      <c r="G140" s="24" t="str">
        <f ca="1">IFERROR(__xludf.DUMMYFUNCTION("IMPORTXML(C140, $G$1)"),"Peter Wade wrote a review Dec 2018St Helier, United Kingdom7 contributions2 
helpful votes")</f>
        <v>Peter Wade wrote a review Dec 2018St Helier, United Kingdom7 contributions2 
helpful votes</v>
      </c>
      <c r="H140" s="4" t="str">
        <f ca="1">IFERROR(__xludf.DUMMYFUNCTION("""COMPUTED_VALUE"""),"Enjoyable stayThe staff were very helpful and the hotel clean and tidy handy for Waterloo 
station only a ten minute walk.I managed to walk to the war museum only 
twenty minutes away.also on a regular bus route with plenty of taxis 
passingRead moreRevie"&amp;"w collected in partnership with TravelodgeDate of 
stay: December 2018HelpfulShare")</f>
        <v>Enjoyable stayThe staff were very helpful and the hotel clean and tidy handy for Waterloo 
station only a ten minute walk.I managed to walk to the war museum only 
twenty minutes away.also on a regular bus route with plenty of taxis 
passingRead moreReview collected in partnership with TravelodgeDate of 
stay: December 2018HelpfulShare</v>
      </c>
      <c r="I140" s="21"/>
      <c r="J140" s="21" t="str">
        <f ca="1">IFERROR(__xludf.DUMMYFUNCTION("IMPORTXML(C140, $J$1)"),"oopsey ooper wrote a review Dec 2018Southampton, United Kingdom73 
contributions17 helpful votes")</f>
        <v>oopsey ooper wrote a review Dec 2018Southampton, United Kingdom73 
contributions17 helpful votes</v>
      </c>
      <c r="K140" s="4" t="str">
        <f ca="1">IFERROR(__xludf.DUMMYFUNCTION("""COMPUTED_VALUE"""),"Birthday weekendGonna be brutally honest we couldn't get into any.... Wat I call posh 
hotels.. With it being so close to Xmas and this hotel was one of the few 
with a family room available. I wasent expecting it to be half decent. 
Prehapes I shouldn't "&amp;"be so quick to judge because when we got there we were 
met by lovely friendly smiley staff. The decor was clean and bright and 
welcoming. Our room was clean. Basic but everything u would need. Ironing 
board. Had to nip to reception to collect a hairdry"&amp;"er. The sheets were 
clean and fresh. Bathroom spotless. The evening meal we had after a long 
day of trekking around London was very appreciated. Pizzas were nice 
followed by a lovely apple crumble and custard. Once again all staff were 
friendly and ch"&amp;"atty. The breakfast was fab. Everything u could…Read 
moreDate of stay: December 20181 Helpful voteHelpfulShare")</f>
        <v>Birthday weekendGonna be brutally honest we couldn't get into any.... Wat I call posh 
hotels.. With it being so close to Xmas and this hotel was one of the few 
with a family room available. I wasent expecting it to be half decent. 
Prehapes I shouldn't be so quick to judge because when we got there we were 
met by lovely friendly smiley staff. The decor was clean and bright and 
welcoming. Our room was clean. Basic but everything u would need. Ironing 
board. Had to nip to reception to collect a hairdryer. The sheets were 
clean and fresh. Bathroom spotless. The evening meal we had after a long 
day of trekking around London was very appreciated. Pizzas were nice 
followed by a lovely apple crumble and custard. Once again all staff were 
friendly and chatty. The breakfast was fab. Everything u could…Read 
moreDate of stay: December 20181 Helpful voteHelpfulShare</v>
      </c>
      <c r="L140" s="21"/>
      <c r="M140" s="21" t="str">
        <f ca="1">IFERROR(__xludf.DUMMYFUNCTION("IMPORTXML(C140, $M$1)"),"WorldTravellerDevon wrote a review Dec 2018Devon, United Kingdom123 
contributions46 helpful votes")</f>
        <v>WorldTravellerDevon wrote a review Dec 2018Devon, United Kingdom123 
contributions46 helpful votes</v>
      </c>
      <c r="N140" s="4" t="str">
        <f ca="1">IFERROR(__xludf.DUMMYFUNCTION("""COMPUTED_VALUE"""),"Excellent StayWe travel to London every Christmas to spend three days enjoying the city 
and always stay at the Waterloo Travelodge. The Hotel has recently been 
re-furbished. We found the Hotel excellent, the staff, bedroom, bar and 
breakfast were all f"&amp;"irst class. Look forward to seeing you again next year. 
A great location with easy access to the centre of London.Read moreDate of 
stay: December 2018HelpfulShare")</f>
        <v>Excellent StayWe travel to London every Christmas to spend three days enjoying the city 
and always stay at the Waterloo Travelodge. The Hotel has recently been 
re-furbished. We found the Hotel excellent, the staff, bedroom, bar and 
breakfast were all first class. Look forward to seeing you again next year. 
A great location with easy access to the centre of London.Read moreDate of 
stay: December 2018HelpfulShare</v>
      </c>
      <c r="O140" s="21"/>
      <c r="P140" s="21" t="str">
        <f ca="1">IFERROR(__xludf.DUMMYFUNCTION("IMPORTXML(C140, $P$1)"),"angel69kent wrote a review Dec 2018Kent, United Kingdom40 contributions25 
helpful votes")</f>
        <v>angel69kent wrote a review Dec 2018Kent, United Kingdom40 contributions25 
helpful votes</v>
      </c>
      <c r="Q140" s="4" t="str">
        <f ca="1">IFERROR(__xludf.DUMMYFUNCTION("""COMPUTED_VALUE"""),"Amazing gemI was so surprised how modern this hotel was, great staff very helpful 
quick check-in and we booked breakfast once we got there very good value, 
we booked a Super room and when we walked in smelt so fresh and standards 
are high, room had eve"&amp;"rything you needed pod coffee machine hot chocolate 
kitkats lovely towels bed and bedding smelt so fresh, I did not want to 
leave we was so comfortable, we will stay again when we want a break to 
London, great pub down the road called Fire Station, wal"&amp;"king distance to 
Southbank bridge walk across to Charing Cross so central.Read moreDate of 
stay: November 2018HelpfulShare")</f>
        <v>Amazing gemI was so surprised how modern this hotel was, great staff very helpful 
quick check-in and we booked breakfast once we got there very good value, 
we booked a Super room and when we walked in smelt so fresh and standards 
are high, room had everything you needed pod coffee machine hot chocolate 
kitkats lovely towels bed and bedding smelt so fresh, I did not want to 
leave we was so comfortable, we will stay again when we want a break to 
London, great pub down the road called Fire Station, walking distance to 
Southbank bridge walk across to Charing Cross so central.Read moreDate of 
stay: November 2018HelpfulShare</v>
      </c>
      <c r="U140" s="4" t="str">
        <f ca="1">IFERROR(__xludf.DUMMYFUNCTION("IMPORTXML(C141,$U$1)"),"Loading...")</f>
        <v>Loading...</v>
      </c>
    </row>
    <row r="141" spans="1:21" ht="15">
      <c r="A141" s="25" t="s">
        <v>11618</v>
      </c>
      <c r="B141" s="17" t="s">
        <v>126</v>
      </c>
      <c r="C141" s="23" t="str">
        <f t="shared" si="0"/>
        <v>https://www.tripadvisor.co.uk/Hotel_Review-g186338-d1812157-Reviews-or695-Travelodge_London_Waterloo_Hotel-London_England.html#REVIEWS</v>
      </c>
      <c r="D141" s="4" t="str">
        <f ca="1">IFERROR(__xludf.DUMMYFUNCTION("IMPORTXML(C141,$D$1)"),"#N/A")</f>
        <v>#N/A</v>
      </c>
      <c r="G141" s="24" t="str">
        <f ca="1">IFERROR(__xludf.DUMMYFUNCTION("IMPORTXML(C141, $G$1)"),"#N/A")</f>
        <v>#N/A</v>
      </c>
      <c r="I141" s="21"/>
      <c r="J141" s="21" t="str">
        <f ca="1">IFERROR(__xludf.DUMMYFUNCTION("IMPORTXML(C141, $J$1)"),"DayTrip26530453385 wrote a review Dec 20181 contribution")</f>
        <v>DayTrip26530453385 wrote a review Dec 20181 contribution</v>
      </c>
      <c r="K141" s="4" t="str">
        <f ca="1">IFERROR(__xludf.DUMMYFUNCTION("""COMPUTED_VALUE"""),"good place for exploring the city!very good location for exploring the city. The room was clean and new. no 
problems at all. The breakfast was very good and plenty of choices. we had 
the possibility to leave the luggage before the check in and after the"&amp;" 
check out, very convenient!Read moreReview collected in partnership with 
TravelodgeDate of stay: December 20181 Helpful voteHelpfulShare")</f>
        <v>good place for exploring the city!very good location for exploring the city. The room was clean and new. no 
problems at all. The breakfast was very good and plenty of choices. we had 
the possibility to leave the luggage before the check in and after the 
check out, very convenient!Read moreReview collected in partnership with 
TravelodgeDate of stay: December 20181 Helpful voteHelpfulShare</v>
      </c>
      <c r="L141" s="21"/>
      <c r="M141" s="21" t="str">
        <f ca="1">IFERROR(__xludf.DUMMYFUNCTION("IMPORTXML(C141, $M$1)"),"#N/A")</f>
        <v>#N/A</v>
      </c>
      <c r="O141" s="21"/>
      <c r="P141" s="21" t="str">
        <f ca="1">IFERROR(__xludf.DUMMYFUNCTION("IMPORTXML(C141, $P$1)"),"Compass40698431883 wrote a review Dec 2018Manchester, United Kingdom1 
contribution")</f>
        <v>Compass40698431883 wrote a review Dec 2018Manchester, United Kingdom1 
contribution</v>
      </c>
      <c r="Q141" s="4" t="str">
        <f ca="1">IFERROR(__xludf.DUMMYFUNCTION("""COMPUTED_VALUE"""),"Good location but VERY basicThe location is great. 10 min walk from Waterloo. The hotel is clean &amp; the 
staff were friendly. However, given the price, I was very disappointed in 
the beyond basic toiletries &amp; facilities. (A pump in the shower - 
shampoo/b"&amp;"ody wash/hand gel)! That was it! There also weren’t any tea/coffee 
making facilities (but 2 random mugs), or a hair dryer. It’s a VERY small 
room for 2 people. But again, great location.Read moreReview collected in 
partnership with TravelodgeDate of st"&amp;"ay: December 2018HelpfulShareResponse 
from TravelodgeUK, Molly from the Social Media Team at Travelodge London 
Waterloo HotelResponded 10 Dec 2018Thank you for your review. We're pleased 
to learn that your stay was enhanced by the location of the Hotel"&amp;", and you 
found the Team to be friendly. However, we are sorry to learn that you were 
unimpressed with the facilities in your room. Being a budget Hotel brand, 
we believe that we provide all the necessary facilities to ensure a 
comfortable stay, for v"&amp;"alue. We are always looking to improve the services 
we offer and we will pass your comments on to the relevant team. Thank you 
again for your review.Read more")</f>
        <v>Good location but VERY basicThe location is great. 10 min walk from Waterloo. The hotel is clean &amp; the 
staff were friendly. However, given the price, I was very disappointed in 
the beyond basic toiletries &amp; facilities. (A pump in the shower - 
shampoo/body wash/hand gel)! That was it! There also weren’t any tea/coffee 
making facilities (but 2 random mugs), or a hair dryer. It’s a VERY small 
room for 2 people. But again, great location.Read moreReview collected in 
partnership with TravelodgeDate of stay: December 2018HelpfulShareResponse 
from TravelodgeUK, Molly from the Social Media Team at Travelodge London 
Waterloo HotelResponded 10 Dec 2018Thank you for your review. We're pleased 
to learn that your stay was enhanced by the location of the Hotel, and you 
found the Team to be friendly. However, we are sorry to learn that you were 
unimpressed with the facilities in your room. Being a budget Hotel brand, 
we believe that we provide all the necessary facilities to ensure a 
comfortable stay, for value. We are always looking to improve the services 
we offer and we will pass your comments on to the relevant team. Thank you 
again for your review.Read more</v>
      </c>
      <c r="U141" s="4" t="str">
        <f ca="1">IFERROR(__xludf.DUMMYFUNCTION("IMPORTXML(C142,$U$1)"),"Loading...")</f>
        <v>Loading...</v>
      </c>
    </row>
    <row r="142" spans="1:21" ht="15">
      <c r="A142" s="25" t="s">
        <v>11662</v>
      </c>
      <c r="B142" s="17" t="s">
        <v>126</v>
      </c>
      <c r="C142" s="23" t="str">
        <f t="shared" si="0"/>
        <v>https://www.tripadvisor.co.uk/Hotel_Review-g186338-d1812157-Reviews-or700-Travelodge_London_Waterloo_Hotel-London_England.html#REVIEWS</v>
      </c>
      <c r="D142" s="4" t="str">
        <f ca="1">IFERROR(__xludf.DUMMYFUNCTION("IMPORTXML(C142,$D$1)"),"#N/A")</f>
        <v>#N/A</v>
      </c>
      <c r="G142" s="24" t="str">
        <f ca="1">IFERROR(__xludf.DUMMYFUNCTION("IMPORTXML(C142, $G$1)"),"Donna H wrote a review Dec 2018Paignton, United Kingdom2 contributions")</f>
        <v>Donna H wrote a review Dec 2018Paignton, United Kingdom2 contributions</v>
      </c>
      <c r="H142" s="4" t="str">
        <f ca="1">IFERROR(__xludf.DUMMYFUNCTION("""COMPUTED_VALUE"""),"London waterlooVery good place to stay. Very large hotel but nevertheless the staff were 
excellent. Food good and cost of stay minimal for London. Imperial war 
museum 5 mins away and waterloo station about 3 minutes away.Read 
moreReview collected in pa"&amp;"rtnership with TravelodgeDate of stay: November 
2018HelpfulShare")</f>
        <v>London waterlooVery good place to stay. Very large hotel but nevertheless the staff were 
excellent. Food good and cost of stay minimal for London. Imperial war 
museum 5 mins away and waterloo station about 3 minutes away.Read 
moreReview collected in partnership with TravelodgeDate of stay: November 
2018HelpfulShare</v>
      </c>
      <c r="I142" s="21"/>
      <c r="J142" s="21" t="str">
        <f ca="1">IFERROR(__xludf.DUMMYFUNCTION("IMPORTXML(C142, $J$1)"),"Lesleyw679 wrote a review Dec 2018Melrose, United Kingdom9 contributions1 
helpful vote")</f>
        <v>Lesleyw679 wrote a review Dec 2018Melrose, United Kingdom9 contributions1 
helpful vote</v>
      </c>
      <c r="K142" s="4" t="str">
        <f ca="1">IFERROR(__xludf.DUMMYFUNCTION("""COMPUTED_VALUE"""),"Great hotel, good location, value for moneyNewly refurbished hotel, clean and comfortable rooms. Great value for money 
and in a good location to reach many attractions. Staff were very welcoming 
and helpful. I would recommend if looking for a clean, saf"&amp;"e and 
confirmtable hotel at an affordable price.Read moreReview collected in 
partnership with TravelodgeDate of stay: December 2018HelpfulShare")</f>
        <v>Great hotel, good location, value for moneyNewly refurbished hotel, clean and comfortable rooms. Great value for money 
and in a good location to reach many attractions. Staff were very welcoming 
and helpful. I would recommend if looking for a clean, safe and 
confirmtable hotel at an affordable price.Read moreReview collected in 
partnership with TravelodgeDate of stay: December 2018HelpfulShare</v>
      </c>
      <c r="L142" s="21"/>
      <c r="M142" s="21" t="str">
        <f ca="1">IFERROR(__xludf.DUMMYFUNCTION("IMPORTXML(C142, $M$1)"),"Zoeblovett wrote a review Dec 2018Guildford, United Kingdom5 contributions")</f>
        <v>Zoeblovett wrote a review Dec 2018Guildford, United Kingdom5 contributions</v>
      </c>
      <c r="N142" s="4" t="str">
        <f ca="1">IFERROR(__xludf.DUMMYFUNCTION("""COMPUTED_VALUE"""),"Super clean, modern, comfortableThe room had a key card which to be honest i always appreciate. Really 
comfortable bedding, huge bathroom. AC was there if needed but it was 
actually the perfect tshirt temperature- not able to open windows though- 
shame"&amp;", health &amp; safety I guess. Staff were really lovely- funny security. 
Really pleasant stay- thank you guys!Read moreDate of stay: November 
2018HelpfulShare")</f>
        <v>Super clean, modern, comfortableThe room had a key card which to be honest i always appreciate. Really 
comfortable bedding, huge bathroom. AC was there if needed but it was 
actually the perfect tshirt temperature- not able to open windows though- 
shame, health &amp; safety I guess. Staff were really lovely- funny security. 
Really pleasant stay- thank you guys!Read moreDate of stay: November 
2018HelpfulShare</v>
      </c>
      <c r="O142" s="21"/>
      <c r="P142" s="21" t="str">
        <f ca="1">IFERROR(__xludf.DUMMYFUNCTION("IMPORTXML(C142, $P$1)"),"Jason H wrote a review Dec 2018Abingdon, United Kingdom30 contributions18 
helpful votes")</f>
        <v>Jason H wrote a review Dec 2018Abingdon, United Kingdom30 contributions18 
helpful votes</v>
      </c>
      <c r="Q142" s="4" t="str">
        <f ca="1">IFERROR(__xludf.DUMMYFUNCTION("""COMPUTED_VALUE"""),"ImpressedStayed here with my partner, for one night in December whilst we visited 
local attractions! Very welcoming staff on arrival . The room was very 
clean and modern ! We used the bar and restaurant and we were both 
impressed with the quality of th"&amp;"e food. And again the staff were extremely 
helpful. We would recommend this hotel and will be staying there again 
��Read moreDate of stay: December 2018HelpfulShare")</f>
        <v>ImpressedStayed here with my partner, for one night in December whilst we visited 
local attractions! Very welcoming staff on arrival . The room was very 
clean and modern ! We used the bar and restaurant and we were both 
impressed with the quality of the food. And again the staff were extremely 
helpful. We would recommend this hotel and will be staying there again 
��Read moreDate of stay: December 2018HelpfulShare</v>
      </c>
      <c r="U142" s="4" t="str">
        <f ca="1">IFERROR(__xludf.DUMMYFUNCTION("IMPORTXML(C143,$U$1)"),"Loading...")</f>
        <v>Loading...</v>
      </c>
    </row>
    <row r="143" spans="1:21" ht="15">
      <c r="A143" s="5" t="s">
        <v>11704</v>
      </c>
      <c r="B143" s="17" t="s">
        <v>126</v>
      </c>
      <c r="C143" s="23" t="str">
        <f t="shared" si="0"/>
        <v>https://www.tripadvisor.co.uk/Hotel_Review-g186338-d1812157-Reviews-or705-Travelodge_London_Waterloo_Hotel-London_England.html#REVIEWS</v>
      </c>
      <c r="D143" s="4" t="str">
        <f ca="1">IFERROR(__xludf.DUMMYFUNCTION("IMPORTXML(C143,$D$1)"),"wirraljojo wrote a review Dec 2018Wirral75 contributions30 helpful votes")</f>
        <v>wirraljojo wrote a review Dec 2018Wirral75 contributions30 helpful votes</v>
      </c>
      <c r="E143" s="4" t="str">
        <f ca="1">IFERROR(__xludf.DUMMYFUNCTION("""COMPUTED_VALUE"""),"Good locationWas a bit apprehensive but really nice hotel in good location. Five mins 
walk from Waterloo train station. Direct link to Euston on the northern 
line. Could see London eye from hotel. Nice bar and cafe Room clean and 
tidy. Small but to be "&amp;"expected from a central London hotel. Would stay 
there again. Nice friendly staffRead moreDate of stay: December 
2018HelpfulShare")</f>
        <v>Good locationWas a bit apprehensive but really nice hotel in good location. Five mins 
walk from Waterloo train station. Direct link to Euston on the northern 
line. Could see London eye from hotel. Nice bar and cafe Room clean and 
tidy. Small but to be expected from a central London hotel. Would stay 
there again. Nice friendly staffRead moreDate of stay: December 
2018HelpfulShare</v>
      </c>
      <c r="G143" s="24" t="str">
        <f ca="1">IFERROR(__xludf.DUMMYFUNCTION("IMPORTXML(C143, $G$1)"),"#N/A")</f>
        <v>#N/A</v>
      </c>
      <c r="I143" s="21"/>
      <c r="J143" s="21" t="str">
        <f ca="1">IFERROR(__xludf.DUMMYFUNCTION("IMPORTXML(C143, $J$1)"),"MFiVienna wrote a review Dec 2018Vienna153 contributions45 helpful votes")</f>
        <v>MFiVienna wrote a review Dec 2018Vienna153 contributions45 helpful votes</v>
      </c>
      <c r="K143" s="4" t="str">
        <f ca="1">IFERROR(__xludf.DUMMYFUNCTION("""COMPUTED_VALUE"""),"Recently renovated, good sized rooms, clean and todyThis is an updated Travelodge the rooms are a good size and are equipped 
with a shower rather than a bath, which I prefer. The room was clean and 
the bed comfortable. The bar area was very nicely decor"&amp;"ated and the 
breakfast was plentiful and varied, offering all that one would wish for. 
Situation of the hotel is perfect for travel from Gatwick and for walking 
into the center of London. Alternatively underground and main railway 
station are close at"&amp;" hand.Read moreDate of stay: November 2018HelpfulShare")</f>
        <v>Recently renovated, good sized rooms, clean and todyThis is an updated Travelodge the rooms are a good size and are equipped 
with a shower rather than a bath, which I prefer. The room was clean and 
the bed comfortable. The bar area was very nicely decorated and the 
breakfast was plentiful and varied, offering all that one would wish for. 
Situation of the hotel is perfect for travel from Gatwick and for walking 
into the center of London. Alternatively underground and main railway 
station are close at hand.Read moreDate of stay: November 2018HelpfulShare</v>
      </c>
      <c r="L143" s="21"/>
      <c r="M143" s="21" t="str">
        <f ca="1">IFERROR(__xludf.DUMMYFUNCTION("IMPORTXML(C143, $M$1)"),"#N/A")</f>
        <v>#N/A</v>
      </c>
      <c r="O143" s="21"/>
      <c r="P143" s="21" t="str">
        <f ca="1">IFERROR(__xludf.DUMMYFUNCTION("IMPORTXML(C143, $P$1)"),"july1959 wrote a review Nov 2018Appia SS 7, Italy119 contributions83 
helpful votes")</f>
        <v>july1959 wrote a review Nov 2018Appia SS 7, Italy119 contributions83 
helpful votes</v>
      </c>
      <c r="Q143" s="4" t="str">
        <f ca="1">IFERROR(__xludf.DUMMYFUNCTION("""COMPUTED_VALUE"""),"Low expectationsI’m in London for a conference for work so my expectations are low and my 
attitude is one of resignation to whatever hotel I’ve been allocated in 
order to fulfil my duties for work at the least cost to my employers purse. 
I confess- I w"&amp;"asn’t expecting much from the Waterloo travel lodge, so I’m 
pleased to be able to say I’m very pleasantly surprised. My room is basic 
but comfortable and spotless. There is tea/coffee facilities, comfy 
bed,TV,desk and charging plugs for phone/iPad etc."&amp;" The bathroom positively 
sparkles. The restaurant served me the tastiest superfood salad I have had 
for a long time, and believe me I’ve eaten quite a few. I can only find one 
negative comment and that is that free WiFi is only 30 minutes after that 
i"&amp;"t’s a £3 charge, however, it is a pleasure to say…Read moreDate of stay: 
November 2018HelpfulShare")</f>
        <v>Low expectationsI’m in London for a conference for work so my expectations are low and my 
attitude is one of resignation to whatever hotel I’ve been allocated in 
order to fulfil my duties for work at the least cost to my employers purse. 
I confess- I wasn’t expecting much from the Waterloo travel lodge, so I’m 
pleased to be able to say I’m very pleasantly surprised. My room is basic 
but comfortable and spotless. There is tea/coffee facilities, comfy 
bed,TV,desk and charging plugs for phone/iPad etc. The bathroom positively 
sparkles. The restaurant served me the tastiest superfood salad I have had 
for a long time, and believe me I’ve eaten quite a few. I can only find one 
negative comment and that is that free WiFi is only 30 minutes after that 
it’s a £3 charge, however, it is a pleasure to say…Read moreDate of stay: 
November 2018HelpfulShare</v>
      </c>
      <c r="U143" s="4" t="str">
        <f ca="1">IFERROR(__xludf.DUMMYFUNCTION("IMPORTXML(C144,$U$1)"),"Loading...")</f>
        <v>Loading...</v>
      </c>
    </row>
    <row r="144" spans="1:21" ht="15">
      <c r="A144" s="25" t="s">
        <v>11748</v>
      </c>
      <c r="B144" s="17" t="s">
        <v>126</v>
      </c>
      <c r="C144" s="23" t="str">
        <f t="shared" si="0"/>
        <v>https://www.tripadvisor.co.uk/Hotel_Review-g186338-d1812157-Reviews-or710-Travelodge_London_Waterloo_Hotel-London_England.html#REVIEWS</v>
      </c>
      <c r="D144" s="4" t="str">
        <f ca="1">IFERROR(__xludf.DUMMYFUNCTION("IMPORTXML(C144,$D$1)"),"Deborah D wrote a review Nov 201819 contributions13 helpful votes")</f>
        <v>Deborah D wrote a review Nov 201819 contributions13 helpful votes</v>
      </c>
      <c r="E144" s="4" t="str">
        <f ca="1">IFERROR(__xludf.DUMMYFUNCTION("""COMPUTED_VALUE"""),"Trip to LondonFantastic hotel does exactly what it says on the tin! Great location for 
visiting London, staff friendly and room perfect will definitely use this 
hotel again when visiting London and would recommend to others.Read 
moreReview collected in"&amp;" partnership with TravelodgeDate of stay: November 
2018HelpfulShare")</f>
        <v>Trip to LondonFantastic hotel does exactly what it says on the tin! Great location for 
visiting London, staff friendly and room perfect will definitely use this 
hotel again when visiting London and would recommend to others.Read 
moreReview collected in partnership with TravelodgeDate of stay: November 
2018HelpfulShare</v>
      </c>
      <c r="G144" s="24" t="str">
        <f ca="1">IFERROR(__xludf.DUMMYFUNCTION("IMPORTXML(C144, $G$1)"),"Susan P wrote a review Nov 2018Barnstaple, United Kingdom4 contributions1 
helpful vote")</f>
        <v>Susan P wrote a review Nov 2018Barnstaple, United Kingdom4 contributions1 
helpful vote</v>
      </c>
      <c r="H144" s="4" t="str">
        <f ca="1">IFERROR(__xludf.DUMMYFUNCTION("""COMPUTED_VALUE"""),"Weekend awayI booked this hotel as a birthday surprise for my husband as it was within 
walking distance for everything that I’d planned.. The hotel was lovely and 
clean and staff friendly. The only downside was breakfast it was cold I 
notified a member"&amp;" of staff unfortunately to no avail.Read moreReview 
collected in partnership with TravelodgeDate of stay: November 20181 
Helpful voteHelpfulShareResponse from TravelodgeUK, Molly from the Social 
Media Team at Travelodge London Waterloo HotelResponded 2"&amp;"8 Nov 2018Thank 
you for your review. We're pleased to hear that your stay was enhanced by 
the location of the hotel, which you found to be convenient for your trip. 
We are also delighted to hear that you found the Team to be friendly and 
your room was"&amp;" clean and comfortable. However, we are sorry to learn that 
the breakfast was cold and nothing was done to resolve this after you 
reported it to the Team. We will address this with the Team on site to 
ensure we are providing the most efficient service "&amp;"to our guests. Thank you 
again for your comments.Read more")</f>
        <v>Weekend awayI booked this hotel as a birthday surprise for my husband as it was within 
walking distance for everything that I’d planned.. The hotel was lovely and 
clean and staff friendly. The only downside was breakfast it was cold I 
notified a member of staff unfortunately to no avail.Read moreReview 
collected in partnership with TravelodgeDate of stay: November 20181 
Helpful voteHelpfulShareResponse from TravelodgeUK, Molly from the Social 
Media Team at Travelodge London Waterloo HotelResponded 28 Nov 2018Thank 
you for your review. We're pleased to hear that your stay was enhanced by 
the location of the hotel, which you found to be convenient for your trip. 
We are also delighted to hear that you found the Team to be friendly and 
your room was clean and comfortable. However, we are sorry to learn that 
the breakfast was cold and nothing was done to resolve this after you 
reported it to the Team. We will address this with the Team on site to 
ensure we are providing the most efficient service to our guests. Thank you 
again for your comments.Read more</v>
      </c>
      <c r="I144" s="21"/>
      <c r="J144" s="21" t="str">
        <f ca="1">IFERROR(__xludf.DUMMYFUNCTION("IMPORTXML(C144, $J$1)"),"coopraccaz wrote a review Nov 2018Caerphilly, United Kingdom6 
contributions4 helpful votes")</f>
        <v>coopraccaz wrote a review Nov 2018Caerphilly, United Kingdom6 
contributions4 helpful votes</v>
      </c>
      <c r="K144" s="4" t="str">
        <f ca="1">IFERROR(__xludf.DUMMYFUNCTION("""COMPUTED_VALUE"""),"One of the best Travelodges we’ve stayed inHad an excellent 2nd stay at Travelogue Waterloo (3nights) Had a room on 
the 8th floor with great views ( much better than our previous stay on 
lower floors where views not so great), basic room which is normal"&amp;" for 
travelodges but recent refurbished makes such a difference, very clean and 
comfortable bed. staff really lovely and helpful on reception and in the 
dining rooms - thanks to Debora for her excellent service for the one 
evening we ate at hotel - wh"&amp;"ich was real nice 2 course for £12 (good price 
for London). Breakfast really good and plentiful and never seemed too busy. 
Location perfect with Waterloo station only 5 ,mins walk with tubes to get 
all around London and London Eye about 10 min walk. Hi"&amp;"ghly recommend if 
your looking for a reasonable priced hotel.Read moreDate of stay: November 
20181 Helpful voteHelpfulShare")</f>
        <v>One of the best Travelodges we’ve stayed inHad an excellent 2nd stay at Travelogue Waterloo (3nights) Had a room on 
the 8th floor with great views ( much better than our previous stay on 
lower floors where views not so great), basic room which is normal for 
travelodges but recent refurbished makes such a difference, very clean and 
comfortable bed. staff really lovely and helpful on reception and in the 
dining rooms - thanks to Debora for her excellent service for the one 
evening we ate at hotel - which was real nice 2 course for £12 (good price 
for London). Breakfast really good and plentiful and never seemed too busy. 
Location perfect with Waterloo station only 5 ,mins walk with tubes to get 
all around London and London Eye about 10 min walk. Highly recommend if 
your looking for a reasonable priced hotel.Read moreDate of stay: November 
20181 Helpful voteHelpfulShare</v>
      </c>
      <c r="L144" s="21"/>
      <c r="M144" s="21" t="str">
        <f ca="1">IFERROR(__xludf.DUMMYFUNCTION("IMPORTXML(C144, $M$1)"),"#N/A")</f>
        <v>#N/A</v>
      </c>
      <c r="O144" s="21"/>
      <c r="P144" s="21" t="str">
        <f ca="1">IFERROR(__xludf.DUMMYFUNCTION("IMPORTXML(C144, $P$1)"),"#N/A")</f>
        <v>#N/A</v>
      </c>
      <c r="U144" s="4" t="str">
        <f ca="1">IFERROR(__xludf.DUMMYFUNCTION("IMPORTXML(C145,$U$1)"),"Loading...")</f>
        <v>Loading...</v>
      </c>
    </row>
    <row r="145" spans="1:21" ht="15">
      <c r="A145" s="25" t="s">
        <v>11795</v>
      </c>
      <c r="B145" s="17" t="s">
        <v>126</v>
      </c>
      <c r="C145" s="23" t="str">
        <f t="shared" si="0"/>
        <v>https://www.tripadvisor.co.uk/Hotel_Review-g186338-d1812157-Reviews-or715-Travelodge_London_Waterloo_Hotel-London_England.html#REVIEWS</v>
      </c>
      <c r="D145" s="4" t="str">
        <f ca="1">IFERROR(__xludf.DUMMYFUNCTION("IMPORTXML(C145,$D$1)"),"Beattiebear wrote a review Nov 2018Abu Dhabi, United Arab Emirates70 
contributions14 helpful votes")</f>
        <v>Beattiebear wrote a review Nov 2018Abu Dhabi, United Arab Emirates70 
contributions14 helpful votes</v>
      </c>
      <c r="E145" s="4" t="str">
        <f ca="1">IFERROR(__xludf.DUMMYFUNCTION("""COMPUTED_VALUE"""),"Value for moneyStayed here twice. Location is good for easy walking to south bank and 
central London eg Covent Garden, Leicester sq. breakfast is good with good 
number of tables so queues generally avoided. Much better value for money 
than Hampton by H"&amp;"ilton next door !Read moreDate of stay: November 
2018HelpfulShare")</f>
        <v>Value for moneyStayed here twice. Location is good for easy walking to south bank and 
central London eg Covent Garden, Leicester sq. breakfast is good with good 
number of tables so queues generally avoided. Much better value for money 
than Hampton by Hilton next door !Read moreDate of stay: November 
2018HelpfulShare</v>
      </c>
      <c r="G145" s="24" t="str">
        <f ca="1">IFERROR(__xludf.DUMMYFUNCTION("IMPORTXML(C145, $G$1)"),"Haydn B wrote a review Nov 2018Belfast, United Kingdom31 contributions14 
helpful votes")</f>
        <v>Haydn B wrote a review Nov 2018Belfast, United Kingdom31 contributions14 
helpful votes</v>
      </c>
      <c r="H145" s="4" t="str">
        <f ca="1">IFERROR(__xludf.DUMMYFUNCTION("""COMPUTED_VALUE"""),"Travelodge WaterlooA very pleasant surprise. The upgrade room and early check-in were a 
bonus.Room very clean and well-aired. Bed and pillows very comfortable.Both 
space and general room facilities better than most London 4 star hotels in 
which I have "&amp;"stayed.Recommended.Read moreReview collected in partnership 
with TravelodgeDate of stay: November 2018HelpfulShare")</f>
        <v>Travelodge WaterlooA very pleasant surprise. The upgrade room and early check-in were a 
bonus.Room very clean and well-aired. Bed and pillows very comfortable.Both 
space and general room facilities better than most London 4 star hotels in 
which I have stayed.Recommended.Read moreReview collected in partnership 
with TravelodgeDate of stay: November 2018HelpfulShare</v>
      </c>
      <c r="I145" s="21"/>
      <c r="J145" s="21" t="str">
        <f ca="1">IFERROR(__xludf.DUMMYFUNCTION("IMPORTXML(C145, $J$1)"),"Steven J wrote a review Nov 2018Edinburgh4 contributions2 helpful votes")</f>
        <v>Steven J wrote a review Nov 2018Edinburgh4 contributions2 helpful votes</v>
      </c>
      <c r="K145" s="4" t="str">
        <f ca="1">IFERROR(__xludf.DUMMYFUNCTION("""COMPUTED_VALUE"""),"great base for visting London landmarkscannot fault this Travelodge as very clean,rooms were very comfortable and 
staff great.Very quiet considering so busy as rugby on plus Remembrance 
weekend..Great transport links and easy walking to other locationsR"&amp;"ead 
moreReview collected in partnership with TravelodgeDate of stay: November 
2018HelpfulShare")</f>
        <v>great base for visting London landmarkscannot fault this Travelodge as very clean,rooms were very comfortable and 
staff great.Very quiet considering so busy as rugby on plus Remembrance 
weekend..Great transport links and easy walking to other locationsRead 
moreReview collected in partnership with TravelodgeDate of stay: November 
2018HelpfulShare</v>
      </c>
      <c r="L145" s="21"/>
      <c r="M145" s="21" t="str">
        <f ca="1">IFERROR(__xludf.DUMMYFUNCTION("IMPORTXML(C145, $M$1)"),"Linda H wrote a review Nov 2018southampton, England, United Kingdom6 
contributions1 helpful vote")</f>
        <v>Linda H wrote a review Nov 2018southampton, England, United Kingdom6 
contributions1 helpful vote</v>
      </c>
      <c r="N145" s="4" t="str">
        <f ca="1">IFERROR(__xludf.DUMMYFUNCTION("""COMPUTED_VALUE"""),"will be returningexcellent location. Safe enviroment. Happy feel to the hotel. Staff 
excellent and could not do enough to help. Food looked and tasted good, 
plenty to choose from for breakfast. Excellent place to stayRead moreReview 
collected in partne"&amp;"rship with TravelodgeDate of stay: November 
2018HelpfulShare")</f>
        <v>will be returningexcellent location. Safe enviroment. Happy feel to the hotel. Staff 
excellent and could not do enough to help. Food looked and tasted good, 
plenty to choose from for breakfast. Excellent place to stayRead moreReview 
collected in partnership with TravelodgeDate of stay: November 
2018HelpfulShare</v>
      </c>
      <c r="O145" s="21"/>
      <c r="P145" s="21" t="str">
        <f ca="1">IFERROR(__xludf.DUMMYFUNCTION("IMPORTXML(C145, $P$1)"),"MrsCW-R wrote a review Nov 2018Somerset, United Kingdom1,811 
contributions240 helpful votes")</f>
        <v>MrsCW-R wrote a review Nov 2018Somerset, United Kingdom1,811 
contributions240 helpful votes</v>
      </c>
      <c r="Q145" s="4" t="str">
        <f ca="1">IFERROR(__xludf.DUMMYFUNCTION("""COMPUTED_VALUE"""),"+1")</f>
        <v>+1</v>
      </c>
      <c r="R145" s="4" t="str">
        <f ca="1">IFERROR(__xludf.DUMMYFUNCTION("""COMPUTED_VALUE"""),"Great stayThis Travelodge is in an excellent location approximatately a 5-10 minute 
walk from Waterloo Station so great for getting around London. Lovely 
welcome on arrival, receptionists are very friendly and highly efficient. 
Check in time is not unt"&amp;"il 2pm however there is a waiting area in the 
reception and a cafe that serves tea/coffee and has a bar and does meals. 
Meals are very reasonable prices and nicely prepared. We had a great room 
with a view of The Shard on the 8th floor. An added bonus "&amp;"for hubby's 
birthday present. Huge windows to look out of. Rooms are a generous size 
for a city centre hotel and immaculately clean. Bed was huge and there was 
a working desk and a lamp - so well thought out. Bathroom was new and 
compact - no bath but"&amp;" with shower. We stayed for two…Read moreDate of stay: 
November 2018HelpfulShare")</f>
        <v>Great stayThis Travelodge is in an excellent location approximatately a 5-10 minute 
walk from Waterloo Station so great for getting around London. Lovely 
welcome on arrival, receptionists are very friendly and highly efficient. 
Check in time is not until 2pm however there is a waiting area in the 
reception and a cafe that serves tea/coffee and has a bar and does meals. 
Meals are very reasonable prices and nicely prepared. We had a great room 
with a view of The Shard on the 8th floor. An added bonus for hubby's 
birthday present. Huge windows to look out of. Rooms are a generous size 
for a city centre hotel and immaculately clean. Bed was huge and there was 
a working desk and a lamp - so well thought out. Bathroom was new and 
compact - no bath but with shower. We stayed for two…Read moreDate of stay: 
November 2018HelpfulShare</v>
      </c>
      <c r="U145" s="4" t="str">
        <f ca="1">IFERROR(__xludf.DUMMYFUNCTION("IMPORTXML(C146,$U$1)"),"Loading...")</f>
        <v>Loading...</v>
      </c>
    </row>
    <row r="146" spans="1:21" ht="15">
      <c r="A146" s="25" t="s">
        <v>11844</v>
      </c>
      <c r="B146" s="17" t="s">
        <v>126</v>
      </c>
      <c r="C146" s="23" t="str">
        <f t="shared" si="0"/>
        <v>https://www.tripadvisor.co.uk/Hotel_Review-g186338-d1812157-Reviews-or720-Travelodge_London_Waterloo_Hotel-London_England.html#REVIEWS</v>
      </c>
      <c r="D146" s="4" t="str">
        <f ca="1">IFERROR(__xludf.DUMMYFUNCTION("IMPORTXML(C146,$D$1)"),"GrandTour12603028700 wrote a review Nov 20181 contribution")</f>
        <v>GrandTour12603028700 wrote a review Nov 20181 contribution</v>
      </c>
      <c r="E146" s="4" t="str">
        <f ca="1">IFERROR(__xludf.DUMMYFUNCTION("""COMPUTED_VALUE"""),"Very handy for our business tripTeam of nine staying on business trip to attend the Armistice commemoration 
at Westminster Abbey on 11 November. The usual Travelodge experience - 
basic but comfortable and decent breakfast. Short distance walk from 
Wate"&amp;"rloo tube station.Read moreReview collected in partnership with 
TravelodgeDate of stay: November 2018HelpfulShare")</f>
        <v>Very handy for our business tripTeam of nine staying on business trip to attend the Armistice commemoration 
at Westminster Abbey on 11 November. The usual Travelodge experience - 
basic but comfortable and decent breakfast. Short distance walk from 
Waterloo tube station.Read moreReview collected in partnership with 
TravelodgeDate of stay: November 2018HelpfulShare</v>
      </c>
      <c r="G146" s="24" t="str">
        <f ca="1">IFERROR(__xludf.DUMMYFUNCTION("IMPORTXML(C146, $G$1)"),"#N/A")</f>
        <v>#N/A</v>
      </c>
      <c r="I146" s="21"/>
      <c r="J146" s="21" t="str">
        <f ca="1">IFERROR(__xludf.DUMMYFUNCTION("IMPORTXML(C146, $J$1)"),"Barron wrote a review Nov 2018Bournemouth121 contributions150 helpful votes")</f>
        <v>Barron wrote a review Nov 2018Bournemouth121 contributions150 helpful votes</v>
      </c>
      <c r="K146" s="4" t="str">
        <f ca="1">IFERROR(__xludf.DUMMYFUNCTION("""COMPUTED_VALUE"""),"Good valueRooms recently renovated so modern and well-equipped.. Heater in my room 
didn't work that well but fortunately the weather wasn't too cold. All very 
clean and bed comfortable. Had room on top floor so pretty quiet. Staff 
pleasant and helpful."&amp;" Only 30 mins free internet.Read moreDate of stay: 
November 2018HelpfulShare")</f>
        <v>Good valueRooms recently renovated so modern and well-equipped.. Heater in my room 
didn't work that well but fortunately the weather wasn't too cold. All very 
clean and bed comfortable. Had room on top floor so pretty quiet. Staff 
pleasant and helpful. Only 30 mins free internet.Read moreDate of stay: 
November 2018HelpfulShare</v>
      </c>
      <c r="L146" s="21"/>
      <c r="M146" s="21" t="str">
        <f ca="1">IFERROR(__xludf.DUMMYFUNCTION("IMPORTXML(C146, $M$1)"),"andy f wrote a review Nov 2018Derby88 contributions31 helpful votes")</f>
        <v>andy f wrote a review Nov 2018Derby88 contributions31 helpful votes</v>
      </c>
      <c r="N146" s="4" t="str">
        <f ca="1">IFERROR(__xludf.DUMMYFUNCTION("""COMPUTED_VALUE"""),"A great base for a few days in londonI'm not one to spend big on hotel if it's just a base and somewhere to 
sleep. This hotel in a great location, 5 minutes walk from Waterloo 
station. Clean, with friendly staff. Good choice at breakfast. A good 
choice"&amp;" of food during the day if you don't want to eat out. Well stocked 
bar. One small thing and this isn't the hotel fault. We had a room at the 
back of the hotel. I like to have the window open at night. Well the carry 
on outside from the house's next to "&amp;"the hotel, was unbelievable. Kids and 
adults thinking it a good time to start playing hide and seek and screaming 
and shouting at each other. Now we stayed for 2 nights and it only happened 
one night. If the window was shut we may not have heard it. Th"&amp;"e rooms do 
have air con. It's just me I like the window open. I'd…Read moreDate of 
stay: November 2018HelpfulShare")</f>
        <v>A great base for a few days in londonI'm not one to spend big on hotel if it's just a base and somewhere to 
sleep. This hotel in a great location, 5 minutes walk from Waterloo 
station. Clean, with friendly staff. Good choice at breakfast. A good 
choice of food during the day if you don't want to eat out. Well stocked 
bar. One small thing and this isn't the hotel fault. We had a room at the 
back of the hotel. I like to have the window open at night. Well the carry 
on outside from the house's next to the hotel, was unbelievable. Kids and 
adults thinking it a good time to start playing hide and seek and screaming 
and shouting at each other. Now we stayed for 2 nights and it only happened 
one night. If the window was shut we may not have heard it. The rooms do 
have air con. It's just me I like the window open. I'd…Read moreDate of 
stay: November 2018HelpfulShare</v>
      </c>
      <c r="O146" s="21"/>
      <c r="P146" s="21" t="str">
        <f ca="1">IFERROR(__xludf.DUMMYFUNCTION("IMPORTXML(C146, $P$1)"),"digthegardener wrote a review Nov 2018cleveland9 contributions1 helpful vote")</f>
        <v>digthegardener wrote a review Nov 2018cleveland9 contributions1 helpful vote</v>
      </c>
      <c r="Q146" s="4" t="str">
        <f ca="1">IFERROR(__xludf.DUMMYFUNCTION("""COMPUTED_VALUE"""),"another great stay in waterloothis is fifth year we have stayed at least twice a year always enjoyable 
great staff clean rooms good food little bit away from central waterloo but 
can't have everything breakfast lots of choice to keep you goingRead 
more"&amp;"Review collected in partnership with this hotelDate of stay: November 
2018HelpfulShare")</f>
        <v>another great stay in waterloothis is fifth year we have stayed at least twice a year always enjoyable 
great staff clean rooms good food little bit away from central waterloo but 
can't have everything breakfast lots of choice to keep you goingRead 
moreReview collected in partnership with this hotelDate of stay: November 
2018HelpfulShare</v>
      </c>
      <c r="U146" s="4" t="str">
        <f ca="1">IFERROR(__xludf.DUMMYFUNCTION("IMPORTXML(C147,$U$1)"),"Loading...")</f>
        <v>Loading...</v>
      </c>
    </row>
    <row r="147" spans="1:21" ht="15">
      <c r="A147" s="5" t="s">
        <v>11902</v>
      </c>
      <c r="B147" s="17" t="s">
        <v>126</v>
      </c>
      <c r="C147" s="23" t="str">
        <f t="shared" si="0"/>
        <v>https://www.tripadvisor.co.uk/Hotel_Review-g186338-d1812157-Reviews-or725-Travelodge_London_Waterloo_Hotel-London_England.html#REVIEWS</v>
      </c>
      <c r="D147" s="4" t="str">
        <f ca="1">IFERROR(__xludf.DUMMYFUNCTION("IMPORTXML(C147,$D$1)"),"Ian L wrote a review Nov 2018Dover, United Kingdom49 contributions17 
helpful votes")</f>
        <v>Ian L wrote a review Nov 2018Dover, United Kingdom49 contributions17 
helpful votes</v>
      </c>
      <c r="E147" s="4" t="str">
        <f ca="1">IFERROR(__xludf.DUMMYFUNCTION("""COMPUTED_VALUE"""),"Remembrance WeekendSecond time I have stayed at this Travelodge, the rooms are of good 
quality, nice and clean and comfortable, slightly expensive but you expect 
that for London on Remembrance Weekend. Breakfast good standard and 
variety, bed was reall"&amp;"y comfortable and room heating was not an issue.Read 
moreReview collected in partnership with this hotelDate of stay: November 
2018HelpfulShare")</f>
        <v>Remembrance WeekendSecond time I have stayed at this Travelodge, the rooms are of good 
quality, nice and clean and comfortable, slightly expensive but you expect 
that for London on Remembrance Weekend. Breakfast good standard and 
variety, bed was really comfortable and room heating was not an issue.Read 
moreReview collected in partnership with this hotelDate of stay: November 
2018HelpfulShare</v>
      </c>
      <c r="G147" s="24" t="str">
        <f ca="1">IFERROR(__xludf.DUMMYFUNCTION("IMPORTXML(C147, $G$1)"),"#N/A")</f>
        <v>#N/A</v>
      </c>
      <c r="I147" s="21"/>
      <c r="J147" s="21" t="str">
        <f ca="1">IFERROR(__xludf.DUMMYFUNCTION("IMPORTXML(C147, $J$1)"),"Emily P wrote a review Nov 2018Wellington, New Zealand12 contributions2 
helpful votes")</f>
        <v>Emily P wrote a review Nov 2018Wellington, New Zealand12 contributions2 
helpful votes</v>
      </c>
      <c r="K147" s="4" t="str">
        <f ca="1">IFERROR(__xludf.DUMMYFUNCTION("""COMPUTED_VALUE"""),"Great hotel, good price (for london)Very clean hotel near Waterloo station. Room was comfortable and even had a 
view. Liked the addition of usb charging ports in the room which were 
extremely useful. Good price compared to other hotels in London.Read 
m"&amp;"oreDate of stay: October 2018HelpfulShare")</f>
        <v>Great hotel, good price (for london)Very clean hotel near Waterloo station. Room was comfortable and even had a 
view. Liked the addition of usb charging ports in the room which were 
extremely useful. Good price compared to other hotels in London.Read 
moreDate of stay: October 2018HelpfulShare</v>
      </c>
      <c r="L147" s="21"/>
      <c r="M147" s="21" t="str">
        <f ca="1">IFERROR(__xludf.DUMMYFUNCTION("IMPORTXML(C147, $M$1)"),"Geoff F wrote a review Nov 2018Cardiff, United Kingdom12 contributions6 
helpful votes")</f>
        <v>Geoff F wrote a review Nov 2018Cardiff, United Kingdom12 contributions6 
helpful votes</v>
      </c>
      <c r="N147" s="4" t="str">
        <f ca="1">IFERROR(__xludf.DUMMYFUNCTION("""COMPUTED_VALUE"""),"London WaterlooLondon Waterloo Station / Old Vic theatre 5min walk, Southbank Centre 10-15 
min walk. hotel rooms are comfortable, Hotel lifts can be quite busy at 
times (Breakfast and checkout times) Staff are friendly and helpful and the 
breakfast buf"&amp;"fet is reasonableRead moreReview collected in partnership with 
TravelodgeDate of stay: November 2018HelpfulShare")</f>
        <v>London WaterlooLondon Waterloo Station / Old Vic theatre 5min walk, Southbank Centre 10-15 
min walk. hotel rooms are comfortable, Hotel lifts can be quite busy at 
times (Breakfast and checkout times) Staff are friendly and helpful and the 
breakfast buffet is reasonableRead moreReview collected in partnership with 
TravelodgeDate of stay: November 2018HelpfulShare</v>
      </c>
      <c r="O147" s="21"/>
      <c r="P147" s="21" t="str">
        <f ca="1">IFERROR(__xludf.DUMMYFUNCTION("IMPORTXML(C147, $P$1)"),"Mahnoor wrote a review Nov 2018Bradford, United Kingdom84 contributions8 
helpful votes")</f>
        <v>Mahnoor wrote a review Nov 2018Bradford, United Kingdom84 contributions8 
helpful votes</v>
      </c>
      <c r="Q147" s="4" t="str">
        <f ca="1">IFERROR(__xludf.DUMMYFUNCTION("""COMPUTED_VALUE"""),"Clean, comfortable and great locationRoom was clean, bed was comfortable and staff were helpful and friendly. 
It’s also in a great location, close to city centre and a few different 
tube stations. There’s also some takeaways, a Tesco express etc. on the"&amp;" 
same road.Read moreDate of stay: November 2018HelpfulShare")</f>
        <v>Clean, comfortable and great locationRoom was clean, bed was comfortable and staff were helpful and friendly. 
It’s also in a great location, close to city centre and a few different 
tube stations. There’s also some takeaways, a Tesco express etc. on the 
same road.Read moreDate of stay: November 2018HelpfulShare</v>
      </c>
      <c r="U147" s="4" t="str">
        <f ca="1">IFERROR(__xludf.DUMMYFUNCTION("IMPORTXML(C148,$U$1)"),"Loading...")</f>
        <v>Loading...</v>
      </c>
    </row>
    <row r="148" spans="1:21" ht="15">
      <c r="A148" s="25" t="s">
        <v>11933</v>
      </c>
      <c r="B148" s="17" t="s">
        <v>126</v>
      </c>
      <c r="C148" s="23" t="str">
        <f t="shared" si="0"/>
        <v>https://www.tripadvisor.co.uk/Hotel_Review-g186338-d1812157-Reviews-or730-Travelodge_London_Waterloo_Hotel-London_England.html#REVIEWS</v>
      </c>
      <c r="D148" s="4" t="str">
        <f ca="1">IFERROR(__xludf.DUMMYFUNCTION("IMPORTXML(C148,$D$1)"),"Explore08283874492 wrote a review Nov 2018Kingston upon Thames, United 
Kingdom1 contribution")</f>
        <v>Explore08283874492 wrote a review Nov 2018Kingston upon Thames, United 
Kingdom1 contribution</v>
      </c>
      <c r="E148" s="4" t="str">
        <f ca="1">IFERROR(__xludf.DUMMYFUNCTION("""COMPUTED_VALUE"""),"One night in WaterlooValue for money hotel, only a few minutes walk from Waterloo Station and 
Underground so easy to get to my evening event in Piccadilly. Had the 
Superior Room which was clean and comfortable and didn't have time to try 
the WI-FI or b"&amp;"reakfastRead moreReview collected in partnership with 
TravelodgeDate of stay: November 2018HelpfulShare")</f>
        <v>One night in WaterlooValue for money hotel, only a few minutes walk from Waterloo Station and 
Underground so easy to get to my evening event in Piccadilly. Had the 
Superior Room which was clean and comfortable and didn't have time to try 
the WI-FI or breakfastRead moreReview collected in partnership with 
TravelodgeDate of stay: November 2018HelpfulShare</v>
      </c>
      <c r="G148" s="24" t="str">
        <f ca="1">IFERROR(__xludf.DUMMYFUNCTION("IMPORTXML(C148, $G$1)"),"#N/A")</f>
        <v>#N/A</v>
      </c>
      <c r="I148" s="21"/>
      <c r="J148" s="21" t="str">
        <f ca="1">IFERROR(__xludf.DUMMYFUNCTION("IMPORTXML(C148, $J$1)"),"Jeannie7298 wrote a review Nov 2018Chester, United Kingdom8 contributions2 
helpful votes")</f>
        <v>Jeannie7298 wrote a review Nov 2018Chester, United Kingdom8 contributions2 
helpful votes</v>
      </c>
      <c r="K148" s="4" t="str">
        <f ca="1">IFERROR(__xludf.DUMMYFUNCTION("""COMPUTED_VALUE"""),"Excellent as alwaysMy hotel of choice when I come to London as it’s handy for all the sites, 
theatres, South Bank, tube etc; staff are always helpful and friendly and 
the food is great. I would recommend a stay here for any occasion.Read 
moreReview col"&amp;"lected in partnership with this hotelDate of stay: October 
2018HelpfulShare")</f>
        <v>Excellent as alwaysMy hotel of choice when I come to London as it’s handy for all the sites, 
theatres, South Bank, tube etc; staff are always helpful and friendly and 
the food is great. I would recommend a stay here for any occasion.Read 
moreReview collected in partnership with this hotelDate of stay: October 
2018HelpfulShare</v>
      </c>
      <c r="L148" s="21"/>
      <c r="M148" s="21" t="str">
        <f ca="1">IFERROR(__xludf.DUMMYFUNCTION("IMPORTXML(C148, $M$1)"),"Peaches wrote a review Nov 2018Somerset, United Kingdom17 contributions3 
helpful votes")</f>
        <v>Peaches wrote a review Nov 2018Somerset, United Kingdom17 contributions3 
helpful votes</v>
      </c>
      <c r="N148" s="4" t="str">
        <f ca="1">IFERROR(__xludf.DUMMYFUNCTION("""COMPUTED_VALUE"""),"SuperbDuring my stay 10-12 November the stay, rooms and service were faultless. 
Thank you to all concerned who got up very early on Sunday morning to make 
/ facilitate breakfast at a much earlier time than normal allowing veterans 
to have a decent brea"&amp;"kfast prior to the Remembrance service later that 
morning, it's MUCH appreciated.Read moreReview collected in partnership 
with TravelodgeDate of stay: November 2018HelpfulShare")</f>
        <v>SuperbDuring my stay 10-12 November the stay, rooms and service were faultless. 
Thank you to all concerned who got up very early on Sunday morning to make 
/ facilitate breakfast at a much earlier time than normal allowing veterans 
to have a decent breakfast prior to the Remembrance service later that 
morning, it's MUCH appreciated.Read moreReview collected in partnership 
with TravelodgeDate of stay: November 2018HelpfulShare</v>
      </c>
      <c r="O148" s="21"/>
      <c r="P148" s="21" t="str">
        <f ca="1">IFERROR(__xludf.DUMMYFUNCTION("IMPORTXML(C148, $P$1)"),"#N/A")</f>
        <v>#N/A</v>
      </c>
      <c r="U148" s="4" t="str">
        <f ca="1">IFERROR(__xludf.DUMMYFUNCTION("IMPORTXML(C149,$U$1)"),"Loading...")</f>
        <v>Loading...</v>
      </c>
    </row>
    <row r="149" spans="1:21" ht="15">
      <c r="A149" s="25" t="s">
        <v>11979</v>
      </c>
      <c r="B149" s="17" t="s">
        <v>126</v>
      </c>
      <c r="C149" s="23" t="str">
        <f t="shared" si="0"/>
        <v>https://www.tripadvisor.co.uk/Hotel_Review-g186338-d1812157-Reviews-or735-Travelodge_London_Waterloo_Hotel-London_England.html#REVIEWS</v>
      </c>
      <c r="D149" s="4" t="str">
        <f ca="1">IFERROR(__xludf.DUMMYFUNCTION("IMPORTXML(C149,$D$1)"),"Claire C wrote a review Nov 2018Barnsley, United Kingdom28 contributions3 
helpful votes")</f>
        <v>Claire C wrote a review Nov 2018Barnsley, United Kingdom28 contributions3 
helpful votes</v>
      </c>
      <c r="E149" s="4" t="str">
        <f ca="1">IFERROR(__xludf.DUMMYFUNCTION("""COMPUTED_VALUE"""),"Fab locationWe stayed for 2 nights in October. The staff were very helpful, the room 
modern, clean and spacious. We could see London Eye out of the window so 
close to the attractions and obviously Waterloo itself. Breakfast was good 
and kids eat free t"&amp;"oo. Will be staying againRead moreReview collected in 
partnership with this hotelDate of stay: October 2018HelpfulShare")</f>
        <v>Fab locationWe stayed for 2 nights in October. The staff were very helpful, the room 
modern, clean and spacious. We could see London Eye out of the window so 
close to the attractions and obviously Waterloo itself. Breakfast was good 
and kids eat free too. Will be staying againRead moreReview collected in 
partnership with this hotelDate of stay: October 2018HelpfulShare</v>
      </c>
      <c r="G149" s="24" t="str">
        <f ca="1">IFERROR(__xludf.DUMMYFUNCTION("IMPORTXML(C149, $G$1)"),"Terry S wrote a review Nov 2018Poole2 contributions")</f>
        <v>Terry S wrote a review Nov 2018Poole2 contributions</v>
      </c>
      <c r="H149" s="4" t="str">
        <f ca="1">IFERROR(__xludf.DUMMYFUNCTION("""COMPUTED_VALUE"""),"Two-night breakFirst time at this hotel and we are very impressed. Ten minute walk from 
Waterloo, an excellent display at breakfast and courteous staff. Room very 
clean, bathroom very good, and ground floor which was a boon to weary 
legs.Read moreRevie"&amp;"w collected in partnership with this hotelDate of stay: 
October 2018HelpfulShare")</f>
        <v>Two-night breakFirst time at this hotel and we are very impressed. Ten minute walk from 
Waterloo, an excellent display at breakfast and courteous staff. Room very 
clean, bathroom very good, and ground floor which was a boon to weary 
legs.Read moreReview collected in partnership with this hotelDate of stay: 
October 2018HelpfulShare</v>
      </c>
      <c r="I149" s="21"/>
      <c r="J149" s="21" t="str">
        <f ca="1">IFERROR(__xludf.DUMMYFUNCTION("IMPORTXML(C149, $J$1)"),"#N/A")</f>
        <v>#N/A</v>
      </c>
      <c r="L149" s="21"/>
      <c r="M149" s="21" t="str">
        <f ca="1">IFERROR(__xludf.DUMMYFUNCTION("IMPORTXML(C149, $M$1)"),"Kate_Maxwell wrote a review Nov 2018Lymington100 contributions44 helpful 
votes")</f>
        <v>Kate_Maxwell wrote a review Nov 2018Lymington100 contributions44 helpful 
votes</v>
      </c>
      <c r="N149" s="4" t="str">
        <f ca="1">IFERROR(__xludf.DUMMYFUNCTION("""COMPUTED_VALUE"""),"Excellent location for main line and undergroundStaff on check in friendly and helpful. Took advantage of the early check 
in. Rooms quiet and comfortable. Didn’t use bar cafe facilities as we were 
off to a wedding but looked busy with a nice atmosphere."&amp;"Read moreReview 
collected in partnership with this hotelDate of stay: October 
2018HelpfulShare")</f>
        <v>Excellent location for main line and undergroundStaff on check in friendly and helpful. Took advantage of the early check 
in. Rooms quiet and comfortable. Didn’t use bar cafe facilities as we were 
off to a wedding but looked busy with a nice atmosphere.Read moreReview 
collected in partnership with this hotelDate of stay: October 
2018HelpfulShare</v>
      </c>
      <c r="O149" s="21"/>
      <c r="P149" s="21" t="str">
        <f ca="1">IFERROR(__xludf.DUMMYFUNCTION("IMPORTXML(C149, $P$1)"),"_sumitrad4 wrote a review Nov 2018Wolverhampton, United Kingdom3 
contributions3 helpful votes")</f>
        <v>_sumitrad4 wrote a review Nov 2018Wolverhampton, United Kingdom3 
contributions3 helpful votes</v>
      </c>
      <c r="Q149" s="4" t="str">
        <f ca="1">IFERROR(__xludf.DUMMYFUNCTION("""COMPUTED_VALUE"""),"Lovely hotel ! Great value for moneyWe stayed in the family rooms plus ! They were clean and very comfortable ! 
Would have liked the 2 rooms closer to each other, but it wasn’t possible. 
Very lovely, kind staff. All were smiley, welcoming, helpful. Brea"&amp;"kfast was 
good ! Got what you pay for not bad ! We would definitely stay there again 
!!!Read moreDate of stay: November 2018HelpfulShare")</f>
        <v>Lovely hotel ! Great value for moneyWe stayed in the family rooms plus ! They were clean and very comfortable ! 
Would have liked the 2 rooms closer to each other, but it wasn’t possible. 
Very lovely, kind staff. All were smiley, welcoming, helpful. Breakfast was 
good ! Got what you pay for not bad ! We would definitely stay there again 
!!!Read moreDate of stay: November 2018HelpfulShare</v>
      </c>
      <c r="U149" s="4" t="str">
        <f ca="1">IFERROR(__xludf.DUMMYFUNCTION("IMPORTXML(C150,$U$1)"),"Loading...")</f>
        <v>Loading...</v>
      </c>
    </row>
    <row r="150" spans="1:21" ht="15">
      <c r="A150" s="25" t="s">
        <v>12015</v>
      </c>
      <c r="B150" s="17" t="s">
        <v>126</v>
      </c>
      <c r="C150" s="23" t="str">
        <f t="shared" si="0"/>
        <v>https://www.tripadvisor.co.uk/Hotel_Review-g186338-d1812157-Reviews-or740-Travelodge_London_Waterloo_Hotel-London_England.html#REVIEWS</v>
      </c>
      <c r="D150" s="4" t="str">
        <f ca="1">IFERROR(__xludf.DUMMYFUNCTION("IMPORTXML(C150,$D$1)"),"BIELBarcelona wrote a review Nov 2018BARCELONA7 contributions1 helpful vote")</f>
        <v>BIELBarcelona wrote a review Nov 2018BARCELONA7 contributions1 helpful vote</v>
      </c>
      <c r="E150" s="4" t="str">
        <f ca="1">IFERROR(__xludf.DUMMYFUNCTION("""COMPUTED_VALUE"""),"POOR EXPERIENCENoise in the room a tone during all the night, no telephone in the room. 
Open windows when I arrive impossible to close then. Bad attitude and mood 
at the reception during the check in time. They had problems to do an 
invoice ( not enoug"&amp;"ht space, she was rude). They do not have power adaptors 
for european citizens. They forgot my dessert I have to ask, more than 30 
minutes from the first dish to the dessertRead moreReview collected in 
partnership with TravelodgeDate of stay: November "&amp;"2018HelpfulShareResponse 
from TravelodgeUK, Charley from the Social Media Team at Travelodge London 
Waterloo HotelResponded 25 Nov 2018Thank you for taking the time to review 
our London Waterloo Hotel. We would like to apologise for the issues 
encount"&amp;"ered during your stay and can assure you that these comments have 
been raised with the hotel team. We thank you again for submitting your 
review and hope to welcome you back soon to enjoy a fully comfortable 
stay.Read more")</f>
        <v>POOR EXPERIENCENoise in the room a tone during all the night, no telephone in the room. 
Open windows when I arrive impossible to close then. Bad attitude and mood 
at the reception during the check in time. They had problems to do an 
invoice ( not enought space, she was rude). They do not have power adaptors 
for european citizens. They forgot my dessert I have to ask, more than 30 
minutes from the first dish to the dessertRead moreReview collected in 
partnership with TravelodgeDate of stay: November 2018HelpfulShareResponse 
from TravelodgeUK, Charley from the Social Media Team at Travelodge London 
Waterloo HotelResponded 25 Nov 2018Thank you for taking the time to review 
our London Waterloo Hotel. We would like to apologise for the issues 
encountered during your stay and can assure you that these comments have 
been raised with the hotel team. We thank you again for submitting your 
review and hope to welcome you back soon to enjoy a fully comfortable 
stay.Read more</v>
      </c>
      <c r="G150" s="24" t="str">
        <f ca="1">IFERROR(__xludf.DUMMYFUNCTION("IMPORTXML(C150, $G$1)"),"Emma R wrote a review Nov 2018Toddington, United Kingdom479 contributions79 
helpful votes")</f>
        <v>Emma R wrote a review Nov 2018Toddington, United Kingdom479 contributions79 
helpful votes</v>
      </c>
      <c r="H150" s="4" t="str">
        <f ca="1">IFERROR(__xludf.DUMMYFUNCTION("""COMPUTED_VALUE"""),"The basics, and not much moreI'm not familiar with Travelodge rooms, but have been surprised how small 
and basic it is. Bed, desk, tv and not a great deal else. Clean room, 
however, although walked in at 4pm to a hallway full of washing and rubbish 
str"&amp;"ewn everywhere, with no-one in sight.Read moreDate of stay: November 
2018HelpfulShare")</f>
        <v>The basics, and not much moreI'm not familiar with Travelodge rooms, but have been surprised how small 
and basic it is. Bed, desk, tv and not a great deal else. Clean room, 
however, although walked in at 4pm to a hallway full of washing and rubbish 
strewn everywhere, with no-one in sight.Read moreDate of stay: November 
2018HelpfulShare</v>
      </c>
      <c r="I150" s="21"/>
      <c r="J150" s="21" t="str">
        <f ca="1">IFERROR(__xludf.DUMMYFUNCTION("IMPORTXML(C150, $J$1)"),"Janet B wrote a review Nov 2018Uphill, United Kingdom12 contributions6 
helpful votes")</f>
        <v>Janet B wrote a review Nov 2018Uphill, United Kingdom12 contributions6 
helpful votes</v>
      </c>
      <c r="K150" s="4" t="str">
        <f ca="1">IFERROR(__xludf.DUMMYFUNCTION("""COMPUTED_VALUE"""),"GoodBooked by an employer for economy, i was not expecting luxury. However I 
was pleasantly surprised. Better than previous experiences of other 
Travelodge hotels. Seemed recently refurbed. Clean and fresh. Good 
breakfast with a range of traditional an"&amp;"d continental. Would stay 
again.Read moreDate of stay: November 2018HelpfulShare")</f>
        <v>GoodBooked by an employer for economy, i was not expecting luxury. However I 
was pleasantly surprised. Better than previous experiences of other 
Travelodge hotels. Seemed recently refurbed. Clean and fresh. Good 
breakfast with a range of traditional and continental. Would stay 
again.Read moreDate of stay: November 2018HelpfulShare</v>
      </c>
      <c r="L150" s="21"/>
      <c r="M150" s="21" t="str">
        <f ca="1">IFERROR(__xludf.DUMMYFUNCTION("IMPORTXML(C150, $M$1)"),"Jamm46 wrote a review Nov 20187 contributions12 helpful votes")</f>
        <v>Jamm46 wrote a review Nov 20187 contributions12 helpful votes</v>
      </c>
      <c r="N150" s="4" t="str">
        <f ca="1">IFERROR(__xludf.DUMMYFUNCTION("""COMPUTED_VALUE"""),"Fab location and friendly staffStayed for two nights with friends. Staff very helpful and friendly, 
couldn’t do enough for you. Super location and lots to do in the area. 
Rooms just what you need when you only spending a little time there. Beds 
comfy a"&amp;"nd very clean. 24 hr bar great for a nightcap and great meeting 
place. Thanks so much great stay and will be back.Read moreDate of stay: 
October 20181 Helpful voteHelpfulShare")</f>
        <v>Fab location and friendly staffStayed for two nights with friends. Staff very helpful and friendly, 
couldn’t do enough for you. Super location and lots to do in the area. 
Rooms just what you need when you only spending a little time there. Beds 
comfy and very clean. 24 hr bar great for a nightcap and great meeting 
place. Thanks so much great stay and will be back.Read moreDate of stay: 
October 20181 Helpful voteHelpfulShare</v>
      </c>
      <c r="O150" s="21"/>
      <c r="P150" s="21" t="str">
        <f ca="1">IFERROR(__xludf.DUMMYFUNCTION("IMPORTXML(C150, $P$1)"),"#N/A")</f>
        <v>#N/A</v>
      </c>
      <c r="U150" s="4" t="str">
        <f ca="1">IFERROR(__xludf.DUMMYFUNCTION("IMPORTXML(C151,$U$1)"),"Loading...")</f>
        <v>Loading...</v>
      </c>
    </row>
    <row r="151" spans="1:21" ht="15">
      <c r="A151" s="5" t="s">
        <v>12072</v>
      </c>
      <c r="B151" s="17" t="s">
        <v>126</v>
      </c>
      <c r="C151" s="23" t="str">
        <f t="shared" si="0"/>
        <v>https://www.tripadvisor.co.uk/Hotel_Review-g186338-d1812157-Reviews-or745-Travelodge_London_Waterloo_Hotel-London_England.html#REVIEWS</v>
      </c>
      <c r="D151" s="4" t="str">
        <f ca="1">IFERROR(__xludf.DUMMYFUNCTION("IMPORTXML(C151,$D$1)"),"Loading...")</f>
        <v>Loading...</v>
      </c>
      <c r="G151" s="24" t="str">
        <f ca="1">IFERROR(__xludf.DUMMYFUNCTION("IMPORTXML(C151, $G$1)"),"Mark T wrote a review Nov 2018Val d'Isère, France28 contributions4 helpful 
votes")</f>
        <v>Mark T wrote a review Nov 2018Val d'Isère, France28 contributions4 helpful 
votes</v>
      </c>
      <c r="H151" s="4" t="str">
        <f ca="1">IFERROR(__xludf.DUMMYFUNCTION("""COMPUTED_VALUE"""),"Convenient and clean hotelneeded somewhere close to Waterloo and this was perfect. Clean, convenient 
and quiet. All the staff were very helpful and pleasant. Room was clean and 
comfortable. very little noise from outside which is rare for a London 
hote"&amp;"l.Read moreReview collected in partnership with TravelodgeDate of stay: 
October 2018HelpfulShare")</f>
        <v>Convenient and clean hotelneeded somewhere close to Waterloo and this was perfect. Clean, convenient 
and quiet. All the staff were very helpful and pleasant. Room was clean and 
comfortable. very little noise from outside which is rare for a London 
hotel.Read moreReview collected in partnership with TravelodgeDate of stay: 
October 2018HelpfulShare</v>
      </c>
      <c r="I151" s="21"/>
      <c r="J151" s="21" t="str">
        <f ca="1">IFERROR(__xludf.DUMMYFUNCTION("IMPORTXML(C151, $J$1)"),"225grahamr wrote a review Nov 2018Exeter, United Kingdom1 contribution")</f>
        <v>225grahamr wrote a review Nov 2018Exeter, United Kingdom1 contribution</v>
      </c>
      <c r="K151" s="4" t="str">
        <f ca="1">IFERROR(__xludf.DUMMYFUNCTION("""COMPUTED_VALUE"""),"Travel lodge London waterlooA very nice stay comfortable accommodation, good choice of breakfast items, 
from full cooked breakfast to cereals,croissants,fruit or toast. Small 
choice for evening meals. A bar serving hot or cold drinks.Ideally located 
fo"&amp;"r Waterloo station and the underground. Bus routes located on Waterloo 
Road very close to hotel. We have stayed here several times and found it 
good value, very helpful staff and would recommend this hotel.Read 
moreReview collected in partnership with "&amp;"this hotelDate of stay: October 
2018HelpfulShare")</f>
        <v>Travel lodge London waterlooA very nice stay comfortable accommodation, good choice of breakfast items, 
from full cooked breakfast to cereals,croissants,fruit or toast. Small 
choice for evening meals. A bar serving hot or cold drinks.Ideally located 
for Waterloo station and the underground. Bus routes located on Waterloo 
Road very close to hotel. We have stayed here several times and found it 
good value, very helpful staff and would recommend this hotel.Read 
moreReview collected in partnership with this hotelDate of stay: October 
2018HelpfulShare</v>
      </c>
      <c r="L151" s="21"/>
      <c r="M151" s="21" t="str">
        <f ca="1">IFERROR(__xludf.DUMMYFUNCTION("IMPORTXML(C151, $M$1)"),"Relax61805760144 wrote a review Nov 2018Lincolnshire, United Kingdom1 
contribution")</f>
        <v>Relax61805760144 wrote a review Nov 2018Lincolnshire, United Kingdom1 
contribution</v>
      </c>
      <c r="N151" s="4" t="str">
        <f ca="1">IFERROR(__xludf.DUMMYFUNCTION("""COMPUTED_VALUE"""),"Paul Weller ConcertExcellent location for South Bank. Rooms clean and sufficient storage for 
clothes.Warm friendly sand friendly staff. Well stocked breakfast counter 
serving a variety of hot and cold food. Really enjoyed our stay.��Read 
moreReview col"&amp;"lected in partnership with this hotelDate of stay: October 
2018HelpfulShare")</f>
        <v>Paul Weller ConcertExcellent location for South Bank. Rooms clean and sufficient storage for 
clothes.Warm friendly sand friendly staff. Well stocked breakfast counter 
serving a variety of hot and cold food. Really enjoyed our stay.��Read 
moreReview collected in partnership with this hotelDate of stay: October 
2018HelpfulShare</v>
      </c>
      <c r="O151" s="21"/>
      <c r="P151" s="21" t="str">
        <f ca="1">IFERROR(__xludf.DUMMYFUNCTION("IMPORTXML(C151, $P$1)"),"Stay18377150985 wrote a review Nov 20181 contribution2 helpful votes")</f>
        <v>Stay18377150985 wrote a review Nov 20181 contribution2 helpful votes</v>
      </c>
      <c r="Q151" s="4" t="str">
        <f ca="1">IFERROR(__xludf.DUMMYFUNCTION("""COMPUTED_VALUE"""),"Discusted, disapointed. AvoidAbsolutely discusted how the staff dealt with a situation whilst staying 
here. On arrival everything was fine, welcomed by two lovely ladies (only 
members of staff that were polite with good customer service skills). On 
the"&amp;" walk to our room there was an extremely strong smell of cannabis in the 
hallway where our room was, (yes I could have complained about it, but 
thats not my job and was not in my interest to do so). I'm guessing because 
we checked in so late (we were p"&amp;"rime suspects for the smell of cannabis). 
We had a knock on the door and we answered the door straight away. 2 men 
came inside the room (I'm guessing they were security for the hotel). 
Followed by the two women from reception. Now may I add, although m"&amp;"y friend 
allowed them to come in, this was because she…Read moreDate of stay: 
November 20181 Helpful voteHelpfulShareResponse from TravelodgeUK, Tilly 
from the Social Media Team at Travelodge London Waterloo HotelResponded 25 
Nov 2018Many thanks for r"&amp;"eviewing our London Waterloo Hotel. We're sorry to 
learn of your recent experience and would like to hear more about your 
stay. Please could we ask that you contact us with your review via our 
website so our customer service team can investigate your v"&amp;"isit with the 
hotel. Thank you again for posting your comments and we hope to hear from 
you soon.Read more")</f>
        <v>Discusted, disapointed. AvoidAbsolutely discusted how the staff dealt with a situation whilst staying 
here. On arrival everything was fine, welcomed by two lovely ladies (only 
members of staff that were polite with good customer service skills). On 
the walk to our room there was an extremely strong smell of cannabis in the 
hallway where our room was, (yes I could have complained about it, but 
thats not my job and was not in my interest to do so). I'm guessing because 
we checked in so late (we were prime suspects for the smell of cannabis). 
We had a knock on the door and we answered the door straight away. 2 men 
came inside the room (I'm guessing they were security for the hotel). 
Followed by the two women from reception. Now may I add, although my friend 
allowed them to come in, this was because she…Read moreDate of stay: 
November 20181 Helpful voteHelpfulShareResponse from TravelodgeUK, Tilly 
from the Social Media Team at Travelodge London Waterloo HotelResponded 25 
Nov 2018Many thanks for reviewing our London Waterloo Hotel. We're sorry to 
learn of your recent experience and would like to hear more about your 
stay. Please could we ask that you contact us with your review via our 
website so our customer service team can investigate your visit with the 
hotel. Thank you again for posting your comments and we hope to hear from 
you soon.Read more</v>
      </c>
      <c r="U151" s="4" t="str">
        <f ca="1">IFERROR(__xludf.DUMMYFUNCTION("IMPORTXML(C152,$U$1)"),"Loading...")</f>
        <v>Loading...</v>
      </c>
    </row>
    <row r="152" spans="1:21" ht="15">
      <c r="A152" s="25" t="s">
        <v>12117</v>
      </c>
      <c r="B152" s="17" t="s">
        <v>126</v>
      </c>
      <c r="C152" s="23" t="str">
        <f t="shared" si="0"/>
        <v>https://www.tripadvisor.co.uk/Hotel_Review-g186338-d1812157-Reviews-or750-Travelodge_London_Waterloo_Hotel-London_England.html#REVIEWS</v>
      </c>
      <c r="D152" s="4" t="str">
        <f ca="1">IFERROR(__xludf.DUMMYFUNCTION("IMPORTXML(C152,$D$1)"),"#N/A")</f>
        <v>#N/A</v>
      </c>
      <c r="G152" s="24" t="str">
        <f ca="1">IFERROR(__xludf.DUMMYFUNCTION("IMPORTXML(C152, $G$1)"),"702juneb wrote a review Nov 20188 contributions2 helpful votes")</f>
        <v>702juneb wrote a review Nov 20188 contributions2 helpful votes</v>
      </c>
      <c r="H152" s="4" t="str">
        <f ca="1">IFERROR(__xludf.DUMMYFUNCTION("""COMPUTED_VALUE"""),"Good location!Recently refurbished so the hotel was nice and modern. One issue was a 
smell of drains in the area but this was a local problem and nothing to do 
with the hotel. WiFi was variable but the restaurant was good and the staff 
friendly. I got "&amp;"a very good deal for its location.Read moreReview collected 
in partnership with TravelodgeDate of stay: October 2018HelpfulShare")</f>
        <v>Good location!Recently refurbished so the hotel was nice and modern. One issue was a 
smell of drains in the area but this was a local problem and nothing to do 
with the hotel. WiFi was variable but the restaurant was good and the staff 
friendly. I got a very good deal for its location.Read moreReview collected 
in partnership with TravelodgeDate of stay: October 2018HelpfulShare</v>
      </c>
      <c r="I152" s="21"/>
      <c r="J152" s="21" t="str">
        <f ca="1">IFERROR(__xludf.DUMMYFUNCTION("IMPORTXML(C152, $J$1)"),"Safari16568910718 wrote a review Oct 20181 contribution")</f>
        <v>Safari16568910718 wrote a review Oct 20181 contribution</v>
      </c>
      <c r="K152" s="4" t="str">
        <f ca="1">IFERROR(__xludf.DUMMYFUNCTION("""COMPUTED_VALUE"""),"BrilliantBrilliant location. Brilliant hotel just your basic travelodge but 
refurbed! Only a 15 minute walk to most sights. Happy hour in hotel between 
4-6 where any two drinks are £8. Breakfast looked brilliant although we 
didn’t have it! Highly recom"&amp;"mend for short break away!Read moreReview 
collected in partnership with TravelodgeDate of stay: October 
2018HelpfulShare")</f>
        <v>BrilliantBrilliant location. Brilliant hotel just your basic travelodge but 
refurbed! Only a 15 minute walk to most sights. Happy hour in hotel between 
4-6 where any two drinks are £8. Breakfast looked brilliant although we 
didn’t have it! Highly recommend for short break away!Read moreReview 
collected in partnership with TravelodgeDate of stay: October 
2018HelpfulShare</v>
      </c>
      <c r="L152" s="21"/>
      <c r="M152" s="21" t="str">
        <f ca="1">IFERROR(__xludf.DUMMYFUNCTION("IMPORTXML(C152, $M$1)"),"To the UK &amp; Back wrote a review Oct 2018Rexburg, Idaho7 contributions3 
helpful votes")</f>
        <v>To the UK &amp; Back wrote a review Oct 2018Rexburg, Idaho7 contributions3 
helpful votes</v>
      </c>
      <c r="N152" s="4" t="str">
        <f ca="1">IFERROR(__xludf.DUMMYFUNCTION("""COMPUTED_VALUE"""),"Highly Recommended Location!We stayed at the Travelodge on City Road in London a week before we stayed 
at Waterloo, and we enjoyed this hotel and location much better. Only a 
10-15 minute walk away from Big Ben and the London Eye. We found a lot of 
res"&amp;"taurant options to choose from, and a 10 minute walk from the train and 
underground stations to easily explore the rest of London. Room was clean, 
comfortable, and reasonably sized. Staff was extremely kind and helpful. We 
had to leave early in the mor"&amp;"ning to catch our flight. When they found out 
we were leaving too early to make breakfast, they gave us drinks, fruit, 
and croissants to-go. I would stay here again.Read moreDate of stay: 
October 20182 Helpful votesHelpfulShare")</f>
        <v>Highly Recommended Location!We stayed at the Travelodge on City Road in London a week before we stayed 
at Waterloo, and we enjoyed this hotel and location much better. Only a 
10-15 minute walk away from Big Ben and the London Eye. We found a lot of 
restaurant options to choose from, and a 10 minute walk from the train and 
underground stations to easily explore the rest of London. Room was clean, 
comfortable, and reasonably sized. Staff was extremely kind and helpful. We 
had to leave early in the morning to catch our flight. When they found out 
we were leaving too early to make breakfast, they gave us drinks, fruit, 
and croissants to-go. I would stay here again.Read moreDate of stay: 
October 20182 Helpful votesHelpfulShare</v>
      </c>
      <c r="O152" s="21"/>
      <c r="P152" s="21" t="str">
        <f ca="1">IFERROR(__xludf.DUMMYFUNCTION("IMPORTXML(C152, $P$1)"),"Lorna C wrote a review Oct 2018Panama63 contributions20 helpful votes")</f>
        <v>Lorna C wrote a review Oct 2018Panama63 contributions20 helpful votes</v>
      </c>
      <c r="Q152" s="4" t="str">
        <f ca="1">IFERROR(__xludf.DUMMYFUNCTION("""COMPUTED_VALUE"""),"Super helpful staff!The staff were incredibly helpful both before our stay, on arrival and 
during our stay.The room was clean and comfortable and suitable for our 
needs and there was a great, vibrant cafe/bar located near 
reception.Location was fab too"&amp;", close to station and walking distance to 
Southbank.Read moreReview collected in partnership with TravelodgeDate of 
stay: October 2018HelpfulShare")</f>
        <v>Super helpful staff!The staff were incredibly helpful both before our stay, on arrival and 
during our stay.The room was clean and comfortable and suitable for our 
needs and there was a great, vibrant cafe/bar located near 
reception.Location was fab too, close to station and walking distance to 
Southbank.Read moreReview collected in partnership with TravelodgeDate of 
stay: October 2018HelpfulShare</v>
      </c>
      <c r="U152" s="4" t="str">
        <f ca="1">IFERROR(__xludf.DUMMYFUNCTION("IMPORTXML(C153,$U$1)"),"Loading...")</f>
        <v>Loading...</v>
      </c>
    </row>
    <row r="153" spans="1:21" ht="15">
      <c r="A153" s="25" t="s">
        <v>12161</v>
      </c>
      <c r="B153" s="17" t="s">
        <v>126</v>
      </c>
      <c r="C153" s="23" t="str">
        <f t="shared" si="0"/>
        <v>https://www.tripadvisor.co.uk/Hotel_Review-g186338-d1812157-Reviews-or755-Travelodge_London_Waterloo_Hotel-London_England.html#REVIEWS</v>
      </c>
      <c r="D153" s="4" t="str">
        <f ca="1">IFERROR(__xludf.DUMMYFUNCTION("IMPORTXML(C153,$D$1)"),"Dean M wrote a review Oct 2018Bradford29 contributions23 helpful votes")</f>
        <v>Dean M wrote a review Oct 2018Bradford29 contributions23 helpful votes</v>
      </c>
      <c r="E153" s="4" t="str">
        <f ca="1">IFERROR(__xludf.DUMMYFUNCTION("""COMPUTED_VALUE"""),"Ticked all the right boxes. Worth the stayMy girlfriend booked this as part of my birthday weekend away. It's close 
to the centre. The bedrooms are clean and modern. The hotel staff are very 
helpful and are doing a great job. We stayed two nights. Would"&amp;" recommend 
and would stay again.Read moreDate of stay: October 2018HelpfulShare")</f>
        <v>Ticked all the right boxes. Worth the stayMy girlfriend booked this as part of my birthday weekend away. It's close 
to the centre. The bedrooms are clean and modern. The hotel staff are very 
helpful and are doing a great job. We stayed two nights. Would recommend 
and would stay again.Read moreDate of stay: October 2018HelpfulShare</v>
      </c>
      <c r="G153" s="24" t="str">
        <f ca="1">IFERROR(__xludf.DUMMYFUNCTION("IMPORTXML(C153, $G$1)"),"Jakata31 wrote a review Oct 201889 contributions17 helpful votes")</f>
        <v>Jakata31 wrote a review Oct 201889 contributions17 helpful votes</v>
      </c>
      <c r="H153" s="4" t="str">
        <f ca="1">IFERROR(__xludf.DUMMYFUNCTION("""COMPUTED_VALUE"""),"Clean comfyVery clean remodeled hotel near Waterloo. Staff was great. Bed was very 
comfortable. No phone, fridge, or microwave. Small rooms with little place 
to store clothes or luggage. Price was appropriate for area and amenities. 
Breakfast was good,"&amp;" but crowded. Mildly noisy, convenient to Waterloo. No 
problems during our stay. Would stay again if good price.Read moreReview 
collected in partnership with TravelodgeDate of stay: October 
2018HelpfulShare")</f>
        <v>Clean comfyVery clean remodeled hotel near Waterloo. Staff was great. Bed was very 
comfortable. No phone, fridge, or microwave. Small rooms with little place 
to store clothes or luggage. Price was appropriate for area and amenities. 
Breakfast was good, but crowded. Mildly noisy, convenient to Waterloo. No 
problems during our stay. Would stay again if good price.Read moreReview 
collected in partnership with TravelodgeDate of stay: October 
2018HelpfulShare</v>
      </c>
      <c r="I153" s="21"/>
      <c r="J153" s="21" t="str">
        <f ca="1">IFERROR(__xludf.DUMMYFUNCTION("IMPORTXML(C153, $J$1)"),"thomas1elaine wrote a review Oct 2018Blackpool, United Kingdom3 
contributions6 helpful votes")</f>
        <v>thomas1elaine wrote a review Oct 2018Blackpool, United Kingdom3 
contributions6 helpful votes</v>
      </c>
      <c r="K153" s="4" t="str">
        <f ca="1">IFERROR(__xludf.DUMMYFUNCTION("""COMPUTED_VALUE"""),"Perfect locationStayed here as going to a concert at the O2 and location was perfect to get 
to from Euston then to get to O2 by underground. The hotel was only 5 
minutes walk from Waterloo station. The room was clean and modern and not 
bad size by Lond"&amp;"on standards. The bed was very comfortable. Shower worked 
well and there is an air con unit in the room though not needed at this 
time of year but I'm sure would be appreciated in summer. We paid to have 
the breakfast which was very nice - good choice "&amp;"and can help yourself. 
Would stay again as is good value for money,Read moreReview collected in 
partnership with TravelodgeDate of stay: October 20181 Helpful 
voteHelpfulShare")</f>
        <v>Perfect locationStayed here as going to a concert at the O2 and location was perfect to get 
to from Euston then to get to O2 by underground. The hotel was only 5 
minutes walk from Waterloo station. The room was clean and modern and not 
bad size by London standards. The bed was very comfortable. Shower worked 
well and there is an air con unit in the room though not needed at this 
time of year but I'm sure would be appreciated in summer. We paid to have 
the breakfast which was very nice - good choice and can help yourself. 
Would stay again as is good value for money,Read moreReview collected in 
partnership with TravelodgeDate of stay: October 20181 Helpful 
voteHelpfulShare</v>
      </c>
      <c r="L153" s="21"/>
      <c r="M153" s="21" t="str">
        <f ca="1">IFERROR(__xludf.DUMMYFUNCTION("IMPORTXML(C153, $M$1)"),"loopylou106 wrote a review Oct 2018Launceston, United Kingdom4 
contributions2 helpful votes")</f>
        <v>loopylou106 wrote a review Oct 2018Launceston, United Kingdom4 
contributions2 helpful votes</v>
      </c>
      <c r="N153" s="4" t="str">
        <f ca="1">IFERROR(__xludf.DUMMYFUNCTION("""COMPUTED_VALUE"""),"Warm Welcome at Waterloo!Such a warm welcome by helpful and friendly staff which continued 
throughout our stay. Comfortable clean and perfectly adequate room. The 
whole premises were clean and tidy. Adequate tea/coffee making facilities 
(more available"&amp;" on request). Heating/air conditioning unit a little noisy 
during the night - if stayed longer would turn off as room warm enough.Read 
moreReview collected in partnership with TravelodgeDate of stay: October 
2018HelpfulShare")</f>
        <v>Warm Welcome at Waterloo!Such a warm welcome by helpful and friendly staff which continued 
throughout our stay. Comfortable clean and perfectly adequate room. The 
whole premises were clean and tidy. Adequate tea/coffee making facilities 
(more available on request). Heating/air conditioning unit a little noisy 
during the night - if stayed longer would turn off as room warm enough.Read 
moreReview collected in partnership with TravelodgeDate of stay: October 
2018HelpfulShare</v>
      </c>
      <c r="O153" s="21"/>
      <c r="P153" s="21" t="str">
        <f ca="1">IFERROR(__xludf.DUMMYFUNCTION("IMPORTXML(C153, $P$1)"),"GERAINT D wrote a review Oct 2018Bridgend, United Kingdom108 
contributions48 helpful votes")</f>
        <v>GERAINT D wrote a review Oct 2018Bridgend, United Kingdom108 
contributions48 helpful votes</v>
      </c>
      <c r="Q153" s="4" t="str">
        <f ca="1">IFERROR(__xludf.DUMMYFUNCTION("""COMPUTED_VALUE"""),"Clean and ComfortableThe staff were extremely welcoming and attentive, the rooms were well 
maintained and clean, the bar area is also a bonus. The only issue this 
hotel has is the noisy aircon and heating system which disrupts sleep, I 
would ask for a "&amp;"room at the rear of the hotel.Read moreDate of stay: 
October 2018HelpfulShare")</f>
        <v>Clean and ComfortableThe staff were extremely welcoming and attentive, the rooms were well 
maintained and clean, the bar area is also a bonus. The only issue this 
hotel has is the noisy aircon and heating system which disrupts sleep, I 
would ask for a room at the rear of the hotel.Read moreDate of stay: 
October 2018HelpfulShare</v>
      </c>
      <c r="U153" s="4" t="str">
        <f ca="1">IFERROR(__xludf.DUMMYFUNCTION("IMPORTXML(C154,$U$1)"),"Loading...")</f>
        <v>Loading...</v>
      </c>
    </row>
    <row r="154" spans="1:21" ht="15">
      <c r="A154" s="25" t="s">
        <v>12216</v>
      </c>
      <c r="B154" s="17" t="s">
        <v>126</v>
      </c>
      <c r="C154" s="23" t="str">
        <f t="shared" si="0"/>
        <v>https://www.tripadvisor.co.uk/Hotel_Review-g186338-d1812157-Reviews-or760-Travelodge_London_Waterloo_Hotel-London_England.html#REVIEWS</v>
      </c>
      <c r="D154" s="4" t="str">
        <f ca="1">IFERROR(__xludf.DUMMYFUNCTION("IMPORTXML(C154,$D$1)"),"wonkypin wrote a review Oct 2018St Helier, United Kingdom141 
contributions42 helpful votes")</f>
        <v>wonkypin wrote a review Oct 2018St Helier, United Kingdom141 
contributions42 helpful votes</v>
      </c>
      <c r="E154" s="4" t="str">
        <f ca="1">IFERROR(__xludf.DUMMYFUNCTION("""COMPUTED_VALUE"""),"A central stay at reasonable costThis is the third or fourth time I have stayed at this hotel in the last 18 
months. I now use it when in London as it is reasonably central being 
within walking distance form Waterloo Station and the river.The rooms are "&amp;"
good and the basic have all one needs for sleeping. This time I had a 
double as my wife came but it was not accessible so had a shower rather 
than a wet room which I prefer as it is easier for me however this is only 
a minor criticism.Read moreReview "&amp;"collected in partnership with 
TravelodgeDate of stay: October 2018HelpfulShare")</f>
        <v>A central stay at reasonable costThis is the third or fourth time I have stayed at this hotel in the last 18 
months. I now use it when in London as it is reasonably central being 
within walking distance form Waterloo Station and the river.The rooms are 
good and the basic have all one needs for sleeping. This time I had a 
double as my wife came but it was not accessible so had a shower rather 
than a wet room which I prefer as it is easier for me however this is only 
a minor criticism.Read moreReview collected in partnership with 
TravelodgeDate of stay: October 2018HelpfulShare</v>
      </c>
      <c r="G154" s="24" t="str">
        <f ca="1">IFERROR(__xludf.DUMMYFUNCTION("IMPORTXML(C154, $G$1)"),"David W wrote a review Oct 2018Coventry, United Kingdom73 contributions44 
helpful votes")</f>
        <v>David W wrote a review Oct 2018Coventry, United Kingdom73 contributions44 
helpful votes</v>
      </c>
      <c r="H154" s="4" t="str">
        <f ca="1">IFERROR(__xludf.DUMMYFUNCTION("""COMPUTED_VALUE"""),"Great Value ... but disappointing breakfastThe hotel is in an excellent location on a main tube line with the Waterloo 
Underground Station only about five minutes walk. I was impressed by the 
cleanliness of the reception, bar and rooms … a real credit t"&amp;"o the 
housekeeping team The bedroom was a good size and immaculate Did not try 
the bar so cannot comment but it looked comfortable with a variety of 
seating ... again very clean and looked to be well staffed as we walked 
through The bed was clean and "&amp;"very comfortable My only disappointment was 
the breakfast ...not a fan of scrambled egg and there seemed to be no 
alternative ... certainly nothing listed on the menu ... the baked beans 
were tepid and the bacon looked like it had been under heat lamps"&amp;" for days 
A poor selection of fresh fruit it seemed to be 90% apple…Read moreDate of 
stay: October 2018HelpfulShare")</f>
        <v>Great Value ... but disappointing breakfastThe hotel is in an excellent location on a main tube line with the Waterloo 
Underground Station only about five minutes walk. I was impressed by the 
cleanliness of the reception, bar and rooms … a real credit to the 
housekeeping team The bedroom was a good size and immaculate Did not try 
the bar so cannot comment but it looked comfortable with a variety of 
seating ... again very clean and looked to be well staffed as we walked 
through The bed was clean and very comfortable My only disappointment was 
the breakfast ...not a fan of scrambled egg and there seemed to be no 
alternative ... certainly nothing listed on the menu ... the baked beans 
were tepid and the bacon looked like it had been under heat lamps for days 
A poor selection of fresh fruit it seemed to be 90% apple…Read moreDate of 
stay: October 2018HelpfulShare</v>
      </c>
      <c r="I154" s="21"/>
      <c r="J154" s="21" t="str">
        <f ca="1">IFERROR(__xludf.DUMMYFUNCTION("IMPORTXML(C154, $J$1)"),"treasurebox742014 wrote a review Oct 2018Warrington, United Kingdom15 
contributions15 helpful votes")</f>
        <v>treasurebox742014 wrote a review Oct 2018Warrington, United Kingdom15 
contributions15 helpful votes</v>
      </c>
      <c r="K154" s="4" t="str">
        <f ca="1">IFERROR(__xludf.DUMMYFUNCTION("""COMPUTED_VALUE"""),"Great hotelStayed here with my 7 year old daughter it’s very close to Waterloo station 
(approx 6 mins walk) and close to south bank. check in was quick and easy, 
had to change rooms due to aggressive gent next door, this was no 
reflection on the hotel,"&amp;" they did it professionally and without any issues, 
rooms are modern as recently refurbished very clean and comfortable, bar 
area is lovely and very relaxed, bar staff very polite, breakfast was good, 
again clean comfortable area and everything was fre"&amp;"sh, the only hiccup was 
that I ordered pizza for my daughter to take up-to room as it was late when 
we arrived, had to go back to bar after 3/4 hour as still not arrived, then 
when it did it came without takeaway box as requested, had to wait a 
furthe"&amp;"r 15 mins to wait for a box, I assume this…Read moreDate of stay: 
October 2018HelpfulShare")</f>
        <v>Great hotelStayed here with my 7 year old daughter it’s very close to Waterloo station 
(approx 6 mins walk) and close to south bank. check in was quick and easy, 
had to change rooms due to aggressive gent next door, this was no 
reflection on the hotel, they did it professionally and without any issues, 
rooms are modern as recently refurbished very clean and comfortable, bar 
area is lovely and very relaxed, bar staff very polite, breakfast was good, 
again clean comfortable area and everything was fresh, the only hiccup was 
that I ordered pizza for my daughter to take up-to room as it was late when 
we arrived, had to go back to bar after 3/4 hour as still not arrived, then 
when it did it came without takeaway box as requested, had to wait a 
further 15 mins to wait for a box, I assume this…Read moreDate of stay: 
October 2018HelpfulShare</v>
      </c>
      <c r="L154" s="21"/>
      <c r="M154" s="21" t="str">
        <f ca="1">IFERROR(__xludf.DUMMYFUNCTION("IMPORTXML(C154, $M$1)"),"Mick S wrote a review Oct 2018Lytham St Anne's, United Kingdom137 
contributions52 helpful votes")</f>
        <v>Mick S wrote a review Oct 2018Lytham St Anne's, United Kingdom137 
contributions52 helpful votes</v>
      </c>
      <c r="N154" s="4" t="str">
        <f ca="1">IFERROR(__xludf.DUMMYFUNCTION("""COMPUTED_VALUE"""),"Birthday weekend awayWe stayed for long weekend stay to celebrate a friends 50th. A handy 
location for both train and tube, but also a nice walk to London sights if 
the weather is half decent. The rooms were clean and comfortable &amp; the 
staff were polit"&amp;"e. Really impressed with the breakfast, so it's worth 
paying in advance to get the best value for money.Read moreDate of stay: 
December 2017HelpfulShare")</f>
        <v>Birthday weekend awayWe stayed for long weekend stay to celebrate a friends 50th. A handy 
location for both train and tube, but also a nice walk to London sights if 
the weather is half decent. The rooms were clean and comfortable &amp; the 
staff were polite. Really impressed with the breakfast, so it's worth 
paying in advance to get the best value for money.Read moreDate of stay: 
December 2017HelpfulShare</v>
      </c>
      <c r="O154" s="21"/>
      <c r="P154" s="21" t="str">
        <f ca="1">IFERROR(__xludf.DUMMYFUNCTION("IMPORTXML(C154, $P$1)"),"Q2652NHrachelt wrote a review Oct 2018Liverpool, United Kingdom2 
contributions")</f>
        <v>Q2652NHrachelt wrote a review Oct 2018Liverpool, United Kingdom2 
contributions</v>
      </c>
      <c r="Q154" s="4" t="str">
        <f ca="1">IFERROR(__xludf.DUMMYFUNCTION("""COMPUTED_VALUE"""),"Great location1 adult and 2 children stayed overnight for a sightseeing trip. It was a 
brilliant location, close to tube stations and the London eye was about 
10minutes walk. The room was clean and tidy. The breakfast was delicious 
and lots of choice t"&amp;"o cater for different tastes.Read moreReview collected 
in partnership with TravelodgeDate of stay: October 2018HelpfulShare")</f>
        <v>Great location1 adult and 2 children stayed overnight for a sightseeing trip. It was a 
brilliant location, close to tube stations and the London eye was about 
10minutes walk. The room was clean and tidy. The breakfast was delicious 
and lots of choice to cater for different tastes.Read moreReview collected 
in partnership with TravelodgeDate of stay: October 2018HelpfulShare</v>
      </c>
      <c r="U154" s="4" t="str">
        <f ca="1">IFERROR(__xludf.DUMMYFUNCTION("IMPORTXML(C155,$U$1)"),"Loading...")</f>
        <v>Loading...</v>
      </c>
    </row>
    <row r="155" spans="1:21" ht="15">
      <c r="A155" s="5" t="s">
        <v>12274</v>
      </c>
      <c r="B155" s="17" t="s">
        <v>126</v>
      </c>
      <c r="C155" s="23" t="str">
        <f t="shared" si="0"/>
        <v>https://www.tripadvisor.co.uk/Hotel_Review-g186338-d1812157-Reviews-or765-Travelodge_London_Waterloo_Hotel-London_England.html#REVIEWS</v>
      </c>
      <c r="D155" s="4" t="str">
        <f ca="1">IFERROR(__xludf.DUMMYFUNCTION("IMPORTXML(C155,$D$1)"),"TheDaiLlew wrote a review Oct 2018Cardiff, United Kingdom16 contributions9 
helpful votes")</f>
        <v>TheDaiLlew wrote a review Oct 2018Cardiff, United Kingdom16 contributions9 
helpful votes</v>
      </c>
      <c r="E155" s="4" t="str">
        <f ca="1">IFERROR(__xludf.DUMMYFUNCTION("""COMPUTED_VALUE"""),"Clean, comfortable and in a perfect locationHotel prices seem to have escalated considerably in London in the last 10 
years, and even a stalwart chain like Travelodge isn't immune to it. I've 
stayed at this hotel before, and - like this occasion - on a "&amp;"weekend, and 
it was about half the price I paid for it this time. Saying that, they've 
done a lot of work in refurbishing the hotel. The rooms feel much less 
spartan, without being OTT. It's no frills accommodation, but without 
feeling austere. The be"&amp;"d and bedding were excellent and very comfortable, 
and the aircon worked a dream over an uncharacteristically warm October 
weekend. I'd definitely stay there again.Read moreReview collected in 
partnership with TravelodgeDate of stay: October 2018Helpfu"&amp;"lShare")</f>
        <v>Clean, comfortable and in a perfect locationHotel prices seem to have escalated considerably in London in the last 10 
years, and even a stalwart chain like Travelodge isn't immune to it. I've 
stayed at this hotel before, and - like this occasion - on a weekend, and 
it was about half the price I paid for it this time. Saying that, they've 
done a lot of work in refurbishing the hotel. The rooms feel much less 
spartan, without being OTT. It's no frills accommodation, but without 
feeling austere. The bed and bedding were excellent and very comfortable, 
and the aircon worked a dream over an uncharacteristically warm October 
weekend. I'd definitely stay there again.Read moreReview collected in 
partnership with TravelodgeDate of stay: October 2018HelpfulShare</v>
      </c>
      <c r="G155" s="24" t="str">
        <f ca="1">IFERROR(__xludf.DUMMYFUNCTION("IMPORTXML(C155, $G$1)"),"saskiakuiling wrote a review Oct 20181 contribution")</f>
        <v>saskiakuiling wrote a review Oct 20181 contribution</v>
      </c>
      <c r="H155" s="4" t="str">
        <f ca="1">IFERROR(__xludf.DUMMYFUNCTION("""COMPUTED_VALUE"""),"Good place to stay!We stayed her for two nights and it was a neat and clean and also quiet 
place to stay. The workers are nice and helpfull. Because we had no acces 
to wifi we had a lot of questions about opening hours and adresses in the 
city and they"&amp;" answered them all.The room was quiet an nice.Read moreReview 
collected in partnership with TravelodgeDate of stay: October 
2018HelpfulShare")</f>
        <v>Good place to stay!We stayed her for two nights and it was a neat and clean and also quiet 
place to stay. The workers are nice and helpfull. Because we had no acces 
to wifi we had a lot of questions about opening hours and adresses in the 
city and they answered them all.The room was quiet an nice.Read moreReview 
collected in partnership with TravelodgeDate of stay: October 
2018HelpfulShare</v>
      </c>
      <c r="I155" s="21"/>
      <c r="J155" s="21" t="str">
        <f ca="1">IFERROR(__xludf.DUMMYFUNCTION("IMPORTXML(C155, $J$1)"),"HollynTed wrote a review Oct 2018Kent34 contributions12 helpful votes")</f>
        <v>HollynTed wrote a review Oct 2018Kent34 contributions12 helpful votes</v>
      </c>
      <c r="K155" s="4" t="str">
        <f ca="1">IFERROR(__xludf.DUMMYFUNCTION("""COMPUTED_VALUE"""),"Convenient and well priced accommodationThe accommodation is very convenient as it is so close to Waterloo station. 
There are many nearby bars and restaurants and the hotel also has a useful 
restaurant and bar. The room was clean and tidy. (There was a "&amp;"very strong 
smell of cleaning products when we entered which was a bit 
offputting.)Breakfast was nice and we felt it was a better quality (or 
better cooked?) than at many other Travelodges). At £8.95 it is very 
reasonably priced.Read moreReview collec"&amp;"ted in partnership with 
TravelodgeDate of stay: October 2018HelpfulShare")</f>
        <v>Convenient and well priced accommodationThe accommodation is very convenient as it is so close to Waterloo station. 
There are many nearby bars and restaurants and the hotel also has a useful 
restaurant and bar. The room was clean and tidy. (There was a very strong 
smell of cleaning products when we entered which was a bit 
offputting.)Breakfast was nice and we felt it was a better quality (or 
better cooked?) than at many other Travelodges). At £8.95 it is very 
reasonably priced.Read moreReview collected in partnership with 
TravelodgeDate of stay: October 2018HelpfulShare</v>
      </c>
      <c r="L155" s="21"/>
      <c r="M155" s="21" t="str">
        <f ca="1">IFERROR(__xludf.DUMMYFUNCTION("IMPORTXML(C155, $M$1)"),"cjean11 wrote a review Oct 2018newcastle3 contributions1 helpful vote")</f>
        <v>cjean11 wrote a review Oct 2018newcastle3 contributions1 helpful vote</v>
      </c>
      <c r="N155" s="4" t="str">
        <f ca="1">IFERROR(__xludf.DUMMYFUNCTION("""COMPUTED_VALUE"""),"good locationA nice clean hotel under 10 minute walk from Waterloo station. I stayed on 
a Sunday night so low rate made it excellent value for money. Breakfast 
slightly overcooked and croissants too soft but there was plenty of choice 
so overall satisf"&amp;"actoryRead moreReview collected in partnership with 
TravelodgeDate of stay: October 2018HelpfulShare")</f>
        <v>good locationA nice clean hotel under 10 minute walk from Waterloo station. I stayed on 
a Sunday night so low rate made it excellent value for money. Breakfast 
slightly overcooked and croissants too soft but there was plenty of choice 
so overall satisfactoryRead moreReview collected in partnership with 
TravelodgeDate of stay: October 2018HelpfulShare</v>
      </c>
      <c r="O155" s="21"/>
      <c r="P155" s="21" t="str">
        <f ca="1">IFERROR(__xludf.DUMMYFUNCTION("IMPORTXML(C155, $P$1)"),"Lemsley wrote a review Oct 2018Bradford, United Kingdom109 contributions35 
helpful votes")</f>
        <v>Lemsley wrote a review Oct 2018Bradford, United Kingdom109 contributions35 
helpful votes</v>
      </c>
      <c r="Q155" s="4" t="str">
        <f ca="1">IFERROR(__xludf.DUMMYFUNCTION("""COMPUTED_VALUE"""),"GreatJust checking out from here on a one night work trip. Friendly helpful 
staff, immaculately clean rooms, great breakfast. I would recommend. Only a 
few minutes from Lambeth or Waterloo tube. I had a great night's sleep here 
in the comfy bed.Read mo"&amp;"reDate of stay: October 20181 Helpful 
voteHelpfulShare")</f>
        <v>GreatJust checking out from here on a one night work trip. Friendly helpful 
staff, immaculately clean rooms, great breakfast. I would recommend. Only a 
few minutes from Lambeth or Waterloo tube. I had a great night's sleep here 
in the comfy bed.Read moreDate of stay: October 20181 Helpful 
voteHelpfulShare</v>
      </c>
      <c r="U155" s="4" t="str">
        <f ca="1">IFERROR(__xludf.DUMMYFUNCTION("IMPORTXML(C156,$U$1)"),"Loading...")</f>
        <v>Loading...</v>
      </c>
    </row>
    <row r="156" spans="1:21" ht="15">
      <c r="A156" s="25" t="s">
        <v>12285</v>
      </c>
      <c r="B156" s="17" t="s">
        <v>126</v>
      </c>
      <c r="C156" s="23" t="str">
        <f t="shared" si="0"/>
        <v>https://www.tripadvisor.co.uk/Hotel_Review-g186338-d1812157-Reviews-or770-Travelodge_London_Waterloo_Hotel-London_England.html#REVIEWS</v>
      </c>
      <c r="D156" s="4" t="str">
        <f ca="1">IFERROR(__xludf.DUMMYFUNCTION("IMPORTXML(C156,$D$1)"),"Steve K wrote a review Oct 2018London11 contributions4 helpful votes")</f>
        <v>Steve K wrote a review Oct 2018London11 contributions4 helpful votes</v>
      </c>
      <c r="E156" s="4" t="str">
        <f ca="1">IFERROR(__xludf.DUMMYFUNCTION("""COMPUTED_VALUE"""),"Travelodge - Beware!If you book with Travelodge, you take a risk because their company policy 
is to over book rooms and even if you have prepaid, offer them to first 
come - first served basis. Their T&amp;Cs are such that they will endeavour to 
place you a"&amp;"t another Travelodge hotel but if it is busy and everywhere else 
is booked, you are are on your own. Your compensation will be one free 
complementary breakfast (dry cereal, pasteurised orange juice) for your 
next visit (or let down) at Travelodge.Read "&amp;"moreDate of stay: October 20182 
Helpful votesHelpfulShareResponse from TravelodgeUK, Charley from the 
Social Media Team at Travelodge London Waterloo HotelResponded 28 Oct 
2018Thank you for submitting your review of our London Waterloo Travelodge. 
We'"&amp;"re sorry to hear about your recent experience and would like to hear 
more about your stay. May we kindly request you contact us with the link or 
a copy of your TripAdvisor review, via our website so our customer service 
team can investigate your visit "&amp;"with the hotel. Thank you again for posting 
your comments and we hope to hear from you soon.Read more")</f>
        <v>Travelodge - Beware!If you book with Travelodge, you take a risk because their company policy 
is to over book rooms and even if you have prepaid, offer them to first 
come - first served basis. Their T&amp;Cs are such that they will endeavour to 
place you at another Travelodge hotel but if it is busy and everywhere else 
is booked, you are are on your own. Your compensation will be one free 
complementary breakfast (dry cereal, pasteurised orange juice) for your 
next visit (or let down) at Travelodge.Read moreDate of stay: October 20182 
Helpful votesHelpfulShareResponse from TravelodgeUK, Charley from the 
Social Media Team at Travelodge London Waterloo HotelResponded 28 Oct 
2018Thank you for submitting your review of our London Waterloo Travelodge. 
We're sorry to hear about your recent experience and would like to hear 
more about your stay. May we kindly request you contact us with the link or 
a copy of your TripAdvisor review, via our website so our customer service 
team can investigate your visit with the hotel. Thank you again for posting 
your comments and we hope to hear from you soon.Read more</v>
      </c>
      <c r="G156" s="24" t="str">
        <f ca="1">IFERROR(__xludf.DUMMYFUNCTION("IMPORTXML(C156, $G$1)"),"#N/A")</f>
        <v>#N/A</v>
      </c>
      <c r="I156" s="21"/>
      <c r="J156" s="21" t="str">
        <f ca="1">IFERROR(__xludf.DUMMYFUNCTION("IMPORTXML(C156, $J$1)"),"#N/A")</f>
        <v>#N/A</v>
      </c>
      <c r="L156" s="21"/>
      <c r="M156" s="21" t="str">
        <f ca="1">IFERROR(__xludf.DUMMYFUNCTION("IMPORTXML(C156, $M$1)"),"aannika2018 wrote a review Oct 2018Helsinki, Finland1 contribution")</f>
        <v>aannika2018 wrote a review Oct 2018Helsinki, Finland1 contribution</v>
      </c>
      <c r="N156" s="4" t="str">
        <f ca="1">IFERROR(__xludf.DUMMYFUNCTION("""COMPUTED_VALUE"""),"Good value for your moneyRooms were clean and nice, staff friendly. Continental breakfast was good 
and very affordable. Didn't try english breakfast. Staff offered rooms 
either from up or lower floors. On eight floor there were beatiful sight to 
London"&amp;" from the window.Read moreReview collected in partnership with 
TravelodgeDate of stay: October 2018HelpfulShare")</f>
        <v>Good value for your moneyRooms were clean and nice, staff friendly. Continental breakfast was good 
and very affordable. Didn't try english breakfast. Staff offered rooms 
either from up or lower floors. On eight floor there were beatiful sight to 
London from the window.Read moreReview collected in partnership with 
TravelodgeDate of stay: October 2018HelpfulShare</v>
      </c>
      <c r="O156" s="21"/>
      <c r="P156" s="21" t="str">
        <f ca="1">IFERROR(__xludf.DUMMYFUNCTION("IMPORTXML(C156, $P$1)"),"Jean C wrote a review Oct 2018Cheltenham, United Kingdom1 contribution")</f>
        <v>Jean C wrote a review Oct 2018Cheltenham, United Kingdom1 contribution</v>
      </c>
      <c r="Q156" s="4" t="str">
        <f ca="1">IFERROR(__xludf.DUMMYFUNCTION("""COMPUTED_VALUE"""),"Excellent stayExcellent stopover. Very clean, friendly staff and good service, location 
okay just over the river. Buses serviced everywhere north of the river 
easily and frequently. Definitely choose this one again.Read moreReview 
collected in partners"&amp;"hip with TravelodgeDate of stay: October 
2018HelpfulShare")</f>
        <v>Excellent stayExcellent stopover. Very clean, friendly staff and good service, location 
okay just over the river. Buses serviced everywhere north of the river 
easily and frequently. Definitely choose this one again.Read moreReview 
collected in partnership with TravelodgeDate of stay: October 
2018HelpfulShare</v>
      </c>
      <c r="U156" s="4" t="str">
        <f ca="1">IFERROR(__xludf.DUMMYFUNCTION("IMPORTXML(C157,$U$1)"),"Loading...")</f>
        <v>Loading...</v>
      </c>
    </row>
    <row r="157" spans="1:21" ht="15">
      <c r="A157" s="25" t="s">
        <v>12340</v>
      </c>
      <c r="B157" s="17" t="s">
        <v>126</v>
      </c>
      <c r="C157" s="23" t="str">
        <f t="shared" si="0"/>
        <v>https://www.tripadvisor.co.uk/Hotel_Review-g186338-d1812157-Reviews-or775-Travelodge_London_Waterloo_Hotel-London_England.html#REVIEWS</v>
      </c>
      <c r="D157" s="4" t="str">
        <f ca="1">IFERROR(__xludf.DUMMYFUNCTION("IMPORTXML(C157,$D$1)"),"scoobyhb53 wrote a review Oct 2018Shrewsbury, United Kingdom3 
contributions2 helpful votes")</f>
        <v>scoobyhb53 wrote a review Oct 2018Shrewsbury, United Kingdom3 
contributions2 helpful votes</v>
      </c>
      <c r="E157" s="4" t="str">
        <f ca="1">IFERROR(__xludf.DUMMYFUNCTION("""COMPUTED_VALUE"""),"Waterloo travel lodgeReally good hotel, good price staff friendly and helpful, reasonable 
breakfast lots choice, good location walking distance from mainline station 
and underground, had a room at the back and it was very quiet.Read 
moreReview collecte"&amp;"d in partnership with TravelodgeDate of stay: October 
20181 Helpful voteHelpfulShare")</f>
        <v>Waterloo travel lodgeReally good hotel, good price staff friendly and helpful, reasonable 
breakfast lots choice, good location walking distance from mainline station 
and underground, had a room at the back and it was very quiet.Read 
moreReview collected in partnership with TravelodgeDate of stay: October 
20181 Helpful voteHelpfulShare</v>
      </c>
      <c r="G157" s="24" t="str">
        <f ca="1">IFERROR(__xludf.DUMMYFUNCTION("IMPORTXML(C157, $G$1)"),"PetraPL wrote a review Oct 2018Gothenburg, Sweden89 contributions8 helpful 
votes")</f>
        <v>PetraPL wrote a review Oct 2018Gothenburg, Sweden89 contributions8 helpful 
votes</v>
      </c>
      <c r="H157" s="4" t="str">
        <f ca="1">IFERROR(__xludf.DUMMYFUNCTION("""COMPUTED_VALUE"""),"Nice clean hotelVisited this hotel in October 2018 and then it looked quiet new and had a 
modern spartan interior look with bright colors. Stayed in a Superroom and 
it was fresh but not very big. Cleaned every day. Breakfast was so and so. 
I would sugg"&amp;"est to book without breakfast and have breakfast elsewhere. 
Nice staff. Had a 24 hrs bar. 5-10 min walk to the closest subway 
station.Read moreDate of stay: October 2018HelpfulShare")</f>
        <v>Nice clean hotelVisited this hotel in October 2018 and then it looked quiet new and had a 
modern spartan interior look with bright colors. Stayed in a Superroom and 
it was fresh but not very big. Cleaned every day. Breakfast was so and so. 
I would suggest to book without breakfast and have breakfast elsewhere. 
Nice staff. Had a 24 hrs bar. 5-10 min walk to the closest subway 
station.Read moreDate of stay: October 2018HelpfulShare</v>
      </c>
      <c r="I157" s="21"/>
      <c r="J157" s="21" t="str">
        <f ca="1">IFERROR(__xludf.DUMMYFUNCTION("IMPORTXML(C157, $J$1)"),"Andy wrote a review Oct 2018Southampton, United Kingdom829 contributions295 
helpful votes")</f>
        <v>Andy wrote a review Oct 2018Southampton, United Kingdom829 contributions295 
helpful votes</v>
      </c>
      <c r="K157" s="4" t="str">
        <f ca="1">IFERROR(__xludf.DUMMYFUNCTION("""COMPUTED_VALUE"""),"Good location for Waterloo stationStayed here in Oct 2018 whilst going to a show at the O2. Convenient 
location for Waterloo train station / tube. 10 minute slow walk to the 
hotel from the lower level of the station. Hotel itself was modern &amp; bright 
in"&amp;" the lobby. Reception staff provided a good service. Asked which floor we 
preferred and put us on the top floor. Were able to store our luggage after 
we checked out. Bar area, but we didn’t use this. Lifts could do with some 
oil, as they are very scree"&amp;"chy! Room was adequate for our stay. Double bed, 
desk, chair, arm chair, kettle, tea, coffee etc and TV. Shower / toilet 
room. Only one towel in room, which is weird. Breakfast and WiFi not 
included. Air conditioning wasn’t very good. Overall, a conven"&amp;"ient 
location. Reasonable price (£82) and it was clean and…Read moreDate of 
stay: October 20181 Helpful voteHelpfulShare")</f>
        <v>Good location for Waterloo stationStayed here in Oct 2018 whilst going to a show at the O2. Convenient 
location for Waterloo train station / tube. 10 minute slow walk to the 
hotel from the lower level of the station. Hotel itself was modern &amp; bright 
in the lobby. Reception staff provided a good service. Asked which floor we 
preferred and put us on the top floor. Were able to store our luggage after 
we checked out. Bar area, but we didn’t use this. Lifts could do with some 
oil, as they are very screechy! Room was adequate for our stay. Double bed, 
desk, chair, arm chair, kettle, tea, coffee etc and TV. Shower / toilet 
room. Only one towel in room, which is weird. Breakfast and WiFi not 
included. Air conditioning wasn’t very good. Overall, a convenient 
location. Reasonable price (£82) and it was clean and…Read moreDate of 
stay: October 20181 Helpful voteHelpfulShare</v>
      </c>
      <c r="L157" s="21"/>
      <c r="M157" s="21" t="str">
        <f ca="1">IFERROR(__xludf.DUMMYFUNCTION("IMPORTXML(C157, $M$1)"),"cdiaz_duque wrote a review Oct 20182 contributions")</f>
        <v>cdiaz_duque wrote a review Oct 20182 contributions</v>
      </c>
      <c r="N157" s="4" t="str">
        <f ca="1">IFERROR(__xludf.DUMMYFUNCTION("""COMPUTED_VALUE"""),"Great location, clean room, good sleep and fRiendly staffStayed 2 nights here again,its a decent, clean and well-located hotel. The 
rooms have decent and comfy beds and pillows. The bar and restaurant are 
good too, so if you want to stay in a not to the"&amp;" expensive hotel I would 
recommend this one, and book in advance so you can get good prices.Read 
moreReview collected in partnership with this hotelDate of stay: September 
2018HelpfulShare")</f>
        <v>Great location, clean room, good sleep and fRiendly staffStayed 2 nights here again,its a decent, clean and well-located hotel. The 
rooms have decent and comfy beds and pillows. The bar and restaurant are 
good too, so if you want to stay in a not to the expensive hotel I would 
recommend this one, and book in advance so you can get good prices.Read 
moreReview collected in partnership with this hotelDate of stay: September 
2018HelpfulShare</v>
      </c>
      <c r="O157" s="21"/>
      <c r="P157" s="21" t="str">
        <f ca="1">IFERROR(__xludf.DUMMYFUNCTION("IMPORTXML(C157, $P$1)"),"Piggin01 wrote a review Oct 2018Kettering, England, United Kingdom122 
contributions26 helpful votes")</f>
        <v>Piggin01 wrote a review Oct 2018Kettering, England, United Kingdom122 
contributions26 helpful votes</v>
      </c>
      <c r="Q157" s="4" t="str">
        <f ca="1">IFERROR(__xludf.DUMMYFUNCTION("""COMPUTED_VALUE"""),"Great locationGreat location 5mins walk from Waterloo station �� or bus stop �� just 
outside rooms clean and tidy with shower gel and shampoo and towels staff 
very friendly and helpful breakfast look good but can’t comment as never 
had breakfast price "&amp;"good for LondonRead moreReview collected in partnership 
with this hotelDate of stay: September 2018HelpfulShare")</f>
        <v>Great locationGreat location 5mins walk from Waterloo station �� or bus stop �� just 
outside rooms clean and tidy with shower gel and shampoo and towels staff 
very friendly and helpful breakfast look good but can’t comment as never 
had breakfast price good for LondonRead moreReview collected in partnership 
with this hotelDate of stay: September 2018HelpfulShare</v>
      </c>
      <c r="U157" s="4" t="str">
        <f ca="1">IFERROR(__xludf.DUMMYFUNCTION("IMPORTXML(C158,$U$1)"),"Loading...")</f>
        <v>Loading...</v>
      </c>
    </row>
    <row r="158" spans="1:21" ht="15">
      <c r="A158" s="25" t="s">
        <v>12413</v>
      </c>
      <c r="B158" s="17" t="s">
        <v>126</v>
      </c>
      <c r="C158" s="23" t="str">
        <f t="shared" si="0"/>
        <v>https://www.tripadvisor.co.uk/Hotel_Review-g186338-d1812157-Reviews-or780-Travelodge_London_Waterloo_Hotel-London_England.html#REVIEWS</v>
      </c>
      <c r="D158" s="4" t="str">
        <f ca="1">IFERROR(__xludf.DUMMYFUNCTION("IMPORTXML(C158,$D$1)"),"ahuanga27 wrote a review Oct 20181 contribution")</f>
        <v>ahuanga27 wrote a review Oct 20181 contribution</v>
      </c>
      <c r="E158" s="4" t="str">
        <f ca="1">IFERROR(__xludf.DUMMYFUNCTION("""COMPUTED_VALUE"""),"Great hotel !Pros: Very friendly staff ! Best part was that they got complimentary 
coffee , tea and ice anytime of the day and night compared to other hotels 
we were at ! Not far from the albert supermarket and tram stops!Cons: minus 
-1- very small bat"&amp;"hroom spaces.You're almost swiping on the toilet 
everytime you go in there.Read moreReview collected in partnership with 
this hotelDate of stay: October 2018HelpfulShare")</f>
        <v>Great hotel !Pros: Very friendly staff ! Best part was that they got complimentary 
coffee , tea and ice anytime of the day and night compared to other hotels 
we were at ! Not far from the albert supermarket and tram stops!Cons: minus 
-1- very small bathroom spaces.You're almost swiping on the toilet 
everytime you go in there.Read moreReview collected in partnership with 
this hotelDate of stay: October 2018HelpfulShare</v>
      </c>
      <c r="G158" s="24" t="str">
        <f ca="1">IFERROR(__xludf.DUMMYFUNCTION("IMPORTXML(C158, $G$1)"),"#N/A")</f>
        <v>#N/A</v>
      </c>
      <c r="I158" s="21"/>
      <c r="J158" s="21" t="str">
        <f ca="1">IFERROR(__xludf.DUMMYFUNCTION("IMPORTXML(C158, $J$1)"),"Emily B wrote a review Oct 2018Hay-on-Wye, United Kingdom2 contributions2 
helpful votes")</f>
        <v>Emily B wrote a review Oct 2018Hay-on-Wye, United Kingdom2 contributions2 
helpful votes</v>
      </c>
      <c r="K158" s="4" t="str">
        <f ca="1">IFERROR(__xludf.DUMMYFUNCTION("""COMPUTED_VALUE"""),"Noisy Air conHotel was good, reception staff were very welcoming, we paid for early 
check in and late check out which were an extra £10 for each, which i 
thought was great price, we also paid for full breakfast each day, it was 
average, only scrambled "&amp;"eggs available, but selection of cereals fruit etc 
also available, however cutlery was dirty!! We also paid for wifi for our 3 
night stay which kept disconnecting from my phone and heard others at 
breakfast also complaining about this. Luckily we did n"&amp;"ot spend much time 
in the hotel other than night time. The cleaning staff were speaking a 
different language, the dispensers for soap was in the shower and the 
dispenser for body wash was by the sink - odd! Went we first entered the 
room it was slight"&amp;"ly cold but no problem we just turned the air…Read 
moreReview collected in partnership with TravelodgeDate of stay: September 
2018HelpfulShare")</f>
        <v>Noisy Air conHotel was good, reception staff were very welcoming, we paid for early 
check in and late check out which were an extra £10 for each, which i 
thought was great price, we also paid for full breakfast each day, it was 
average, only scrambled eggs available, but selection of cereals fruit etc 
also available, however cutlery was dirty!! We also paid for wifi for our 3 
night stay which kept disconnecting from my phone and heard others at 
breakfast also complaining about this. Luckily we did not spend much time 
in the hotel other than night time. The cleaning staff were speaking a 
different language, the dispensers for soap was in the shower and the 
dispenser for body wash was by the sink - odd! Went we first entered the 
room it was slightly cold but no problem we just turned the air…Read 
moreReview collected in partnership with TravelodgeDate of stay: September 
2018HelpfulShare</v>
      </c>
      <c r="L158" s="21"/>
      <c r="M158" s="21" t="str">
        <f ca="1">IFERROR(__xludf.DUMMYFUNCTION("IMPORTXML(C158, $M$1)"),"#N/A")</f>
        <v>#N/A</v>
      </c>
      <c r="O158" s="21"/>
      <c r="P158" s="21" t="str">
        <f ca="1">IFERROR(__xludf.DUMMYFUNCTION("IMPORTXML(C158, $P$1)"),"Noss1s wrote a review Oct 2018Leicestershire, United Kingdom101 
contributions35 helpful votes")</f>
        <v>Noss1s wrote a review Oct 2018Leicestershire, United Kingdom101 
contributions35 helpful votes</v>
      </c>
      <c r="Q158" s="4" t="str">
        <f ca="1">IFERROR(__xludf.DUMMYFUNCTION("""COMPUTED_VALUE"""),"Great locationThe lodge is in a great place. 5 minutes walk from Waterloo Station. Just 
around the corner from The Old Vic theatre. Staff are very helpful &amp; 
knowledgeable. The rooms are very spacious and clean. Beds are a little 
uncomfortable. Otherwis"&amp;"e, good.Read moreDate of stay: October 
2018HelpfulShare")</f>
        <v>Great locationThe lodge is in a great place. 5 minutes walk from Waterloo Station. Just 
around the corner from The Old Vic theatre. Staff are very helpful &amp; 
knowledgeable. The rooms are very spacious and clean. Beds are a little 
uncomfortable. Otherwise, good.Read moreDate of stay: October 
2018HelpfulShare</v>
      </c>
      <c r="U158" s="4" t="str">
        <f ca="1">IFERROR(__xludf.DUMMYFUNCTION("IMPORTXML(C159,$U$1)"),"Loading...")</f>
        <v>Loading...</v>
      </c>
    </row>
    <row r="159" spans="1:21" ht="15">
      <c r="A159" s="5" t="s">
        <v>12482</v>
      </c>
      <c r="B159" s="17" t="s">
        <v>126</v>
      </c>
      <c r="C159" s="23" t="str">
        <f t="shared" si="0"/>
        <v>https://www.tripadvisor.co.uk/Hotel_Review-g186338-d1812157-Reviews-or785-Travelodge_London_Waterloo_Hotel-London_England.html#REVIEWS</v>
      </c>
      <c r="D159" s="4" t="str">
        <f ca="1">IFERROR(__xludf.DUMMYFUNCTION("IMPORTXML(C159,$D$1)"),"270christinec wrote a review Oct 2018London5 contributions9 helpful votes")</f>
        <v>270christinec wrote a review Oct 2018London5 contributions9 helpful votes</v>
      </c>
      <c r="E159" s="4" t="str">
        <f ca="1">IFERROR(__xludf.DUMMYFUNCTION("""COMPUTED_VALUE"""),"Great value for money, and comfy bed!Excellent value for money, perfect location for access to central London, 
the room was clean and a very comfortable bed! I also had a room with a 
view. My one night stay was comfortable and I was able to get to my me"&amp;"eting 
in only 20 minutes in the morning due to the convenient location.Read 
moreReview collected in partnership with TravelodgeDate of stay: October 
2018HelpfulShare")</f>
        <v>Great value for money, and comfy bed!Excellent value for money, perfect location for access to central London, 
the room was clean and a very comfortable bed! I also had a room with a 
view. My one night stay was comfortable and I was able to get to my meeting 
in only 20 minutes in the morning due to the convenient location.Read 
moreReview collected in partnership with TravelodgeDate of stay: October 
2018HelpfulShare</v>
      </c>
      <c r="G159" s="24" t="str">
        <f ca="1">IFERROR(__xludf.DUMMYFUNCTION("IMPORTXML(C159, $G$1)"),"sadiehoneys12 wrote a review Oct 20183 contributions")</f>
        <v>sadiehoneys12 wrote a review Oct 20183 contributions</v>
      </c>
      <c r="H159" s="4" t="str">
        <f ca="1">IFERROR(__xludf.DUMMYFUNCTION("""COMPUTED_VALUE"""),"Well priced!Good honest hotel, well priced, easy access to the train station and direct 
routes on the tube. Polite staff We had a issue with a shower leak from the 
room next to us and straight away we were moved and also upgraded! So a 
great gesture.Re"&amp;"ad moreDate of stay: October 2018HelpfulShare")</f>
        <v>Well priced!Good honest hotel, well priced, easy access to the train station and direct 
routes on the tube. Polite staff We had a issue with a shower leak from the 
room next to us and straight away we were moved and also upgraded! So a 
great gesture.Read moreDate of stay: October 2018HelpfulShare</v>
      </c>
      <c r="I159" s="21"/>
      <c r="J159" s="21" t="str">
        <f ca="1">IFERROR(__xludf.DUMMYFUNCTION("IMPORTXML(C159, $J$1)"),"alisonjphillips wrote a review Oct 20181 contribution")</f>
        <v>alisonjphillips wrote a review Oct 20181 contribution</v>
      </c>
      <c r="K159" s="4" t="str">
        <f ca="1">IFERROR(__xludf.DUMMYFUNCTION("""COMPUTED_VALUE"""),"Excellent staygreat hotel, very central. Staff very friendly and helpful..especially the 
bar staff. Nice clean room, quiet and comfortable. very nice breakfast, 
staff helpful and polite.. would stay again. Great hotel.Read moreReview 
collected in partn"&amp;"ership with TravelodgeDate of stay: October 
2018HelpfulShare")</f>
        <v>Excellent staygreat hotel, very central. Staff very friendly and helpful..especially the 
bar staff. Nice clean room, quiet and comfortable. very nice breakfast, 
staff helpful and polite.. would stay again. Great hotel.Read moreReview 
collected in partnership with TravelodgeDate of stay: October 
2018HelpfulShare</v>
      </c>
      <c r="L159" s="21"/>
      <c r="M159" s="21" t="str">
        <f ca="1">IFERROR(__xludf.DUMMYFUNCTION("IMPORTXML(C159, $M$1)"),"99Traveling101 wrote a review Oct 2018Nottingham, United Kingdom2 
contributions")</f>
        <v>99Traveling101 wrote a review Oct 2018Nottingham, United Kingdom2 
contributions</v>
      </c>
      <c r="N159" s="4" t="str">
        <f ca="1">IFERROR(__xludf.DUMMYFUNCTION("""COMPUTED_VALUE"""),"Basic hotel near WaterlooTh hotel is in a good location for Waterloo train station. It was very 
basic and not as comfortable as other hotels in this chain or in this price 
bracket. The lift was poorly maintained with the doors bent and scraping 
terribl"&amp;"y. I was glad not to have a room nearby. Having to ask for an 
ironing board, iron and hairdryer was also unnecessary.Read moreReview 
collected in partnership with TravelodgeDate of stay: October 
2018HelpfulShare")</f>
        <v>Basic hotel near WaterlooTh hotel is in a good location for Waterloo train station. It was very 
basic and not as comfortable as other hotels in this chain or in this price 
bracket. The lift was poorly maintained with the doors bent and scraping 
terribly. I was glad not to have a room nearby. Having to ask for an 
ironing board, iron and hairdryer was also unnecessary.Read moreReview 
collected in partnership with TravelodgeDate of stay: October 
2018HelpfulShare</v>
      </c>
      <c r="O159" s="21"/>
      <c r="P159" s="21" t="str">
        <f ca="1">IFERROR(__xludf.DUMMYFUNCTION("IMPORTXML(C159, $P$1)"),"shh333 wrote a review Oct 20181 contribution1 helpful vote")</f>
        <v>shh333 wrote a review Oct 20181 contribution1 helpful vote</v>
      </c>
      <c r="Q159" s="4" t="str">
        <f ca="1">IFERROR(__xludf.DUMMYFUNCTION("""COMPUTED_VALUE"""),"Made to change location at 1.30 amI was travelling alone and arrived at my hotel at 1.30am to be told there 
was 'something wrong with my room' and I would have to change to another 
hotel. I was very upset at this and they did nothing.Read moreReview 
co"&amp;"llected in partnership with TravelodgeDate of stay: October 20181 Helpful 
voteHelpfulShareResponse from TravelodgeUK, Ben from the Social Media Team 
at Travelodge London Waterloo HotelResponded 9 Oct 2018Thank you for taking 
the time to write a review "&amp;"about our London Waterloo hotel. We are very 
sorry to learn that your room was not available for you on your arrival and 
we fully appreciate the frustration this must have caused. Our booking 
support teams will try and assist with relocating guests to "&amp;"minimise the 
disruption caused however we are sorry for the disappointment caused on 
this occasion. If you wish to contact us directly to give us more feedback, 
please be aware that you can always contact our Customer Services team via 
our website. Th"&amp;"ank you once again and we do hope you will stay with us in 
the future.Read more")</f>
        <v>Made to change location at 1.30 amI was travelling alone and arrived at my hotel at 1.30am to be told there 
was 'something wrong with my room' and I would have to change to another 
hotel. I was very upset at this and they did nothing.Read moreReview 
collected in partnership with TravelodgeDate of stay: October 20181 Helpful 
voteHelpfulShareResponse from TravelodgeUK, Ben from the Social Media Team 
at Travelodge London Waterloo HotelResponded 9 Oct 2018Thank you for taking 
the time to write a review about our London Waterloo hotel. We are very 
sorry to learn that your room was not available for you on your arrival and 
we fully appreciate the frustration this must have caused. Our booking 
support teams will try and assist with relocating guests to minimise the 
disruption caused however we are sorry for the disappointment caused on 
this occasion. If you wish to contact us directly to give us more feedback, 
please be aware that you can always contact our Customer Services team via 
our website. Thank you once again and we do hope you will stay with us in 
the future.Read more</v>
      </c>
      <c r="U159" s="4" t="str">
        <f ca="1">IFERROR(__xludf.DUMMYFUNCTION("IMPORTXML(C160,$U$1)"),"Loading...")</f>
        <v>Loading...</v>
      </c>
    </row>
    <row r="160" spans="1:21" ht="15">
      <c r="A160" s="25" t="s">
        <v>12573</v>
      </c>
      <c r="B160" s="17" t="s">
        <v>126</v>
      </c>
      <c r="C160" s="23" t="str">
        <f t="shared" si="0"/>
        <v>https://www.tripadvisor.co.uk/Hotel_Review-g186338-d1812157-Reviews-or790-Travelodge_London_Waterloo_Hotel-London_England.html#REVIEWS</v>
      </c>
      <c r="D160" s="4" t="str">
        <f ca="1">IFERROR(__xludf.DUMMYFUNCTION("IMPORTXML(C160,$D$1)"),"#N/A")</f>
        <v>#N/A</v>
      </c>
      <c r="G160" s="24" t="str">
        <f ca="1">IFERROR(__xludf.DUMMYFUNCTION("IMPORTXML(C160, $G$1)"),"#N/A")</f>
        <v>#N/A</v>
      </c>
      <c r="I160" s="21"/>
      <c r="J160" s="21" t="str">
        <f ca="1">IFERROR(__xludf.DUMMYFUNCTION("IMPORTXML(C160, $J$1)"),"KiaraeMarko wrote a review Oct 2018Pavia, Italy374 contributions33 helpful 
votes")</f>
        <v>KiaraeMarko wrote a review Oct 2018Pavia, Italy374 contributions33 helpful 
votes</v>
      </c>
      <c r="K160" s="4" t="str">
        <f ca="1">IFERROR(__xludf.DUMMYFUNCTION("""COMPUTED_VALUE"""),"Good value for moneyGreat location close to train and underground stations, westminster and a 
shore of thames nightlife and a gym. Kind and attentive staff to customers 
needs. The room was clean. The bathroom sink is too tiny to wash 
comfortably. Overa"&amp;"ll it was a good stay. I raccomend it.Read moreDate of 
stay: October 2018HelpfulShare")</f>
        <v>Good value for moneyGreat location close to train and underground stations, westminster and a 
shore of thames nightlife and a gym. Kind and attentive staff to customers 
needs. The room was clean. The bathroom sink is too tiny to wash 
comfortably. Overall it was a good stay. I raccomend it.Read moreDate of 
stay: October 2018HelpfulShare</v>
      </c>
      <c r="L160" s="21"/>
      <c r="M160" s="21" t="str">
        <f ca="1">IFERROR(__xludf.DUMMYFUNCTION("IMPORTXML(C160, $M$1)"),"VJPower wrote a review Oct 2018Leeds, United Kingdom60 contributions5 
helpful votes")</f>
        <v>VJPower wrote a review Oct 2018Leeds, United Kingdom60 contributions5 
helpful votes</v>
      </c>
      <c r="N160" s="4" t="str">
        <f ca="1">IFERROR(__xludf.DUMMYFUNCTION("""COMPUTED_VALUE"""),"+1")</f>
        <v>+1</v>
      </c>
      <c r="O160" s="21" t="str">
        <f ca="1">IFERROR(__xludf.DUMMYFUNCTION("""COMPUTED_VALUE"""),"Functional and clean TravelodgeThe reception handling of check in and check out was business friendly, 
very quick and very efficient. Had a good room at this Travelodge. It was 
clean, functional and the fittings looked mostly new. I had one long blonde "&amp;"
hair showing inside my bed when I pulled back the covers which was 
disappointing given the high standards of cleanliness on arrival. I hope 
the owner of the hair was indeed a stunner. I also one hair on top of my 
bed when I pulled the bed spread off. "&amp;"Again a just little disappointing on 
attention to detail. The location was okay, but the Ambulance headquarters 
opposite the hotel made things noisy at night. The local greasy takeaway 
restaurants aren’t a great feature at night either, but the hotel c"&amp;"an’t be 
faulted for the greasy establishments and that’s…Read moreDate of stay: 
October 20181 Helpful voteHelpfulShare")</f>
        <v>Functional and clean TravelodgeThe reception handling of check in and check out was business friendly, 
very quick and very efficient. Had a good room at this Travelodge. It was 
clean, functional and the fittings looked mostly new. I had one long blonde 
hair showing inside my bed when I pulled back the covers which was 
disappointing given the high standards of cleanliness on arrival. I hope 
the owner of the hair was indeed a stunner. I also one hair on top of my 
bed when I pulled the bed spread off. Again a just little disappointing on 
attention to detail. The location was okay, but the Ambulance headquarters 
opposite the hotel made things noisy at night. The local greasy takeaway 
restaurants aren’t a great feature at night either, but the hotel can’t be 
faulted for the greasy establishments and that’s…Read moreDate of stay: 
October 20181 Helpful voteHelpfulShare</v>
      </c>
      <c r="P160" s="21" t="str">
        <f ca="1">IFERROR(__xludf.DUMMYFUNCTION("IMPORTXML(C160, $P$1)"),"karengervers wrote a review Oct 2018Exeter, United Kingdom2 contributions")</f>
        <v>karengervers wrote a review Oct 2018Exeter, United Kingdom2 contributions</v>
      </c>
      <c r="Q160" s="4" t="str">
        <f ca="1">IFERROR(__xludf.DUMMYFUNCTION("""COMPUTED_VALUE"""),"Spacious roomI was very surprised by the size of the room. Very big by London standards. 
Plenty of room for the whole family. Breakfast excellent value, especially 
as it's free for U16's. Would definitely stay again. All the staff were 
very friendly an"&amp;"d polite. Wasn't expecting a bar or cafe which was a nice 
surprise.Read moreReview collected in partnership with this hotelDate of 
stay: September 2018HelpfulShare")</f>
        <v>Spacious roomI was very surprised by the size of the room. Very big by London standards. 
Plenty of room for the whole family. Breakfast excellent value, especially 
as it's free for U16's. Would definitely stay again. All the staff were 
very friendly and polite. Wasn't expecting a bar or cafe which was a nice 
surprise.Read moreReview collected in partnership with this hotelDate of 
stay: September 2018HelpfulShare</v>
      </c>
      <c r="U160" s="4" t="str">
        <f ca="1">IFERROR(__xludf.DUMMYFUNCTION("IMPORTXML(C161,$U$1)"),"Loading...")</f>
        <v>Loading...</v>
      </c>
    </row>
    <row r="161" spans="1:21" ht="15">
      <c r="A161" s="25" t="s">
        <v>12626</v>
      </c>
      <c r="B161" s="17" t="s">
        <v>126</v>
      </c>
      <c r="C161" s="23" t="str">
        <f t="shared" si="0"/>
        <v>https://www.tripadvisor.co.uk/Hotel_Review-g186338-d1812157-Reviews-or795-Travelodge_London_Waterloo_Hotel-London_England.html#REVIEWS</v>
      </c>
      <c r="D161" s="4" t="str">
        <f ca="1">IFERROR(__xludf.DUMMYFUNCTION("IMPORTXML(C161,$D$1)"),"Vacation285090 wrote a review Oct 20181 contribution")</f>
        <v>Vacation285090 wrote a review Oct 20181 contribution</v>
      </c>
      <c r="E161" s="4" t="str">
        <f ca="1">IFERROR(__xludf.DUMMYFUNCTION("""COMPUTED_VALUE"""),"long week-end in LondonOverall, for the money, was definitely worth it. It is only 5 minutes to 
Waterloo Station and a 20 minute walk to the busy London center. The rooms 
are very spartan, but immaculately clean and neat. The staff is welcoming 
and hel"&amp;"pful.Read moreDate of stay: September 2018HelpfulShare")</f>
        <v>long week-end in LondonOverall, for the money, was definitely worth it. It is only 5 minutes to 
Waterloo Station and a 20 minute walk to the busy London center. The rooms 
are very spartan, but immaculately clean and neat. The staff is welcoming 
and helpful.Read moreDate of stay: September 2018HelpfulShare</v>
      </c>
      <c r="G161" s="24" t="str">
        <f ca="1">IFERROR(__xludf.DUMMYFUNCTION("IMPORTXML(C161, $G$1)"),"bonzodog65 wrote a review Oct 2018Lewes, United Kingdom44 contributions12 
helpful votes")</f>
        <v>bonzodog65 wrote a review Oct 2018Lewes, United Kingdom44 contributions12 
helpful votes</v>
      </c>
      <c r="H161" s="4" t="str">
        <f ca="1">IFERROR(__xludf.DUMMYFUNCTION("""COMPUTED_VALUE"""),"Complaint madeChecked in to Room 828. Nasty strong smell. Found yellow/brown liquid half 
filling the sink and it was this producing the smell. Relocated to room 28. 
Leaky showerhead sprayed all over the bathroom, made the towels damp and 
soaked the rol"&amp;"ls of toilet paper. In the shower I pressed the soap 
dispenser and the casing fell off and landed on my foot. No damage but it 
hurt and a bit of a shock. The fan in the bathroom ran all night and kept 
rattling and waking me. Morning of the 8th, the fir"&amp;"e alarm sounded, we got 
dressed and left the room. Over the next 15 minutes, there was no sign of 
any organisation, no fire wardens, no-one telling us what was happening. 
Lots of people out on the street but lots of people remained inside. No 
reassura"&amp;"nce, explanation or apology from anyone, and…Read moreDate of stay: 
September 20181 Helpful voteHelpfulShareResponse from TravelodgeUK, Ben 
from the Social Media Team at Travelodge London Waterloo HotelResponded 7 
Oct 2018Thank you for taking the time "&amp;"to write a review about our London 
Waterloo hotel. We are really sorry to hear of your experience however are 
pleased to learn that the hotel team were lovely. We understand that you 
have been in contact with our customer services team team who have re"&amp;"solved 
your complaint and our Hotel Managers regularly review their TripAdvisor 
reviews in order to fix any issues raised and pass on feedback to their 
team. Thank you once again and we do hope you will stay with us in the 
future.Read more")</f>
        <v>Complaint madeChecked in to Room 828. Nasty strong smell. Found yellow/brown liquid half 
filling the sink and it was this producing the smell. Relocated to room 28. 
Leaky showerhead sprayed all over the bathroom, made the towels damp and 
soaked the rolls of toilet paper. In the shower I pressed the soap 
dispenser and the casing fell off and landed on my foot. No damage but it 
hurt and a bit of a shock. The fan in the bathroom ran all night and kept 
rattling and waking me. Morning of the 8th, the fire alarm sounded, we got 
dressed and left the room. Over the next 15 minutes, there was no sign of 
any organisation, no fire wardens, no-one telling us what was happening. 
Lots of people out on the street but lots of people remained inside. No 
reassurance, explanation or apology from anyone, and…Read moreDate of stay: 
September 20181 Helpful voteHelpfulShareResponse from TravelodgeUK, Ben 
from the Social Media Team at Travelodge London Waterloo HotelResponded 7 
Oct 2018Thank you for taking the time to write a review about our London 
Waterloo hotel. We are really sorry to hear of your experience however are 
pleased to learn that the hotel team were lovely. We understand that you 
have been in contact with our customer services team team who have resolved 
your complaint and our Hotel Managers regularly review their TripAdvisor 
reviews in order to fix any issues raised and pass on feedback to their 
team. Thank you once again and we do hope you will stay with us in the 
future.Read more</v>
      </c>
      <c r="I161" s="21"/>
      <c r="J161" s="21" t="str">
        <f ca="1">IFERROR(__xludf.DUMMYFUNCTION("IMPORTXML(C161, $J$1)"),"#N/A")</f>
        <v>#N/A</v>
      </c>
      <c r="L161" s="21"/>
      <c r="M161" s="21" t="str">
        <f ca="1">IFERROR(__xludf.DUMMYFUNCTION("IMPORTXML(C161, $M$1)"),"#N/A")</f>
        <v>#N/A</v>
      </c>
      <c r="O161" s="21"/>
      <c r="P161" s="21" t="str">
        <f ca="1">IFERROR(__xludf.DUMMYFUNCTION("IMPORTXML(C161, $P$1)"),"Annie31uk wrote a review Oct 2018Billingham England9 contributions29 
helpful votes")</f>
        <v>Annie31uk wrote a review Oct 2018Billingham England9 contributions29 
helpful votes</v>
      </c>
      <c r="Q161" s="4" t="str">
        <f ca="1">IFERROR(__xludf.DUMMYFUNCTION("""COMPUTED_VALUE"""),"Great place to stsyGreat place to stay for proximity to Waterloo station. Room spotless and 
staff very polite, friendly &amp; helpful. Superior room worth the money with 
lots of nice touches and added extras such as usb charging plugs beside the 
bed, iron "&amp;"&amp; ironing board, hairdryer etcRead moreReview collected in 
partnership with TravelodgeDate of stay: September 2018HelpfulShare")</f>
        <v>Great place to stsyGreat place to stay for proximity to Waterloo station. Room spotless and 
staff very polite, friendly &amp; helpful. Superior room worth the money with 
lots of nice touches and added extras such as usb charging plugs beside the 
bed, iron &amp; ironing board, hairdryer etcRead moreReview collected in 
partnership with TravelodgeDate of stay: September 2018HelpfulShare</v>
      </c>
      <c r="U161" s="4" t="str">
        <f ca="1">IFERROR(__xludf.DUMMYFUNCTION("IMPORTXML(C162,$U$1)"),"Loading...")</f>
        <v>Loading...</v>
      </c>
    </row>
    <row r="162" spans="1:21" ht="15">
      <c r="A162" s="25" t="s">
        <v>12686</v>
      </c>
      <c r="B162" s="17" t="s">
        <v>126</v>
      </c>
      <c r="C162" s="23" t="str">
        <f t="shared" si="0"/>
        <v>https://www.tripadvisor.co.uk/Hotel_Review-g186338-d1812157-Reviews-or800-Travelodge_London_Waterloo_Hotel-London_England.html#REVIEWS</v>
      </c>
      <c r="D162" s="4" t="str">
        <f ca="1">IFERROR(__xludf.DUMMYFUNCTION("IMPORTXML(C162,$D$1)"),"barbaramA6027ZF wrote a review Oct 2018Sydney, Australia3 contributions")</f>
        <v>barbaramA6027ZF wrote a review Oct 2018Sydney, Australia3 contributions</v>
      </c>
      <c r="E162" s="4" t="str">
        <f ca="1">IFERROR(__xludf.DUMMYFUNCTION("""COMPUTED_VALUE"""),"What a surpriseFirst time staying at a Travelodge but was near to where my daughter had 
just moved to University. I was really pleasantly surprised. It was cheaper 
than where I would normally stay but it the location near my daughter that 
mattered. It "&amp;"was basic but clean and extremely comfortable. Great shower 
and great breakfast but would not bother with the evening meal there. Bar 
was not great atmosphere but great staff and good selection of drinks. It 
has a fabulous location and the staff couldn"&amp;"'t be more friendly. It has no 
fancy frills but ticks all your needs. Will definitely stay here again.Read 
moreReview collected in partnership with TravelodgeDate of stay: September 
2018HelpfulShare")</f>
        <v>What a surpriseFirst time staying at a Travelodge but was near to where my daughter had 
just moved to University. I was really pleasantly surprised. It was cheaper 
than where I would normally stay but it the location near my daughter that 
mattered. It was basic but clean and extremely comfortable. Great shower 
and great breakfast but would not bother with the evening meal there. Bar 
was not great atmosphere but great staff and good selection of drinks. It 
has a fabulous location and the staff couldn't be more friendly. It has no 
fancy frills but ticks all your needs. Will definitely stay here again.Read 
moreReview collected in partnership with TravelodgeDate of stay: September 
2018HelpfulShare</v>
      </c>
      <c r="G162" s="24" t="str">
        <f ca="1">IFERROR(__xludf.DUMMYFUNCTION("IMPORTXML(C162, $G$1)"),"tonyl2504 wrote a review Oct 2018Gloucester, United Kingdom4 contributions")</f>
        <v>tonyl2504 wrote a review Oct 2018Gloucester, United Kingdom4 contributions</v>
      </c>
      <c r="H162" s="4" t="str">
        <f ca="1">IFERROR(__xludf.DUMMYFUNCTION("""COMPUTED_VALUE"""),"Great Hotel, Great LocationThe Hotel is in a great location, is clean and fresh, The room is lovely, 
the bed comfortable and the shower delivers plenty of hot water. The 
facilities are great, staff friendly and the breakfast is tastyRead 
moreReview col"&amp;"lected in partnership with TravelodgeDate of stay: September 
2018HelpfulShare")</f>
        <v>Great Hotel, Great LocationThe Hotel is in a great location, is clean and fresh, The room is lovely, 
the bed comfortable and the shower delivers plenty of hot water. The 
facilities are great, staff friendly and the breakfast is tastyRead 
moreReview collected in partnership with TravelodgeDate of stay: September 
2018HelpfulShare</v>
      </c>
      <c r="I162" s="21"/>
      <c r="J162" s="21" t="str">
        <f ca="1">IFERROR(__xludf.DUMMYFUNCTION("IMPORTXML(C162, $J$1)"),"#N/A")</f>
        <v>#N/A</v>
      </c>
      <c r="L162" s="21"/>
      <c r="M162" s="21" t="str">
        <f ca="1">IFERROR(__xludf.DUMMYFUNCTION("IMPORTXML(C162, $M$1)"),"Steve L wrote a review Sep 2018Tiverton, United Kingdom7 contributions14 
helpful votes")</f>
        <v>Steve L wrote a review Sep 2018Tiverton, United Kingdom7 contributions14 
helpful votes</v>
      </c>
      <c r="N162" s="4" t="str">
        <f ca="1">IFERROR(__xludf.DUMMYFUNCTION("""COMPUTED_VALUE"""),"Does what it says on the tin!!Highly recommend this hotel - it purely and simply ticks all the boxes. 
Parking is a ten-minute walk at APCOA but it is secure and reasonable for 
central London. Excellent for the station and taxis. Staff are extremely 
fri"&amp;"endly and accommodating!Read moreReview collected in partnership with 
TravelodgeDate of stay: September 2018HelpfulShare")</f>
        <v>Does what it says on the tin!!Highly recommend this hotel - it purely and simply ticks all the boxes. 
Parking is a ten-minute walk at APCOA but it is secure and reasonable for 
central London. Excellent for the station and taxis. Staff are extremely 
friendly and accommodating!Read moreReview collected in partnership with 
TravelodgeDate of stay: September 2018HelpfulShare</v>
      </c>
      <c r="O162" s="21"/>
      <c r="P162" s="21" t="str">
        <f ca="1">IFERROR(__xludf.DUMMYFUNCTION("IMPORTXML(C162, $P$1)"),"karenway64 wrote a review Sep 2018Hinckley, United Kingdom328 
contributions24 helpful votes")</f>
        <v>karenway64 wrote a review Sep 2018Hinckley, United Kingdom328 
contributions24 helpful votes</v>
      </c>
      <c r="Q162" s="4" t="str">
        <f ca="1">IFERROR(__xludf.DUMMYFUNCTION("""COMPUTED_VALUE"""),"Base for London tripWe use this travel Lodge as a base for regular work trips to London. 
Excellent central location a short walk from Waterloo Station. This travel 
lodge is refurbished, clean and provides all the basics. Breakfast is an 
all you can eat"&amp;" buffet for £8 which is good value, offering good food that 
fills you up for the day. The staff are really friendly and helpful 
especially at reception and the restaurant manager.Read moreDate of stay: 
September 2018HelpfulShare")</f>
        <v>Base for London tripWe use this travel Lodge as a base for regular work trips to London. 
Excellent central location a short walk from Waterloo Station. This travel 
lodge is refurbished, clean and provides all the basics. Breakfast is an 
all you can eat buffet for £8 which is good value, offering good food that 
fills you up for the day. The staff are really friendly and helpful 
especially at reception and the restaurant manager.Read moreDate of stay: 
September 2018HelpfulShare</v>
      </c>
      <c r="U162" s="4" t="str">
        <f ca="1">IFERROR(__xludf.DUMMYFUNCTION("IMPORTXML(C163,$U$1)"),"Loading...")</f>
        <v>Loading...</v>
      </c>
    </row>
    <row r="163" spans="1:21" ht="15">
      <c r="A163" s="5" t="s">
        <v>12759</v>
      </c>
      <c r="B163" s="17" t="s">
        <v>126</v>
      </c>
      <c r="C163" s="23" t="str">
        <f t="shared" si="0"/>
        <v>https://www.tripadvisor.co.uk/Hotel_Review-g186338-d1812157-Reviews-or805-Travelodge_London_Waterloo_Hotel-London_England.html#REVIEWS</v>
      </c>
      <c r="D163" s="4" t="str">
        <f ca="1">IFERROR(__xludf.DUMMYFUNCTION("IMPORTXML(C163,$D$1)"),"muhammad7832016 wrote a review Sep 2018Bolton, United Kingdom118 
contributions23 helpful votes")</f>
        <v>muhammad7832016 wrote a review Sep 2018Bolton, United Kingdom118 
contributions23 helpful votes</v>
      </c>
      <c r="E163" s="4" t="str">
        <f ca="1">IFERROR(__xludf.DUMMYFUNCTION("""COMPUTED_VALUE"""),"Very CleanStayed 1 night for work. Location is good as not far from the Tube. Front 
desk were nice and asked for a quiet room. The room was very nice and 
clean. Carpet is very nice with a nice big bed. Shower would be slightly 
small for a big person bu"&amp;"t the bathroom is nice and clean. Breakfast was 
nice with a decent variety, but it is quiet a expensive hotel Overall its 
good but expensive.Read moreDate of stay: September 2018HelpfulShare")</f>
        <v>Very CleanStayed 1 night for work. Location is good as not far from the Tube. Front 
desk were nice and asked for a quiet room. The room was very nice and 
clean. Carpet is very nice with a nice big bed. Shower would be slightly 
small for a big person but the bathroom is nice and clean. Breakfast was 
nice with a decent variety, but it is quiet a expensive hotel Overall its 
good but expensive.Read moreDate of stay: September 2018HelpfulShare</v>
      </c>
      <c r="G163" s="24" t="str">
        <f ca="1">IFERROR(__xludf.DUMMYFUNCTION("IMPORTXML(C163, $G$1)"),"#N/A")</f>
        <v>#N/A</v>
      </c>
      <c r="I163" s="21"/>
      <c r="J163" s="21" t="str">
        <f ca="1">IFERROR(__xludf.DUMMYFUNCTION("IMPORTXML(C163, $J$1)"),"#N/A")</f>
        <v>#N/A</v>
      </c>
      <c r="L163" s="21"/>
      <c r="M163" s="21" t="str">
        <f ca="1">IFERROR(__xludf.DUMMYFUNCTION("IMPORTXML(C163, $M$1)"),"#N/A")</f>
        <v>#N/A</v>
      </c>
      <c r="O163" s="21"/>
      <c r="P163" s="21" t="str">
        <f ca="1">IFERROR(__xludf.DUMMYFUNCTION("IMPORTXML(C163, $P$1)"),"Happiness281748 wrote a review Sep 20182 contributions2 helpful votes")</f>
        <v>Happiness281748 wrote a review Sep 20182 contributions2 helpful votes</v>
      </c>
      <c r="Q163" s="4" t="str">
        <f ca="1">IFERROR(__xludf.DUMMYFUNCTION("""COMPUTED_VALUE"""),"A great in LondonWe had a great stay nice room friendly helpful staff. Plenty of tea and 
coffee and although it was on a main road the noise level was very low. A 
great fish restaurant next door too. All in all a great place.Read 
moreReview collected i"&amp;"n partnership with this hotelDate of stay: September 
2018HelpfulShare")</f>
        <v>A great in LondonWe had a great stay nice room friendly helpful staff. Plenty of tea and 
coffee and although it was on a main road the noise level was very low. A 
great fish restaurant next door too. All in all a great place.Read 
moreReview collected in partnership with this hotelDate of stay: September 
2018HelpfulShare</v>
      </c>
      <c r="U163" s="4" t="str">
        <f ca="1">IFERROR(__xludf.DUMMYFUNCTION("IMPORTXML(C164,$U$1)"),"Loading...")</f>
        <v>Loading...</v>
      </c>
    </row>
    <row r="164" spans="1:21" ht="15">
      <c r="A164" s="25" t="s">
        <v>12802</v>
      </c>
      <c r="B164" s="17" t="s">
        <v>126</v>
      </c>
      <c r="C164" s="23" t="str">
        <f t="shared" si="0"/>
        <v>https://www.tripadvisor.co.uk/Hotel_Review-g186338-d1812157-Reviews-or810-Travelodge_London_Waterloo_Hotel-London_England.html#REVIEWS</v>
      </c>
      <c r="D164" s="4" t="str">
        <f ca="1">IFERROR(__xludf.DUMMYFUNCTION("IMPORTXML(C164,$D$1)"),"GRAZIANA M wrote a review Sep 20185 contributions2 helpful votes")</f>
        <v>GRAZIANA M wrote a review Sep 20185 contributions2 helpful votes</v>
      </c>
      <c r="E164" s="4" t="str">
        <f ca="1">IFERROR(__xludf.DUMMYFUNCTION("""COMPUTED_VALUE"""),"Very comfortable roomRoom was really good . The bed was very comfortable. Clean everyday. 
Location is superb. Nice short walking from Westminster and west end. Staff 
was nice and respectful. Good restaurants nearby. Very close to tube 
station and train"&amp;". I will book it again when I will travel to London.Read 
moreReview collected in partnership with TravelodgeDate of stay: September 
20181 Helpful voteHelpfulShare")</f>
        <v>Very comfortable roomRoom was really good . The bed was very comfortable. Clean everyday. 
Location is superb. Nice short walking from Westminster and west end. Staff 
was nice and respectful. Good restaurants nearby. Very close to tube 
station and train. I will book it again when I will travel to London.Read 
moreReview collected in partnership with TravelodgeDate of stay: September 
20181 Helpful voteHelpfulShare</v>
      </c>
      <c r="G164" s="24" t="str">
        <f ca="1">IFERROR(__xludf.DUMMYFUNCTION("IMPORTXML(C164, $G$1)"),"G R wrote a review Sep 2018London, United Kingdom10 contributions")</f>
        <v>G R wrote a review Sep 2018London, United Kingdom10 contributions</v>
      </c>
      <c r="H164" s="4" t="str">
        <f ca="1">IFERROR(__xludf.DUMMYFUNCTION("""COMPUTED_VALUE"""),"5/5 GREAT STAYas soon as I walked in the young gentleman was very polite and welcoming 
and full of conversation which i thought was great. Ministry was down the 
road and it was a bank holiday so there was quite a few of us, but the 
hotel itself was fab"&amp;"ulous it had everything we needed to even a iron board. 
When we came back there was no noise or anything.Only let down is the lifts 
they just take tooooo long.Read moreDate of stay: August 2018HelpfulShare")</f>
        <v>5/5 GREAT STAYas soon as I walked in the young gentleman was very polite and welcoming 
and full of conversation which i thought was great. Ministry was down the 
road and it was a bank holiday so there was quite a few of us, but the 
hotel itself was fabulous it had everything we needed to even a iron board. 
When we came back there was no noise or anything.Only let down is the lifts 
they just take tooooo long.Read moreDate of stay: August 2018HelpfulShare</v>
      </c>
      <c r="I164" s="21"/>
      <c r="J164" s="21" t="str">
        <f ca="1">IFERROR(__xludf.DUMMYFUNCTION("IMPORTXML(C164, $J$1)"),"dogmaticdrongo wrote a review Sep 2018Marazion, United Kingdom114 
contributions23 helpful votes")</f>
        <v>dogmaticdrongo wrote a review Sep 2018Marazion, United Kingdom114 
contributions23 helpful votes</v>
      </c>
      <c r="K164" s="4" t="str">
        <f ca="1">IFERROR(__xludf.DUMMYFUNCTION("""COMPUTED_VALUE"""),"Everything I neededStayed here on a business trip and I found I had everything I needed. The 
staff were friendly and polite and the hotel was presented in a clean and 
well looked after manner. I really could not fault my stay.Read moreDate of 
stay: Sep"&amp;"tember 2018HelpfulShare")</f>
        <v>Everything I neededStayed here on a business trip and I found I had everything I needed. The 
staff were friendly and polite and the hotel was presented in a clean and 
well looked after manner. I really could not fault my stay.Read moreDate of 
stay: September 2018HelpfulShare</v>
      </c>
      <c r="L164" s="21"/>
      <c r="M164" s="21" t="str">
        <f ca="1">IFERROR(__xludf.DUMMYFUNCTION("IMPORTXML(C164, $M$1)"),"Irina S wrote a review Sep 20181 contribution")</f>
        <v>Irina S wrote a review Sep 20181 contribution</v>
      </c>
      <c r="N164" s="4" t="str">
        <f ca="1">IFERROR(__xludf.DUMMYFUNCTION("""COMPUTED_VALUE"""),"Miss I SurducanI was very pleased with the speedy, professional check-in and the 
willingness of the staff to accommodate all my needs. I ordered food at the 
bar and Marcio Edsa and Sinem Adelina served me splendidly. I was impressed 
by their customer s"&amp;"ervice skills and with how welcome they made me feel. 
Another plus is that everything is crisp and neat, as the hotel was 
recently refurbished. Would recommend staying at this hotel.Read moreDate 
of stay: September 2018HelpfulShare")</f>
        <v>Miss I SurducanI was very pleased with the speedy, professional check-in and the 
willingness of the staff to accommodate all my needs. I ordered food at the 
bar and Marcio Edsa and Sinem Adelina served me splendidly. I was impressed 
by their customer service skills and with how welcome they made me feel. 
Another plus is that everything is crisp and neat, as the hotel was 
recently refurbished. Would recommend staying at this hotel.Read moreDate 
of stay: September 2018HelpfulShare</v>
      </c>
      <c r="O164" s="21"/>
      <c r="P164" s="21" t="str">
        <f ca="1">IFERROR(__xludf.DUMMYFUNCTION("IMPORTXML(C164, $P$1)"),"#N/A")</f>
        <v>#N/A</v>
      </c>
      <c r="U164" s="4" t="str">
        <f ca="1">IFERROR(__xludf.DUMMYFUNCTION("IMPORTXML(C165,$U$1)"),"Loading...")</f>
        <v>Loading...</v>
      </c>
    </row>
    <row r="165" spans="1:21" ht="15">
      <c r="A165" s="25" t="s">
        <v>12875</v>
      </c>
      <c r="B165" s="17" t="s">
        <v>126</v>
      </c>
      <c r="C165" s="23" t="str">
        <f t="shared" si="0"/>
        <v>https://www.tripadvisor.co.uk/Hotel_Review-g186338-d1812157-Reviews-or815-Travelodge_London_Waterloo_Hotel-London_England.html#REVIEWS</v>
      </c>
      <c r="D165" s="4" t="str">
        <f ca="1">IFERROR(__xludf.DUMMYFUNCTION("IMPORTXML(C165,$D$1)"),"#N/A")</f>
        <v>#N/A</v>
      </c>
      <c r="G165" s="24" t="str">
        <f ca="1">IFERROR(__xludf.DUMMYFUNCTION("IMPORTXML(C165, $G$1)"),"gmira2018 wrote a review Sep 2018Valencia, Spain1 contribution1 helpful vote")</f>
        <v>gmira2018 wrote a review Sep 2018Valencia, Spain1 contribution1 helpful vote</v>
      </c>
      <c r="H165" s="4" t="str">
        <f ca="1">IFERROR(__xludf.DUMMYFUNCTION("""COMPUTED_VALUE"""),"excelentUnbeatable price and location, very close to Londe eye. If a have to 
recommed a hotel in London at excelent conditons I could never have a 
doubt. But specially congratulations to the most of the staff I met, that 
had supreme attention to my fam"&amp;"ily.Read moreDate of stay: September 20181 
Helpful voteHelpfulShare")</f>
        <v>excelentUnbeatable price and location, very close to Londe eye. If a have to 
recommed a hotel in London at excelent conditons I could never have a 
doubt. But specially congratulations to the most of the staff I met, that 
had supreme attention to my family.Read moreDate of stay: September 20181 
Helpful voteHelpfulShare</v>
      </c>
      <c r="I165" s="21"/>
      <c r="J165" s="21" t="str">
        <f ca="1">IFERROR(__xludf.DUMMYFUNCTION("IMPORTXML(C165, $J$1)"),"Fruitloaf wrote a review Sep 2018Glasgow, United Kingdom422 contributions54 
helpful votes")</f>
        <v>Fruitloaf wrote a review Sep 2018Glasgow, United Kingdom422 contributions54 
helpful votes</v>
      </c>
      <c r="K165" s="4" t="str">
        <f ca="1">IFERROR(__xludf.DUMMYFUNCTION("""COMPUTED_VALUE"""),"Great location, price and staff.Great location ....a few minutes walk from Waterloo train &amp; tube station. 
Less than 10 minutes walk for all najor attractions north and south of the 
Thames! Rooms are basic, clean, good bed and bedding. Air conditioning i"&amp;"n 
the room and tea and coffee facilities in the room and TV. No drawers , 
hanging space only. Dispenser soap for sink and shower. 
Housekeepers....thankyou too! Very quiet. Some hotels can be very noisy. 
Hairdryer and iron available at front desk. Ask "&amp;"for these at check-in. We 
were late for breakfast on our check-out day but the young lady let us in 
and told us to take what we wanted that which was left. Plentiful! And 
thank you. 2 small lifts....1 was out of action. Small bar area that was 
comfort"&amp;"able and adequate and a good vantage point to watch all 
visitors…Read moreDate of stay: September 20182 Helpful votesHelpfulShare")</f>
        <v>Great location, price and staff.Great location ....a few minutes walk from Waterloo train &amp; tube station. 
Less than 10 minutes walk for all najor attractions north and south of the 
Thames! Rooms are basic, clean, good bed and bedding. Air conditioning in 
the room and tea and coffee facilities in the room and TV. No drawers , 
hanging space only. Dispenser soap for sink and shower. 
Housekeepers....thankyou too! Very quiet. Some hotels can be very noisy. 
Hairdryer and iron available at front desk. Ask for these at check-in. We 
were late for breakfast on our check-out day but the young lady let us in 
and told us to take what we wanted that which was left. Plentiful! And 
thank you. 2 small lifts....1 was out of action. Small bar area that was 
comfortable and adequate and a good vantage point to watch all 
visitors…Read moreDate of stay: September 20182 Helpful votesHelpfulShare</v>
      </c>
      <c r="L165" s="21"/>
      <c r="M165" s="21" t="str">
        <f ca="1">IFERROR(__xludf.DUMMYFUNCTION("IMPORTXML(C165, $M$1)"),"201raymondw wrote a review Sep 2018Swansea, United Kingdom9 contributions2 
helpful votes")</f>
        <v>201raymondw wrote a review Sep 2018Swansea, United Kingdom9 contributions2 
helpful votes</v>
      </c>
      <c r="N165" s="4" t="str">
        <f ca="1">IFERROR(__xludf.DUMMYFUNCTION("""COMPUTED_VALUE"""),"Good value , convenient location.We stayed here for a long weekend. Excellent value when you consider prices 
in many hotels.Have stayed in many travellodges but found this one the 
best. Same type of accommodation, small ensuite , but seemed more bedroom"&amp;" 
space. This hotel has had a recent update, and it showed. The breakfast was 
very good with excellent choices, the dining area much better not so 
“canteen like” as in many lodges. Very clean , and the staff friendly.The 
location is very good , just a "&amp;"short walk to Waterloo Bridge with the South 
bank on the right with the many attractions , Eye , Dungeon etc. Cross the 
bridge and you are in Covent Garden and theatre land. Am travelling to 
London in December and will definitely stay here again.Read m"&amp;"oreReview 
collected in partnership with this hotelDate of stay: September 20181 
Helpful voteHelpfulShare")</f>
        <v>Good value , convenient location.We stayed here for a long weekend. Excellent value when you consider prices 
in many hotels.Have stayed in many travellodges but found this one the 
best. Same type of accommodation, small ensuite , but seemed more bedroom 
space. This hotel has had a recent update, and it showed. The breakfast was 
very good with excellent choices, the dining area much better not so 
“canteen like” as in many lodges. Very clean , and the staff friendly.The 
location is very good , just a short walk to Waterloo Bridge with the South 
bank on the right with the many attractions , Eye , Dungeon etc. Cross the 
bridge and you are in Covent Garden and theatre land. Am travelling to 
London in December and will definitely stay here again.Read moreReview 
collected in partnership with this hotelDate of stay: September 20181 
Helpful voteHelpfulShare</v>
      </c>
      <c r="O165" s="21"/>
      <c r="P165" s="21" t="str">
        <f ca="1">IFERROR(__xludf.DUMMYFUNCTION("IMPORTXML(C165, $P$1)"),"434annamarieh wrote a review Sep 20182 contributions2 helpful votes")</f>
        <v>434annamarieh wrote a review Sep 20182 contributions2 helpful votes</v>
      </c>
      <c r="Q165" s="4" t="str">
        <f ca="1">IFERROR(__xludf.DUMMYFUNCTION("""COMPUTED_VALUE"""),"Excellent location for South Bank and Central LondonA fresh look Travelodge, bigger than usual room very comfy bed and 
pillows.only grumble was a broken lift, slowed everything down as reduced 
to one lift for a big hotel. a minor complaint I would say o"&amp;"n an otherwise 
excellent budget priced hotel.Read moreReview collected in partnership with 
TravelodgeDate of stay: September 20181 Helpful voteHelpfulShare")</f>
        <v>Excellent location for South Bank and Central LondonA fresh look Travelodge, bigger than usual room very comfy bed and 
pillows.only grumble was a broken lift, slowed everything down as reduced 
to one lift for a big hotel. a minor complaint I would say on an otherwise 
excellent budget priced hotel.Read moreReview collected in partnership with 
TravelodgeDate of stay: September 20181 Helpful voteHelpfulShare</v>
      </c>
      <c r="U165" s="4" t="str">
        <f ca="1">IFERROR(__xludf.DUMMYFUNCTION("IMPORTXML(C166,$U$1)"),"Loading...")</f>
        <v>Loading...</v>
      </c>
    </row>
    <row r="166" spans="1:21" ht="15">
      <c r="A166" s="25" t="s">
        <v>12941</v>
      </c>
      <c r="B166" s="17" t="s">
        <v>126</v>
      </c>
      <c r="C166" s="23" t="str">
        <f t="shared" si="0"/>
        <v>https://www.tripadvisor.co.uk/Hotel_Review-g186338-d1812157-Reviews-or820-Travelodge_London_Waterloo_Hotel-London_England.html#REVIEWS</v>
      </c>
      <c r="D166" s="4" t="str">
        <f ca="1">IFERROR(__xludf.DUMMYFUNCTION("IMPORTXML(C166,$D$1)"),"#N/A")</f>
        <v>#N/A</v>
      </c>
      <c r="G166" s="24" t="str">
        <f ca="1">IFERROR(__xludf.DUMMYFUNCTION("IMPORTXML(C166, $G$1)"),"elainemartin1 wrote a review Sep 2018Penrith, United Kingdom19 
contributions7 helpful votes")</f>
        <v>elainemartin1 wrote a review Sep 2018Penrith, United Kingdom19 
contributions7 helpful votes</v>
      </c>
      <c r="H166" s="4" t="str">
        <f ca="1">IFERROR(__xludf.DUMMYFUNCTION("""COMPUTED_VALUE"""),"Weekend tripStay here over the weekend. Great location short walk from Waterloo station 
and underground. Walk a little further down to Southbank and the Thames. 
Room was lovely and clean quite small for a double room but suited us for a 
one night stay "&amp;". Small bar area which extended through to more seating 
through the back. Which chose a 3rd floor room, one of the lifts was broken 
so we were pleased it wasn't on the 8th floor as we could use the fire exit 
stairs instead of queuing at busy times . Fo"&amp;"r location wise would 
definitely stay here again.Read moreDate of stay: September 20181 Helpful 
voteHelpfulShare")</f>
        <v>Weekend tripStay here over the weekend. Great location short walk from Waterloo station 
and underground. Walk a little further down to Southbank and the Thames. 
Room was lovely and clean quite small for a double room but suited us for a 
one night stay . Small bar area which extended through to more seating 
through the back. Which chose a 3rd floor room, one of the lifts was broken 
so we were pleased it wasn't on the 8th floor as we could use the fire exit 
stairs instead of queuing at busy times . For location wise would 
definitely stay here again.Read moreDate of stay: September 20181 Helpful 
voteHelpfulShare</v>
      </c>
      <c r="I166" s="21"/>
      <c r="J166" s="21" t="str">
        <f ca="1">IFERROR(__xludf.DUMMYFUNCTION("IMPORTXML(C166, $J$1)"),"Terry0866 wrote a review Sep 201810 contributions1 helpful vote")</f>
        <v>Terry0866 wrote a review Sep 201810 contributions1 helpful vote</v>
      </c>
      <c r="K166" s="4" t="str">
        <f ca="1">IFERROR(__xludf.DUMMYFUNCTION("""COMPUTED_VALUE"""),"Budget no frills good hotelI suppose for the price we paid it’s a good option with great breakfast. 
It’s centrally located with Waterloo station being v close, hence a lot of 
options exploring London via tube &amp; train. Best what my son proposed was to 
b"&amp;"uy a weekly/7 day zone 1&amp;2 travel pass on oyster card which gave us 
unlimited options if travelling on bus &amp; tube within central London.anyways 
good Hotel however do not expect much luxury or fancy stuff except it’s one 
of the very few AC travelodges i"&amp;"n UKRead moreDate of stay: August 20181 
Helpful voteHelpfulShare")</f>
        <v>Budget no frills good hotelI suppose for the price we paid it’s a good option with great breakfast. 
It’s centrally located with Waterloo station being v close, hence a lot of 
options exploring London via tube &amp; train. Best what my son proposed was to 
buy a weekly/7 day zone 1&amp;2 travel pass on oyster card which gave us 
unlimited options if travelling on bus &amp; tube within central London.anyways 
good Hotel however do not expect much luxury or fancy stuff except it’s one 
of the very few AC travelodges in UKRead moreDate of stay: August 20181 
Helpful voteHelpfulShare</v>
      </c>
      <c r="L166" s="21"/>
      <c r="M166" s="21" t="str">
        <f ca="1">IFERROR(__xludf.DUMMYFUNCTION("IMPORTXML(C166, $M$1)"),"juliepp2016 wrote a review Sep 2018Portsmouth, United Kingdom4 
contributions1 helpful vote")</f>
        <v>juliepp2016 wrote a review Sep 2018Portsmouth, United Kingdom4 
contributions1 helpful vote</v>
      </c>
      <c r="N166" s="4" t="str">
        <f ca="1">IFERROR(__xludf.DUMMYFUNCTION("""COMPUTED_VALUE"""),"Great LoctionGreat hotel. I always book this hotel when I stay in London fro concerts. 
Only a few minutes walk from Waterloo Station and in a quiet location. This 
hotel has recently been updated and looks great. Very friendly staff and 
clean rooms.Read"&amp;" moreReview collected in partnership with this hotelDate of 
stay: August 20181 Helpful voteHelpfulShare")</f>
        <v>Great LoctionGreat hotel. I always book this hotel when I stay in London fro concerts. 
Only a few minutes walk from Waterloo Station and in a quiet location. This 
hotel has recently been updated and looks great. Very friendly staff and 
clean rooms.Read moreReview collected in partnership with this hotelDate of 
stay: August 20181 Helpful voteHelpfulShare</v>
      </c>
      <c r="O166" s="21"/>
      <c r="P166" s="21" t="str">
        <f ca="1">IFERROR(__xludf.DUMMYFUNCTION("IMPORTXML(C166, $P$1)"),"Rainforests &amp; Rollercoasters wrote a review Sep 2018london - uk1,305 
contributions63 helpful votes")</f>
        <v>Rainforests &amp; Rollercoasters wrote a review Sep 2018london - uk1,305 
contributions63 helpful votes</v>
      </c>
      <c r="Q166" s="4" t="str">
        <f ca="1">IFERROR(__xludf.DUMMYFUNCTION("""COMPUTED_VALUE"""),"Great value for money in central location - new rooms are goodWe were going out for the night in London so booked this as a stopover. We 
had one of the newer premier rooms and it was large, comfortable, clean and 
we were very pleased with it. We tried o"&amp;"ut the bar/restaurant and whilst it 
filled a hole I wouldn't eat there again. The burgers were not great but 
chips were fine. Good value happy hour drinks before going out!Read 
moreDate of stay: August 2018HelpfulShare")</f>
        <v>Great value for money in central location - new rooms are goodWe were going out for the night in London so booked this as a stopover. We 
had one of the newer premier rooms and it was large, comfortable, clean and 
we were very pleased with it. We tried out the bar/restaurant and whilst it 
filled a hole I wouldn't eat there again. The burgers were not great but 
chips were fine. Good value happy hour drinks before going out!Read 
moreDate of stay: August 2018HelpfulShare</v>
      </c>
      <c r="U166" s="4" t="str">
        <f ca="1">IFERROR(__xludf.DUMMYFUNCTION("IMPORTXML(C167,$U$1)"),"Loading...")</f>
        <v>Loading...</v>
      </c>
    </row>
    <row r="167" spans="1:21" ht="15">
      <c r="A167" s="5" t="s">
        <v>13001</v>
      </c>
      <c r="B167" s="17" t="s">
        <v>126</v>
      </c>
      <c r="C167" s="23" t="str">
        <f t="shared" si="0"/>
        <v>https://www.tripadvisor.co.uk/Hotel_Review-g186338-d1812157-Reviews-or825-Travelodge_London_Waterloo_Hotel-London_England.html#REVIEWS</v>
      </c>
      <c r="D167" s="4" t="str">
        <f ca="1">IFERROR(__xludf.DUMMYFUNCTION("IMPORTXML(C167,$D$1)"),"Stephen H wrote a review Sep 2018Devon, England104 contributions61 helpful 
votes")</f>
        <v>Stephen H wrote a review Sep 2018Devon, England104 contributions61 helpful 
votes</v>
      </c>
      <c r="E167" s="4" t="str">
        <f ca="1">IFERROR(__xludf.DUMMYFUNCTION("""COMPUTED_VALUE"""),"Excellent value in a good locationThe main reason for staying here was the price, cheap for central London. 
Good location very close to Waterloo Station and various South Bank 
attractions. Room was big and comfortable enough, a couple of items were 
mis"&amp;"sing from the room but these got quickly replaced. Good bar area and 
great service in this and the restaurant, also on reception. Would give it 
4 stars normally but 5 stars considering the price !Read moreDate of stay: 
August 20181 Helpful voteHelpfulS"&amp;"hare")</f>
        <v>Excellent value in a good locationThe main reason for staying here was the price, cheap for central London. 
Good location very close to Waterloo Station and various South Bank 
attractions. Room was big and comfortable enough, a couple of items were 
missing from the room but these got quickly replaced. Good bar area and 
great service in this and the restaurant, also on reception. Would give it 
4 stars normally but 5 stars considering the price !Read moreDate of stay: 
August 20181 Helpful voteHelpfulShare</v>
      </c>
      <c r="G167" s="24" t="str">
        <f ca="1">IFERROR(__xludf.DUMMYFUNCTION("IMPORTXML(C167, $G$1)"),"adam1506 wrote a review Sep 2018Norwich, United Kingdom50 contributions16 
helpful votes")</f>
        <v>adam1506 wrote a review Sep 2018Norwich, United Kingdom50 contributions16 
helpful votes</v>
      </c>
      <c r="H167" s="4" t="str">
        <f ca="1">IFERROR(__xludf.DUMMYFUNCTION("""COMPUTED_VALUE"""),"Very averageI only stayed here for one night thankfully, when going to my room one of 
the 2 lifts wasn’t working making this a slow process, then when getting 
into the room I had no soap and it wasn’t particularly clean, pretty dusty 
the breakfast is a"&amp;"lso terrible wouldn’t advise spending the £9. The hotel 
is in a good location and the staff were quite friendly, not in a hurry to 
return.Read moreDate of stay: September 2018HelpfulShareResponse from 
TravelodgeUK, Shaf from the Social Media Team. at T"&amp;"ravelodge London 
Waterloo HotelResponded 13 Sep 2018Thank you for reviewing our London 
Waterloo Travelodge. We're pleased to hear you found our hotel team to be 
friendly and sorry to learn of your disappointment with the breakfast. We 
do apologise the"&amp;" 2 lifts were not working and your soap dispenser was empty 
on this occasion. Feedback is invaluable and our Hotel Managers regularly 
review their TripAdvisor reviews in order to fix any issues raised and pass 
on feedback to their team. Thank you once "&amp;"again and we do hope you will 
stay with us in the future.Read more")</f>
        <v>Very averageI only stayed here for one night thankfully, when going to my room one of 
the 2 lifts wasn’t working making this a slow process, then when getting 
into the room I had no soap and it wasn’t particularly clean, pretty dusty 
the breakfast is also terrible wouldn’t advise spending the £9. The hotel 
is in a good location and the staff were quite friendly, not in a hurry to 
return.Read moreDate of stay: September 2018HelpfulShareResponse from 
TravelodgeUK, Shaf from the Social Media Team. at Travelodge London 
Waterloo HotelResponded 13 Sep 2018Thank you for reviewing our London 
Waterloo Travelodge. We're pleased to hear you found our hotel team to be 
friendly and sorry to learn of your disappointment with the breakfast. We 
do apologise the 2 lifts were not working and your soap dispenser was empty 
on this occasion. Feedback is invaluable and our Hotel Managers regularly 
review their TripAdvisor reviews in order to fix any issues raised and pass 
on feedback to their team. Thank you once again and we do hope you will 
stay with us in the future.Read more</v>
      </c>
      <c r="I167" s="21"/>
      <c r="J167" s="21" t="str">
        <f ca="1">IFERROR(__xludf.DUMMYFUNCTION("IMPORTXML(C167, $J$1)"),"Crt187 wrote a review Sep 2018Sheffield, United Kingdom55 contributions17 
helpful votes")</f>
        <v>Crt187 wrote a review Sep 2018Sheffield, United Kingdom55 contributions17 
helpful votes</v>
      </c>
      <c r="K167" s="4" t="str">
        <f ca="1">IFERROR(__xludf.DUMMYFUNCTION("""COMPUTED_VALUE"""),"Pleasant stay.Nice hotel, with good offers on dining in. Room includes all basics e.g 
tea/coffee making facilities, iron etc. This hotel is in a good location 
only a few minutes walk from the underground. Reception staff polite, 
professional, friendly "&amp;"and eager to please. Ibrahim on reception was very 
engaging and considerate.Read moreDate of stay: September 2018HelpfulShare")</f>
        <v>Pleasant stay.Nice hotel, with good offers on dining in. Room includes all basics e.g 
tea/coffee making facilities, iron etc. This hotel is in a good location 
only a few minutes walk from the underground. Reception staff polite, 
professional, friendly and eager to please. Ibrahim on reception was very 
engaging and considerate.Read moreDate of stay: September 2018HelpfulShare</v>
      </c>
      <c r="L167" s="21"/>
      <c r="M167" s="21" t="str">
        <f ca="1">IFERROR(__xludf.DUMMYFUNCTION("IMPORTXML(C167, $M$1)"),"trevorandbrenda wrote a review Sep 2018Kidderminster, United Kingdom15 
contributions16 helpful votes")</f>
        <v>trevorandbrenda wrote a review Sep 2018Kidderminster, United Kingdom15 
contributions16 helpful votes</v>
      </c>
      <c r="N167" s="4" t="str">
        <f ca="1">IFERROR(__xludf.DUMMYFUNCTION("""COMPUTED_VALUE"""),"Not as good as previous visitsOn arrival we were given the door card of a room that was already occupied. 
The breakfasts were not as well cooked as previous visits. Had to wait for 
sausages to be cooked. Not enough towels in room for a couple.Read 
more"&amp;"Review collected in partnership with TravelodgeDate of stay: September 
2018HelpfulShareResponse from TravelodgeUK, Shaf from the Social Media 
Team. at Travelodge London Waterloo HotelResponded 13 Sep 2018Thank you for 
reviewing our London Waterloo Trav"&amp;"elodge. We're really sorry to learn you 
were provided with a occupied room and that your were unhappy with the 
breakfast on this occasion. Feedback is invaluable and our Hotel Managers 
regularly review their TripAdvisor reviews in order to fix any issu"&amp;"es 
raised and pass on feedback to their team. Thank you once again and we do 
hope you will stay with us in the future.Read more")</f>
        <v>Not as good as previous visitsOn arrival we were given the door card of a room that was already occupied. 
The breakfasts were not as well cooked as previous visits. Had to wait for 
sausages to be cooked. Not enough towels in room for a couple.Read 
moreReview collected in partnership with TravelodgeDate of stay: September 
2018HelpfulShareResponse from TravelodgeUK, Shaf from the Social Media 
Team. at Travelodge London Waterloo HotelResponded 13 Sep 2018Thank you for 
reviewing our London Waterloo Travelodge. We're really sorry to learn you 
were provided with a occupied room and that your were unhappy with the 
breakfast on this occasion. Feedback is invaluable and our Hotel Managers 
regularly review their TripAdvisor reviews in order to fix any issues 
raised and pass on feedback to their team. Thank you once again and we do 
hope you will stay with us in the future.Read more</v>
      </c>
      <c r="O167" s="21"/>
      <c r="P167" s="21" t="str">
        <f ca="1">IFERROR(__xludf.DUMMYFUNCTION("IMPORTXML(C167, $P$1)"),"Debi J wrote a review Sep 20182 contributions")</f>
        <v>Debi J wrote a review Sep 20182 contributions</v>
      </c>
      <c r="Q167" s="4" t="str">
        <f ca="1">IFERROR(__xludf.DUMMYFUNCTION("""COMPUTED_VALUE"""),"EXCELLENT HOTEL IN WATERLOOThe hotel was clean, the staff was friendly and the location was 
excellent!! The reception bar area is bustling and it is easy to grab a 
drink and something quick to eat. The staff were very accommodating storing 
luggage befo"&amp;"re check-in and after check-out.Read moreReview collected in 
partnership with TravelodgeDate of stay: September 20181 Helpful 
voteHelpfulShare")</f>
        <v>EXCELLENT HOTEL IN WATERLOOThe hotel was clean, the staff was friendly and the location was 
excellent!! The reception bar area is bustling and it is easy to grab a 
drink and something quick to eat. The staff were very accommodating storing 
luggage before check-in and after check-out.Read moreReview collected in 
partnership with TravelodgeDate of stay: September 20181 Helpful 
voteHelpfulShare</v>
      </c>
      <c r="U167" s="4" t="str">
        <f ca="1">IFERROR(__xludf.DUMMYFUNCTION("IMPORTXML(C168,$U$1)"),"Loading...")</f>
        <v>Loading...</v>
      </c>
    </row>
    <row r="168" spans="1:21" ht="15">
      <c r="A168" s="25" t="s">
        <v>13095</v>
      </c>
      <c r="B168" s="17" t="s">
        <v>126</v>
      </c>
      <c r="C168" s="23" t="str">
        <f t="shared" si="0"/>
        <v>https://www.tripadvisor.co.uk/Hotel_Review-g186338-d1812157-Reviews-or830-Travelodge_London_Waterloo_Hotel-London_England.html#REVIEWS</v>
      </c>
      <c r="D168" s="4" t="str">
        <f ca="1">IFERROR(__xludf.DUMMYFUNCTION("IMPORTXML(C168,$D$1)"),"#N/A")</f>
        <v>#N/A</v>
      </c>
      <c r="G168" s="24" t="str">
        <f ca="1">IFERROR(__xludf.DUMMYFUNCTION("IMPORTXML(C168, $G$1)"),"#N/A")</f>
        <v>#N/A</v>
      </c>
      <c r="I168" s="21"/>
      <c r="J168" s="21" t="str">
        <f ca="1">IFERROR(__xludf.DUMMYFUNCTION("IMPORTXML(C168, $J$1)"),"Garry M wrote a review Sep 2018Birmingham, United Kingdom172 
contributions80 helpful votes")</f>
        <v>Garry M wrote a review Sep 2018Birmingham, United Kingdom172 
contributions80 helpful votes</v>
      </c>
      <c r="K168" s="4" t="str">
        <f ca="1">IFERROR(__xludf.DUMMYFUNCTION("""COMPUTED_VALUE"""),"Good staySo walking distance from Waterloo station 68 bus goes past from Euston 
Hotel has visibly been refurbished , we had a standard family room and it 
was fine. Shower gel free and tea &amp; coffee in room plus AC. Family set up 
for three adults is a do"&amp;"uble and 2 put me up singles but they are 
comfortable. Curtains aren’t as blackout as some hotels . There over 
weekend but no noise. All you can eat breakfast is good quality with brand 
name foods including veggie sausages if you want them and no wait "&amp;"are there 
on the hot plate. Food is fresh well stocked and hot which is an 
achievement and even in busy periods the staff kept very well stocked. 
Pizza 24/7 from reception. All staff very friendly. All in all a very good 
central Travelodge hotel. One "&amp;"moan only one lift working but…Read moreDate 
of stay: September 2018HelpfulShare")</f>
        <v>Good staySo walking distance from Waterloo station 68 bus goes past from Euston 
Hotel has visibly been refurbished , we had a standard family room and it 
was fine. Shower gel free and tea &amp; coffee in room plus AC. Family set up 
for three adults is a double and 2 put me up singles but they are 
comfortable. Curtains aren’t as blackout as some hotels . There over 
weekend but no noise. All you can eat breakfast is good quality with brand 
name foods including veggie sausages if you want them and no wait are there 
on the hot plate. Food is fresh well stocked and hot which is an 
achievement and even in busy periods the staff kept very well stocked. 
Pizza 24/7 from reception. All staff very friendly. All in all a very good 
central Travelodge hotel. One moan only one lift working but…Read moreDate 
of stay: September 2018HelpfulShare</v>
      </c>
      <c r="L168" s="21"/>
      <c r="M168" s="21" t="str">
        <f ca="1">IFERROR(__xludf.DUMMYFUNCTION("IMPORTXML(C168, $M$1)"),"#N/A")</f>
        <v>#N/A</v>
      </c>
      <c r="O168" s="21"/>
      <c r="P168" s="21" t="str">
        <f ca="1">IFERROR(__xludf.DUMMYFUNCTION("IMPORTXML(C168, $P$1)"),"596mavis wrote a review Sep 2018Bournemouth, United Kingdom8 contributions1 
helpful vote")</f>
        <v>596mavis wrote a review Sep 2018Bournemouth, United Kingdom8 contributions1 
helpful vote</v>
      </c>
      <c r="Q168" s="4" t="str">
        <f ca="1">IFERROR(__xludf.DUMMYFUNCTION("""COMPUTED_VALUE"""),"Comfortable stayThe lodge was close to Waterloo train station and convenient for our stay. 
Our room was at the back of the lodge and so was very quiet. The room was 
very clean and had everything that we needed.The beds were hard but we do 
like soft bed"&amp;"s. It was very handy having the restaurant on site for an 
evening meal and the prices were very reasonable-2 courses for £12. The 
food was average and slightly over cooked.It was a buffet breakfast with 
plenty of choice of fruit, cereal, yogurt, cooked"&amp;", toast, croissant,tea and 
coffee. You could have as much as you liked.Overall it met our needs very 
well for an overnight stay in London tomsee a show. I would use it 
again.Read moreReview collected in partnership with TravelodgeDate of stay: 
August "&amp;"2018HelpfulShare")</f>
        <v>Comfortable stayThe lodge was close to Waterloo train station and convenient for our stay. 
Our room was at the back of the lodge and so was very quiet. The room was 
very clean and had everything that we needed.The beds were hard but we do 
like soft beds. It was very handy having the restaurant on site for an 
evening meal and the prices were very reasonable-2 courses for £12. The 
food was average and slightly over cooked.It was a buffet breakfast with 
plenty of choice of fruit, cereal, yogurt, cooked, toast, croissant,tea and 
coffee. You could have as much as you liked.Overall it met our needs very 
well for an overnight stay in London tomsee a show. I would use it 
again.Read moreReview collected in partnership with TravelodgeDate of stay: 
August 2018HelpfulShare</v>
      </c>
      <c r="U168" s="4" t="str">
        <f ca="1">IFERROR(__xludf.DUMMYFUNCTION("IMPORTXML(C169,$U$1)"),"Loading...")</f>
        <v>Loading...</v>
      </c>
    </row>
    <row r="169" spans="1:21" ht="15">
      <c r="A169" s="25" t="s">
        <v>13163</v>
      </c>
      <c r="B169" s="17" t="s">
        <v>126</v>
      </c>
      <c r="C169" s="23" t="str">
        <f t="shared" si="0"/>
        <v>https://www.tripadvisor.co.uk/Hotel_Review-g186338-d1812157-Reviews-or835-Travelodge_London_Waterloo_Hotel-London_England.html#REVIEWS</v>
      </c>
      <c r="D169" s="4" t="str">
        <f ca="1">IFERROR(__xludf.DUMMYFUNCTION("IMPORTXML(C169,$D$1)"),"#N/A")</f>
        <v>#N/A</v>
      </c>
      <c r="G169" s="24" t="str">
        <f ca="1">IFERROR(__xludf.DUMMYFUNCTION("IMPORTXML(C169, $G$1)"),"Herps wrote a review Sep 2018Birmingham, United Kingdom458 contributions96 
helpful votes")</f>
        <v>Herps wrote a review Sep 2018Birmingham, United Kingdom458 contributions96 
helpful votes</v>
      </c>
      <c r="H169" s="4" t="str">
        <f ca="1">IFERROR(__xludf.DUMMYFUNCTION("""COMPUTED_VALUE"""),"Good Stay, Good Breakfast, Good AllrounderA good base for a short stay in London. Clean and well kept, the room was 
fresh and tidy and the breakfast was nice. A cheap traditional travel Lodge 
so can't knock it for the price in a great location, close to"&amp;" waterloo and 
elephant and castle.Read moreDate of stay: August 2018HelpfulShare")</f>
        <v>Good Stay, Good Breakfast, Good AllrounderA good base for a short stay in London. Clean and well kept, the room was 
fresh and tidy and the breakfast was nice. A cheap traditional travel Lodge 
so can't knock it for the price in a great location, close to waterloo and 
elephant and castle.Read moreDate of stay: August 2018HelpfulShare</v>
      </c>
      <c r="I169" s="21"/>
      <c r="J169" s="21" t="str">
        <f ca="1">IFERROR(__xludf.DUMMYFUNCTION("IMPORTXML(C169, $J$1)"),"mcuktravel wrote a review Sep 2018Wembury, United Kingdom77 contributions33 
helpful votes")</f>
        <v>mcuktravel wrote a review Sep 2018Wembury, United Kingdom77 contributions33 
helpful votes</v>
      </c>
      <c r="K169" s="4" t="str">
        <f ca="1">IFERROR(__xludf.DUMMYFUNCTION("""COMPUTED_VALUE"""),"Perfect city break hotelStayed here for one night. Had a small wait in reception to check in but 
this was due to a fault with the machines. We chose the cheapest, most 
basic room and each had a fantastic sleep. Beds were very comfortable. The 
air-condi"&amp;"tioning was very effective also. Only complaint was the fact that 
there were no installed hairdryers in the room so you have to notify 
reception. A bit inconvenient. I would recommend this hotel to anyone 
looking for a base on a sightseeing trip to Lon"&amp;"don. The hotel is only a 
small walk from Waterloo station. Tubes are definitely the most effective 
way to travel around. Don't bother with oysters or paper tickets for tubes, 
just use contactless cards. All costs for the day are capped at £6.80, any 
t"&amp;"ravel beyond that is free. Familiarise yourself with…Read moreDate of 
stay: September 20182 Helpful votesHelpfulShare")</f>
        <v>Perfect city break hotelStayed here for one night. Had a small wait in reception to check in but 
this was due to a fault with the machines. We chose the cheapest, most 
basic room and each had a fantastic sleep. Beds were very comfortable. The 
air-conditioning was very effective also. Only complaint was the fact that 
there were no installed hairdryers in the room so you have to notify 
reception. A bit inconvenient. I would recommend this hotel to anyone 
looking for a base on a sightseeing trip to London. The hotel is only a 
small walk from Waterloo station. Tubes are definitely the most effective 
way to travel around. Don't bother with oysters or paper tickets for tubes, 
just use contactless cards. All costs for the day are capped at £6.80, any 
travel beyond that is free. Familiarise yourself with…Read moreDate of 
stay: September 20182 Helpful votesHelpfulShare</v>
      </c>
      <c r="L169" s="21"/>
      <c r="M169" s="21" t="str">
        <f ca="1">IFERROR(__xludf.DUMMYFUNCTION("IMPORTXML(C169, $M$1)"),"Barry D wrote a review Sep 20187 contributions1 helpful vote")</f>
        <v>Barry D wrote a review Sep 20187 contributions1 helpful vote</v>
      </c>
      <c r="N169" s="4" t="str">
        <f ca="1">IFERROR(__xludf.DUMMYFUNCTION("""COMPUTED_VALUE"""),"Great StayThis was a great hotel. Located just a quick 5 minute walk from Waterloo 
station and nearby shops and not even that far to walk into central London. 
The location was brilliant and the rates very reasonable. Staff were 
incredibly friendly and "&amp;"helpful. Room was spacious and very clean with a 
modern decour. Nice view of The Shard from my room as well. Go for a room 
on a higher floor when they ask you if you have a floor preference. The 
elevators were a little slow sometimes to come up onto th"&amp;"e higher floors 
and not all packages include Wifi. I do think that a hotel in the 21st 
century should have free wifi for all guests but other than those little 
things this was a great budget hotel in a great location and I enjoyed my 
stay. Would recom"&amp;"mend booking hereRead moreReview collected in partnership 
with TravelodgeDate of stay: August 20181 Helpful voteHelpfulShare")</f>
        <v>Great StayThis was a great hotel. Located just a quick 5 minute walk from Waterloo 
station and nearby shops and not even that far to walk into central London. 
The location was brilliant and the rates very reasonable. Staff were 
incredibly friendly and helpful. Room was spacious and very clean with a 
modern decour. Nice view of The Shard from my room as well. Go for a room 
on a higher floor when they ask you if you have a floor preference. The 
elevators were a little slow sometimes to come up onto the higher floors 
and not all packages include Wifi. I do think that a hotel in the 21st 
century should have free wifi for all guests but other than those little 
things this was a great budget hotel in a great location and I enjoyed my 
stay. Would recommend booking hereRead moreReview collected in partnership 
with TravelodgeDate of stay: August 20181 Helpful voteHelpfulShare</v>
      </c>
      <c r="O169" s="21"/>
      <c r="P169" s="21" t="str">
        <f ca="1">IFERROR(__xludf.DUMMYFUNCTION("IMPORTXML(C169, $P$1)"),"Sara B wrote a review Sep 2018Guernsey, United Kingdom65 contributions14 
helpful votes")</f>
        <v>Sara B wrote a review Sep 2018Guernsey, United Kingdom65 contributions14 
helpful votes</v>
      </c>
      <c r="Q169" s="4" t="str">
        <f ca="1">IFERROR(__xludf.DUMMYFUNCTION("""COMPUTED_VALUE"""),"Quick trip to LondonI chose this hotel due to its location close to Waterloo Train station. It 
is very close and easy to find. Clean spacious entrance. Friendly welcome. 
I got a room on the ground floor so did have noise from the street during 
the nigh"&amp;"t but I was not disturbed too much. Clean room, clean basic shower 
room. I would stay again.Read moreDate of stay: September 2018HelpfulShare")</f>
        <v>Quick trip to LondonI chose this hotel due to its location close to Waterloo Train station. It 
is very close and easy to find. Clean spacious entrance. Friendly welcome. 
I got a room on the ground floor so did have noise from the street during 
the night but I was not disturbed too much. Clean room, clean basic shower 
room. I would stay again.Read moreDate of stay: September 2018HelpfulShare</v>
      </c>
      <c r="U169" s="4" t="str">
        <f ca="1">IFERROR(__xludf.DUMMYFUNCTION("IMPORTXML(C170,$U$1)"),"Loading...")</f>
        <v>Loading...</v>
      </c>
    </row>
    <row r="170" spans="1:21" ht="15">
      <c r="A170" s="25" t="s">
        <v>13244</v>
      </c>
      <c r="B170" s="17" t="s">
        <v>126</v>
      </c>
      <c r="C170" s="23" t="str">
        <f t="shared" si="0"/>
        <v>https://www.tripadvisor.co.uk/Hotel_Review-g186338-d1812157-Reviews-or840-Travelodge_London_Waterloo_Hotel-London_England.html#REVIEWS</v>
      </c>
      <c r="D170" s="4" t="str">
        <f ca="1">IFERROR(__xludf.DUMMYFUNCTION("IMPORTXML(C170,$D$1)"),"#N/A")</f>
        <v>#N/A</v>
      </c>
      <c r="G170" s="24" t="str">
        <f ca="1">IFERROR(__xludf.DUMMYFUNCTION("IMPORTXML(C170, $G$1)"),"suzannev235 wrote a review Sep 20188 contributions1 helpful vote")</f>
        <v>suzannev235 wrote a review Sep 20188 contributions1 helpful vote</v>
      </c>
      <c r="H170" s="4" t="str">
        <f ca="1">IFERROR(__xludf.DUMMYFUNCTION("""COMPUTED_VALUE"""),"Most reasonable hotel in LondonCafe exceptional. Had delicious Superfood salad for dinner. Had to leave at 
crack of dawn, morning staff helpful taxi came in under 5 min clever way of 
ordering from reception. Value for money exceptionalRead moreReview 
c"&amp;"ollected in partnership with TravelodgeDate of stay: September 
2018HelpfulShare")</f>
        <v>Most reasonable hotel in LondonCafe exceptional. Had delicious Superfood salad for dinner. Had to leave at 
crack of dawn, morning staff helpful taxi came in under 5 min clever way of 
ordering from reception. Value for money exceptionalRead moreReview 
collected in partnership with TravelodgeDate of stay: September 
2018HelpfulShare</v>
      </c>
      <c r="I170" s="21"/>
      <c r="J170" s="21" t="str">
        <f ca="1">IFERROR(__xludf.DUMMYFUNCTION("IMPORTXML(C170, $J$1)"),"#N/A")</f>
        <v>#N/A</v>
      </c>
      <c r="L170" s="21"/>
      <c r="M170" s="21" t="str">
        <f ca="1">IFERROR(__xludf.DUMMYFUNCTION("IMPORTXML(C170, $M$1)"),"#N/A")</f>
        <v>#N/A</v>
      </c>
      <c r="O170" s="21"/>
      <c r="P170" s="21" t="str">
        <f ca="1">IFERROR(__xludf.DUMMYFUNCTION("IMPORTXML(C170, $P$1)"),"petethefish wrote a review Sep 2018chepstow5 contributions2 helpful votes")</f>
        <v>petethefish wrote a review Sep 2018chepstow5 contributions2 helpful votes</v>
      </c>
      <c r="Q170" s="4" t="str">
        <f ca="1">IFERROR(__xludf.DUMMYFUNCTION("""COMPUTED_VALUE"""),"Star Staff ServiceThe hotel was well appointed and the rooms look recently upgraded. 
Everwhere was clean and bright but the staff attentiveness and service was 
outstanding. They have 10 out of 10 from us on their honest friendliness 
and personable appr"&amp;"oach, well done Travelodge, but well done to all your 
team from the table clearers in the restaurant, the room cleaners, to the 
friendly barman and check in staff, you were all brilliant.Read moreReview 
collected in partnership with TravelodgeDate of s"&amp;"tay: September 
2018HelpfulShare")</f>
        <v>Star Staff ServiceThe hotel was well appointed and the rooms look recently upgraded. 
Everwhere was clean and bright but the staff attentiveness and service was 
outstanding. They have 10 out of 10 from us on their honest friendliness 
and personable approach, well done Travelodge, but well done to all your 
team from the table clearers in the restaurant, the room cleaners, to the 
friendly barman and check in staff, you were all brilliant.Read moreReview 
collected in partnership with TravelodgeDate of stay: September 
2018HelpfulShare</v>
      </c>
      <c r="U170" s="4" t="str">
        <f ca="1">IFERROR(__xludf.DUMMYFUNCTION("IMPORTXML(C171,$U$1)"),"Loading...")</f>
        <v>Loading...</v>
      </c>
    </row>
    <row r="171" spans="1:21" ht="15">
      <c r="A171" s="5" t="s">
        <v>13316</v>
      </c>
      <c r="B171" s="17" t="s">
        <v>126</v>
      </c>
      <c r="C171" s="23" t="str">
        <f t="shared" si="0"/>
        <v>https://www.tripadvisor.co.uk/Hotel_Review-g186338-d1812157-Reviews-or845-Travelodge_London_Waterloo_Hotel-London_England.html#REVIEWS</v>
      </c>
      <c r="D171" s="4" t="str">
        <f ca="1">IFERROR(__xludf.DUMMYFUNCTION("IMPORTXML(C171,$D$1)"),"ratbags27 wrote a review Sep 2018bucks5 contributions")</f>
        <v>ratbags27 wrote a review Sep 2018bucks5 contributions</v>
      </c>
      <c r="E171" s="4" t="str">
        <f ca="1">IFERROR(__xludf.DUMMYFUNCTION("""COMPUTED_VALUE"""),"Lovely stayStayed in hotel for 2 nights for my london birthday celebration, friendly 
and helpful staff. Room very clean and modern. Anything we asked for 
(hairdryer, iron) brought straight away. Friendly bar staff. Would highly 
recommend.Read moreDate "&amp;"of stay: September 2018HelpfulShare")</f>
        <v>Lovely stayStayed in hotel for 2 nights for my london birthday celebration, friendly 
and helpful staff. Room very clean and modern. Anything we asked for 
(hairdryer, iron) brought straight away. Friendly bar staff. Would highly 
recommend.Read moreDate of stay: September 2018HelpfulShare</v>
      </c>
      <c r="G171" s="24" t="str">
        <f ca="1">IFERROR(__xludf.DUMMYFUNCTION("IMPORTXML(C171, $G$1)"),"sarahmillyollie wrote a review Aug 20181 contribution")</f>
        <v>sarahmillyollie wrote a review Aug 20181 contribution</v>
      </c>
      <c r="H171" s="4" t="str">
        <f ca="1">IFERROR(__xludf.DUMMYFUNCTION("""COMPUTED_VALUE"""),"Excellent hotel in a great location.Excellent hotel in a fabulous location. Waterloo underground a short walk 
away which was perfect. We stayed in a super room which had plenty of room 
for 2 adults and 2 teenagers. Nice added extras on arrival, we loved"&amp;" the 
kitkats! Breakfast was plentiful and everything we could have wanted. This 
filled us up for the rest of the day! We will definitely be returning when 
we come back to London.Read moreReview collected in partnership with 
TravelodgeDate of stay: Aug"&amp;"ust 2018HelpfulShare")</f>
        <v>Excellent hotel in a great location.Excellent hotel in a fabulous location. Waterloo underground a short walk 
away which was perfect. We stayed in a super room which had plenty of room 
for 2 adults and 2 teenagers. Nice added extras on arrival, we loved the 
kitkats! Breakfast was plentiful and everything we could have wanted. This 
filled us up for the rest of the day! We will definitely be returning when 
we come back to London.Read moreReview collected in partnership with 
TravelodgeDate of stay: August 2018HelpfulShare</v>
      </c>
      <c r="I171" s="21"/>
      <c r="J171" s="21" t="str">
        <f ca="1">IFERROR(__xludf.DUMMYFUNCTION("IMPORTXML(C171, $J$1)"),"Jessica R wrote a review Aug 2018Hove, East Sussex27 contributions8 helpful 
votes")</f>
        <v>Jessica R wrote a review Aug 2018Hove, East Sussex27 contributions8 helpful 
votes</v>
      </c>
      <c r="K171" s="4" t="str">
        <f ca="1">IFERROR(__xludf.DUMMYFUNCTION("""COMPUTED_VALUE"""),"Comfortable overnight stayI had just a one night stay after visit to very nearby National Theatre. 
Reception friendly and efficient. I didn't try bar and restaurant but it 
looked very pleasant. Room was well large enough as was the bathroom. 
Television"&amp;" worked ok and you get a kettle and tea and coffee which is nice. 
Wifi a bit slow but it worked (I didn't use the paid for version which may 
be better of course) I would have given 5 stars but thought £88 slightly on 
the expensive side. On the other ha"&amp;"nd - it is in central London!Read 
moreReview collected in partnership with TravelodgeDate of stay: August 
2018HelpfulShare")</f>
        <v>Comfortable overnight stayI had just a one night stay after visit to very nearby National Theatre. 
Reception friendly and efficient. I didn't try bar and restaurant but it 
looked very pleasant. Room was well large enough as was the bathroom. 
Television worked ok and you get a kettle and tea and coffee which is nice. 
Wifi a bit slow but it worked (I didn't use the paid for version which may 
be better of course) I would have given 5 stars but thought £88 slightly on 
the expensive side. On the other hand - it is in central London!Read 
moreReview collected in partnership with TravelodgeDate of stay: August 
2018HelpfulShare</v>
      </c>
      <c r="L171" s="21"/>
      <c r="M171" s="21" t="str">
        <f ca="1">IFERROR(__xludf.DUMMYFUNCTION("IMPORTXML(C171, $M$1)"),"#N/A")</f>
        <v>#N/A</v>
      </c>
      <c r="O171" s="21"/>
      <c r="P171" s="21" t="str">
        <f ca="1">IFERROR(__xludf.DUMMYFUNCTION("IMPORTXML(C171, $P$1)"),"Julie W wrote a review Aug 2018Southampton, United Kingdom6 contributions1 
helpful vote")</f>
        <v>Julie W wrote a review Aug 2018Southampton, United Kingdom6 contributions1 
helpful vote</v>
      </c>
      <c r="Q171" s="4" t="str">
        <f ca="1">IFERROR(__xludf.DUMMYFUNCTION("""COMPUTED_VALUE"""),"Birthday TripStayed here overnight in one of their Super rooms. Clean room, comfortable 
bed, not overly big but sufficient for our needs. Air con was a welcome 
relief. Very handy for transport links. reasonably priced. Would definately 
recommend.Read m"&amp;"oreReview collected in partnership with this hotelDate of 
stay: August 2018HelpfulShare")</f>
        <v>Birthday TripStayed here overnight in one of their Super rooms. Clean room, comfortable 
bed, not overly big but sufficient for our needs. Air con was a welcome 
relief. Very handy for transport links. reasonably priced. Would definately 
recommend.Read moreReview collected in partnership with this hotelDate of 
stay: August 2018HelpfulShare</v>
      </c>
      <c r="U171" s="4" t="str">
        <f ca="1">IFERROR(__xludf.DUMMYFUNCTION("IMPORTXML(C172,$U$1)"),"Loading...")</f>
        <v>Loading...</v>
      </c>
    </row>
    <row r="172" spans="1:21" ht="15">
      <c r="A172" s="25" t="s">
        <v>13386</v>
      </c>
      <c r="B172" s="17" t="s">
        <v>126</v>
      </c>
      <c r="C172" s="23" t="str">
        <f t="shared" si="0"/>
        <v>https://www.tripadvisor.co.uk/Hotel_Review-g186338-d1812157-Reviews-or850-Travelodge_London_Waterloo_Hotel-London_England.html#REVIEWS</v>
      </c>
      <c r="D172" s="4" t="str">
        <f ca="1">IFERROR(__xludf.DUMMYFUNCTION("IMPORTXML(C172,$D$1)"),"Llion H wrote a review Aug 2018Llanwnda, United Kingdom1 contribution")</f>
        <v>Llion H wrote a review Aug 2018Llanwnda, United Kingdom1 contribution</v>
      </c>
      <c r="E172" s="4" t="str">
        <f ca="1">IFERROR(__xludf.DUMMYFUNCTION("""COMPUTED_VALUE"""),"Great Stay !Stayed here for 4 nights with my girlfriend and was a brilliant hotel the 
rooms are nice and clean and with air-con included. not far from the London 
eye . The staff are Very kind and helpful would stay here again !!Read 
moreDate of stay: A"&amp;"ugust 2018HelpfulShare")</f>
        <v>Great Stay !Stayed here for 4 nights with my girlfriend and was a brilliant hotel the 
rooms are nice and clean and with air-con included. not far from the London 
eye . The staff are Very kind and helpful would stay here again !!Read 
moreDate of stay: August 2018HelpfulShare</v>
      </c>
      <c r="G172" s="24" t="str">
        <f ca="1">IFERROR(__xludf.DUMMYFUNCTION("IMPORTXML(C172, $G$1)"),"Prairiegal89 wrote a review Aug 2018St Adolphe, Canada4 contributions2 
helpful votes")</f>
        <v>Prairiegal89 wrote a review Aug 2018St Adolphe, Canada4 contributions2 
helpful votes</v>
      </c>
      <c r="H172" s="4" t="str">
        <f ca="1">IFERROR(__xludf.DUMMYFUNCTION("""COMPUTED_VALUE"""),"Great hotel..better staffThis was a great hotel in a great location. The hotel, restaurant and bar 
staff were all amazing.. very helpful and very friendly!! Would highly 
recommend to everyone. Only negatives were no face cloths and the hand soap 
was no"&amp;"t refilled after a couple of days.Read moreDate of stay: August 
2018HelpfulShare")</f>
        <v>Great hotel..better staffThis was a great hotel in a great location. The hotel, restaurant and bar 
staff were all amazing.. very helpful and very friendly!! Would highly 
recommend to everyone. Only negatives were no face cloths and the hand soap 
was not refilled after a couple of days.Read moreDate of stay: August 
2018HelpfulShare</v>
      </c>
      <c r="I172" s="21"/>
      <c r="J172" s="21" t="str">
        <f ca="1">IFERROR(__xludf.DUMMYFUNCTION("IMPORTXML(C172, $J$1)"),"Sarah wrote a review Aug 2018Liverpool, United Kingdom62 contributions22 
helpful votes")</f>
        <v>Sarah wrote a review Aug 2018Liverpool, United Kingdom62 contributions22 
helpful votes</v>
      </c>
      <c r="K172" s="4" t="str">
        <f ca="1">IFERROR(__xludf.DUMMYFUNCTION("""COMPUTED_VALUE"""),"Walk to Big Ben in under 10 minutesOnly stayed 2 nights in this hotel, 5 minute walk from Waterloo Station and 
so easy to walk to Big Ben and the Eye in under 10 minutes. Super easy to 
get to the centre but not at all loud or noisy at night. The staff w"&amp;"ere all 
very helpful and bubbly especially a young, blonde receptionist who 
patiently listened to a customer blaming travelodge for an error he had 
made. We went for the option that included breakfast which was lovely. They 
offered a selection of cere"&amp;"als, toast and a breakfast buffet with vegan 
sausages and a self serve coffee machine. Really nice breakfast with plenty 
of options. Our room was on the first floor, the hall layout is a little 
bit confusing though. Our room was spacious and hangers, h"&amp;"and soap and 
shower gel were all provided. There was a kettle…Read moreDate of stay: 
August 20181 Helpful voteHelpfulShare")</f>
        <v>Walk to Big Ben in under 10 minutesOnly stayed 2 nights in this hotel, 5 minute walk from Waterloo Station and 
so easy to walk to Big Ben and the Eye in under 10 minutes. Super easy to 
get to the centre but not at all loud or noisy at night. The staff were all 
very helpful and bubbly especially a young, blonde receptionist who 
patiently listened to a customer blaming travelodge for an error he had 
made. We went for the option that included breakfast which was lovely. They 
offered a selection of cereals, toast and a breakfast buffet with vegan 
sausages and a self serve coffee machine. Really nice breakfast with plenty 
of options. Our room was on the first floor, the hall layout is a little 
bit confusing though. Our room was spacious and hangers, hand soap and 
shower gel were all provided. There was a kettle…Read moreDate of stay: 
August 20181 Helpful voteHelpfulShare</v>
      </c>
      <c r="L172" s="21"/>
      <c r="M172" s="21" t="str">
        <f ca="1">IFERROR(__xludf.DUMMYFUNCTION("IMPORTXML(C172, $M$1)"),"Jennifer R wrote a review Aug 2018Harrogate, United Kingdom4 
contributions13 helpful votes")</f>
        <v>Jennifer R wrote a review Aug 2018Harrogate, United Kingdom4 
contributions13 helpful votes</v>
      </c>
      <c r="N172" s="4" t="str">
        <f ca="1">IFERROR(__xludf.DUMMYFUNCTION("""COMPUTED_VALUE"""),"convenient locationHotel close to bus stops and Waterloo tube station, easy walk to south bank 
and London eye, hotel very clean after refurbishment, and room had air 
conditioning, hotel staff very helpful, breakfast OK, ,nothing to write 
home about, we"&amp;" would stay again if the price was rightRead moreReview 
collected in partnership with TravelodgeDate of stay: August 
2018HelpfulShare")</f>
        <v>convenient locationHotel close to bus stops and Waterloo tube station, easy walk to south bank 
and London eye, hotel very clean after refurbishment, and room had air 
conditioning, hotel staff very helpful, breakfast OK, ,nothing to write 
home about, we would stay again if the price was rightRead moreReview 
collected in partnership with TravelodgeDate of stay: August 
2018HelpfulShare</v>
      </c>
      <c r="O172" s="21"/>
      <c r="P172" s="21" t="str">
        <f ca="1">IFERROR(__xludf.DUMMYFUNCTION("IMPORTXML(C172, $P$1)"),"KEM wrote a review Aug 20187 contributions2 helpful votes")</f>
        <v>KEM wrote a review Aug 20187 contributions2 helpful votes</v>
      </c>
      <c r="Q172" s="4" t="str">
        <f ca="1">IFERROR(__xludf.DUMMYFUNCTION("""COMPUTED_VALUE"""),"Good valueGood value accomodation for London, overall it was very good. My room was 
clean as was bathroom. Shower was great but i was unable to adjust it so 
had to stoop but great otherwise. Although clean the room was bit rough 
around the edges, skirt"&amp;"ing boards very scuffed with black marks and it 
looked like bleach had been spilt on the carpet. The breakfast was fine, 
plenty to eat and something there to suit e eryone. I ordered a meal on my 
first evening and that was very disappointing. It was a "&amp;"double burger which 
I thought might be too much for me to eat but I've never seen such thin 
burgers in my life. Unfortunately they were awful, okay to sole a pair of 
boots as they were so cold and tough, it was almost impossible to cut them. 
I did com"&amp;"plain to member of staff who was most…Read moreReview collected in 
partnership with TravelodgeDate of stay: August 20181 Helpful 
voteHelpfulShare")</f>
        <v>Good valueGood value accomodation for London, overall it was very good. My room was 
clean as was bathroom. Shower was great but i was unable to adjust it so 
had to stoop but great otherwise. Although clean the room was bit rough 
around the edges, skirting boards very scuffed with black marks and it 
looked like bleach had been spilt on the carpet. The breakfast was fine, 
plenty to eat and something there to suit e eryone. I ordered a meal on my 
first evening and that was very disappointing. It was a double burger which 
I thought might be too much for me to eat but I've never seen such thin 
burgers in my life. Unfortunately they were awful, okay to sole a pair of 
boots as they were so cold and tough, it was almost impossible to cut them. 
I did complain to member of staff who was most…Read moreReview collected in 
partnership with TravelodgeDate of stay: August 20181 Helpful 
voteHelpfulShare</v>
      </c>
      <c r="U172" s="4" t="str">
        <f ca="1">IFERROR(__xludf.DUMMYFUNCTION("IMPORTXML(C173,$U$1)"),"Loading...")</f>
        <v>Loading...</v>
      </c>
    </row>
    <row r="173" spans="1:21" ht="15">
      <c r="A173" s="25" t="s">
        <v>13462</v>
      </c>
      <c r="B173" s="17" t="s">
        <v>126</v>
      </c>
      <c r="C173" s="23" t="str">
        <f t="shared" si="0"/>
        <v>https://www.tripadvisor.co.uk/Hotel_Review-g186338-d1812157-Reviews-or855-Travelodge_London_Waterloo_Hotel-London_England.html#REVIEWS</v>
      </c>
      <c r="D173" s="4" t="str">
        <f ca="1">IFERROR(__xludf.DUMMYFUNCTION("IMPORTXML(C173,$D$1)"),"Sarah wrote a review Aug 201824 contributions19 helpful votes")</f>
        <v>Sarah wrote a review Aug 201824 contributions19 helpful votes</v>
      </c>
      <c r="E173" s="4" t="str">
        <f ca="1">IFERROR(__xludf.DUMMYFUNCTION("""COMPUTED_VALUE"""),"Great locationGreat location. The staff are exceptionally helpful and friendly. Clean 
room .The only reason i gave 4/5 instead of 5/5 is the breakfast. This is a 
let down. £8.95 seems too much for this very basic breakfast. Would highly 
recommend this "&amp;"hotel if you eat breakfast elsewhere.Read moreDate of stay: 
August 20181 Helpful voteHelpfulShare")</f>
        <v>Great locationGreat location. The staff are exceptionally helpful and friendly. Clean 
room .The only reason i gave 4/5 instead of 5/5 is the breakfast. This is a 
let down. £8.95 seems too much for this very basic breakfast. Would highly 
recommend this hotel if you eat breakfast elsewhere.Read moreDate of stay: 
August 20181 Helpful voteHelpfulShare</v>
      </c>
      <c r="G173" s="24" t="str">
        <f ca="1">IFERROR(__xludf.DUMMYFUNCTION("IMPORTXML(C173, $G$1)"),"Jo H wrote a review Aug 2018Perth, Western Australia, Australia3 
contributions1 helpful vote")</f>
        <v>Jo H wrote a review Aug 2018Perth, Western Australia, Australia3 
contributions1 helpful vote</v>
      </c>
      <c r="H173" s="4" t="str">
        <f ca="1">IFERROR(__xludf.DUMMYFUNCTION("""COMPUTED_VALUE"""),"Cheap, central accomodationVery close to Waterloo station and lots of amenities. Very simple 
accomodation and cheap, if you’re just looking for a central place to lay 
your head at night. Large rooms. No fridge in room, but tea and coffee 
facilities.Rea"&amp;"d moreDate of stay: August 2018HelpfulShare")</f>
        <v>Cheap, central accomodationVery close to Waterloo station and lots of amenities. Very simple 
accomodation and cheap, if you’re just looking for a central place to lay 
your head at night. Large rooms. No fridge in room, but tea and coffee 
facilities.Read moreDate of stay: August 2018HelpfulShare</v>
      </c>
      <c r="I173" s="21"/>
      <c r="J173" s="21" t="str">
        <f ca="1">IFERROR(__xludf.DUMMYFUNCTION("IMPORTXML(C173, $J$1)"),"Steve M wrote a review Aug 2018Crowthorne, United Kingdom1 contribution")</f>
        <v>Steve M wrote a review Aug 2018Crowthorne, United Kingdom1 contribution</v>
      </c>
      <c r="K173" s="4" t="str">
        <f ca="1">IFERROR(__xludf.DUMMYFUNCTION("""COMPUTED_VALUE"""),"Travelodge WaterlooGood clean hotel with excellent breakfast in easy walking distance of 
Waterloo and onward bus stops for visiting London. Pricing makes it a cost 
effective means of staying overnight for a weekend awayRead moreReview 
collected in part"&amp;"nership with TravelodgeDate of stay: August 
2018HelpfulShare")</f>
        <v>Travelodge WaterlooGood clean hotel with excellent breakfast in easy walking distance of 
Waterloo and onward bus stops for visiting London. Pricing makes it a cost 
effective means of staying overnight for a weekend awayRead moreReview 
collected in partnership with TravelodgeDate of stay: August 
2018HelpfulShare</v>
      </c>
      <c r="L173" s="21"/>
      <c r="M173" s="21" t="str">
        <f ca="1">IFERROR(__xludf.DUMMYFUNCTION("IMPORTXML(C173, $M$1)"),"hanzdatdodishes wrote a review Aug 2018derby196 contributions42 helpful 
votes")</f>
        <v>hanzdatdodishes wrote a review Aug 2018derby196 contributions42 helpful 
votes</v>
      </c>
      <c r="N173" s="4" t="str">
        <f ca="1">IFERROR(__xludf.DUMMYFUNCTION("""COMPUTED_VALUE"""),"Great locationNever stayed in this area of London before and have to say it was so 
convenient. A 5 minutes walk from Waterloo tube and about 10 minutes to the 
London eye and south bank. The hotel is nice and clean and tidy looks like 
it may have been r"&amp;"ecently refurbished. Breakfast was average for the £8 ish 
we payed but kids are free which was a bonus. I would definitely not rule 
out this hotel when next in LondonRead moreDate of stay: August 
2018HelpfulShare")</f>
        <v>Great locationNever stayed in this area of London before and have to say it was so 
convenient. A 5 minutes walk from Waterloo tube and about 10 minutes to the 
London eye and south bank. The hotel is nice and clean and tidy looks like 
it may have been recently refurbished. Breakfast was average for the £8 ish 
we payed but kids are free which was a bonus. I would definitely not rule 
out this hotel when next in LondonRead moreDate of stay: August 
2018HelpfulShare</v>
      </c>
      <c r="O173" s="21"/>
      <c r="P173" s="21" t="str">
        <f ca="1">IFERROR(__xludf.DUMMYFUNCTION("IMPORTXML(C173, $P$1)"),"Claire H wrote a review Aug 2018Southport, United Kingdom8 contributions1 
helpful vote")</f>
        <v>Claire H wrote a review Aug 2018Southport, United Kingdom8 contributions1 
helpful vote</v>
      </c>
      <c r="Q173" s="4" t="str">
        <f ca="1">IFERROR(__xludf.DUMMYFUNCTION("""COMPUTED_VALUE"""),"Value for moneyVery good value, clean travelodge and friendly staff.Close to waterloo 
station and ideal for tourist attractions. WiFi was not good, we had to 
constantly loggin and mainly got a signal near window on 7th 
floor.Disappointed we couldn't ju"&amp;"st purchase toast for breakfast, instead 
we were offered the lighter option all you can eat at £5.95, great if 
you're hungry not when you just want toast.Overall we would stay again.Read 
moreReview collected in partnership with this hotelDate of stay: "&amp;"August 
2018HelpfulShare")</f>
        <v>Value for moneyVery good value, clean travelodge and friendly staff.Close to waterloo 
station and ideal for tourist attractions. WiFi was not good, we had to 
constantly loggin and mainly got a signal near window on 7th 
floor.Disappointed we couldn't just purchase toast for breakfast, instead 
we were offered the lighter option all you can eat at £5.95, great if 
you're hungry not when you just want toast.Overall we would stay again.Read 
moreReview collected in partnership with this hotelDate of stay: August 
2018HelpfulShare</v>
      </c>
      <c r="U173" s="4" t="str">
        <f ca="1">IFERROR(__xludf.DUMMYFUNCTION("IMPORTXML(C174,$U$1)"),"Loading...")</f>
        <v>Loading...</v>
      </c>
    </row>
    <row r="174" spans="1:21" ht="15">
      <c r="A174" s="25" t="s">
        <v>13506</v>
      </c>
      <c r="B174" s="17" t="s">
        <v>126</v>
      </c>
      <c r="C174" s="23" t="str">
        <f t="shared" si="0"/>
        <v>https://www.tripadvisor.co.uk/Hotel_Review-g186338-d1812157-Reviews-or860-Travelodge_London_Waterloo_Hotel-London_England.html#REVIEWS</v>
      </c>
      <c r="D174" s="4" t="str">
        <f ca="1">IFERROR(__xludf.DUMMYFUNCTION("IMPORTXML(C174,$D$1)"),"138andrea12 wrote a review Aug 2018Falmouth, United Kingdom7 contributions1 
helpful vote")</f>
        <v>138andrea12 wrote a review Aug 2018Falmouth, United Kingdom7 contributions1 
helpful vote</v>
      </c>
      <c r="E174" s="4" t="str">
        <f ca="1">IFERROR(__xludf.DUMMYFUNCTION("""COMPUTED_VALUE"""),"FAMILY BREAKThis was the 3rd time we have stayed here. The hotel is very clean and the 
staff are very friendly and helpful . Can t fault anything . Looking 
forward to staying there next February. Very close to the London eye , 
houses of parliament . Ju"&amp;"st a 2 min walk from Waterloo train station. The 
only negative is the food menu . Could do with updating .Read moreDate of 
stay: September 2017HelpfulShare")</f>
        <v>FAMILY BREAKThis was the 3rd time we have stayed here. The hotel is very clean and the 
staff are very friendly and helpful . Can t fault anything . Looking 
forward to staying there next February. Very close to the London eye , 
houses of parliament . Just a 2 min walk from Waterloo train station. The 
only negative is the food menu . Could do with updating .Read moreDate of 
stay: September 2017HelpfulShare</v>
      </c>
      <c r="G174" s="24" t="str">
        <f ca="1">IFERROR(__xludf.DUMMYFUNCTION("IMPORTXML(C174, $G$1)"),"Loading...")</f>
        <v>Loading...</v>
      </c>
      <c r="I174" s="21"/>
      <c r="J174" s="21" t="str">
        <f ca="1">IFERROR(__xludf.DUMMYFUNCTION("IMPORTXML(C174, $J$1)"),"Safari385576 wrote a review Aug 20181 contribution")</f>
        <v>Safari385576 wrote a review Aug 20181 contribution</v>
      </c>
      <c r="K174" s="4" t="str">
        <f ca="1">IFERROR(__xludf.DUMMYFUNCTION("""COMPUTED_VALUE"""),"london summer stayFabulous location. 5 mins from London eye, Shrek's adventure and London 
dungeon.hotel very clean an staff very helpful.Highly recommend madame 
tussards get there early makes everything so much easier.great pizza place 
up the road from"&amp;" hotel crust bros very reasonable 3 pizzas an 3 drinks 
£32.definitly stay here againRead moreReview collected in partnership with 
this hotelDate of stay: August 2018HelpfulShare")</f>
        <v>london summer stayFabulous location. 5 mins from London eye, Shrek's adventure and London 
dungeon.hotel very clean an staff very helpful.Highly recommend madame 
tussards get there early makes everything so much easier.great pizza place 
up the road from hotel crust bros very reasonable 3 pizzas an 3 drinks 
£32.definitly stay here againRead moreReview collected in partnership with 
this hotelDate of stay: August 2018HelpfulShare</v>
      </c>
      <c r="L174" s="21"/>
      <c r="M174" s="21" t="str">
        <f ca="1">IFERROR(__xludf.DUMMYFUNCTION("IMPORTXML(C174, $M$1)"),"#N/A")</f>
        <v>#N/A</v>
      </c>
      <c r="O174" s="21"/>
      <c r="P174" s="21" t="str">
        <f ca="1">IFERROR(__xludf.DUMMYFUNCTION("IMPORTXML(C174, $P$1)"),"Blue228 wrote a review Aug 2018Northamptonshire, United Kingdom26 
contributions7 helpful votes")</f>
        <v>Blue228 wrote a review Aug 2018Northamptonshire, United Kingdom26 
contributions7 helpful votes</v>
      </c>
      <c r="Q174" s="4" t="str">
        <f ca="1">IFERROR(__xludf.DUMMYFUNCTION("""COMPUTED_VALUE"""),"ExcellentThis is by far the best Travelodge we have ever stayed in. We stayed in a 
Super room &amp; everything was clean , tidy, good furnishings , excellent 
shower.The staff were all welcoming, friendly &amp; professional.The breakfast 
was very good - lots of"&amp;" choice &amp; well presentedRead moreReview collected in 
partnership with TravelodgeDate of stay: August 2018HelpfulShare")</f>
        <v>ExcellentThis is by far the best Travelodge we have ever stayed in. We stayed in a 
Super room &amp; everything was clean , tidy, good furnishings , excellent 
shower.The staff were all welcoming, friendly &amp; professional.The breakfast 
was very good - lots of choice &amp; well presentedRead moreReview collected in 
partnership with TravelodgeDate of stay: August 2018HelpfulShare</v>
      </c>
      <c r="U174" s="4" t="str">
        <f ca="1">IFERROR(__xludf.DUMMYFUNCTION("IMPORTXML(C175,$U$1)"),"Loading...")</f>
        <v>Loading...</v>
      </c>
    </row>
    <row r="175" spans="1:21" ht="15">
      <c r="A175" s="5" t="s">
        <v>13539</v>
      </c>
      <c r="B175" s="17" t="s">
        <v>126</v>
      </c>
      <c r="C175" s="23" t="str">
        <f t="shared" si="0"/>
        <v>https://www.tripadvisor.co.uk/Hotel_Review-g186338-d1812157-Reviews-or865-Travelodge_London_Waterloo_Hotel-London_England.html#REVIEWS</v>
      </c>
      <c r="D175" s="4" t="str">
        <f ca="1">IFERROR(__xludf.DUMMYFUNCTION("IMPORTXML(C175,$D$1)"),"allisoncolebyhurley wrote a review Aug 2018Norwich, United Kingdom1 
contribution")</f>
        <v>allisoncolebyhurley wrote a review Aug 2018Norwich, United Kingdom1 
contribution</v>
      </c>
      <c r="E175" s="4" t="str">
        <f ca="1">IFERROR(__xludf.DUMMYFUNCTION("""COMPUTED_VALUE"""),"Our trip to LondonTravel lodge is in a good spot for visiting London. The staff where very 
polite and helpful. The food was cooked and presented very nicely. The room 
was very clean. Will definitely be staying there again.Read moreReview 
collected in p"&amp;"artnership with this hotelDate of stay: August 
2018HelpfulShare")</f>
        <v>Our trip to LondonTravel lodge is in a good spot for visiting London. The staff where very 
polite and helpful. The food was cooked and presented very nicely. The room 
was very clean. Will definitely be staying there again.Read moreReview 
collected in partnership with this hotelDate of stay: August 
2018HelpfulShare</v>
      </c>
      <c r="G175" s="24" t="str">
        <f ca="1">IFERROR(__xludf.DUMMYFUNCTION("IMPORTXML(C175, $G$1)"),"petercook23000 wrote a review Aug 20181 contribution")</f>
        <v>petercook23000 wrote a review Aug 20181 contribution</v>
      </c>
      <c r="H175" s="4" t="str">
        <f ca="1">IFERROR(__xludf.DUMMYFUNCTION("""COMPUTED_VALUE"""),"Travelodge WaterlooReally enjoyed staying in the hotel. Great location for tube and great 
attractions in walking distance. Hotel staff were really friendly. Evening 
meal was reasonable priced. The room while basic was comfortableRead 
moreReview collect"&amp;"ed in partnership with TravelodgeDate of stay: August 
2018HelpfulShare")</f>
        <v>Travelodge WaterlooReally enjoyed staying in the hotel. Great location for tube and great 
attractions in walking distance. Hotel staff were really friendly. Evening 
meal was reasonable priced. The room while basic was comfortableRead 
moreReview collected in partnership with TravelodgeDate of stay: August 
2018HelpfulShare</v>
      </c>
      <c r="I175" s="21"/>
      <c r="J175" s="21" t="str">
        <f ca="1">IFERROR(__xludf.DUMMYFUNCTION("IMPORTXML(C175, $J$1)"),"Tara W wrote a review Aug 2018Willenhall, United Kingdom37 contributions4 
helpful votes")</f>
        <v>Tara W wrote a review Aug 2018Willenhall, United Kingdom37 contributions4 
helpful votes</v>
      </c>
      <c r="K175" s="4" t="str">
        <f ca="1">IFERROR(__xludf.DUMMYFUNCTION("""COMPUTED_VALUE"""),"BrilliantStayed this weekend as visited London to watch Hamilton on west end. Great 
staff very helpful, let us leave cases early so we could take in sights 
before check in. Breakfast was ok could have been hotter but still nice all 
the same. Room was f"&amp;"ine for the 3 of us, only downside was very small 
bathroom but was all very clean. Would stay here again only 5 minutes walk 
from Waterloo tube station so nice and accessible for everything ��Read 
moreDate of stay: August 2018HelpfulShare")</f>
        <v>BrilliantStayed this weekend as visited London to watch Hamilton on west end. Great 
staff very helpful, let us leave cases early so we could take in sights 
before check in. Breakfast was ok could have been hotter but still nice all 
the same. Room was fine for the 3 of us, only downside was very small 
bathroom but was all very clean. Would stay here again only 5 minutes walk 
from Waterloo tube station so nice and accessible for everything ��Read 
moreDate of stay: August 2018HelpfulShare</v>
      </c>
      <c r="L175" s="21"/>
      <c r="M175" s="21" t="str">
        <f ca="1">IFERROR(__xludf.DUMMYFUNCTION("IMPORTXML(C175, $M$1)"),"Louise J wrote a review Aug 2018Southampton, United Kingdom5 contributions1 
helpful vote")</f>
        <v>Louise J wrote a review Aug 2018Southampton, United Kingdom5 contributions1 
helpful vote</v>
      </c>
      <c r="N175" s="4" t="str">
        <f ca="1">IFERROR(__xludf.DUMMYFUNCTION("""COMPUTED_VALUE"""),"Excellent nights sleepAll the staff were very helpful. The bed was very comfortable and the room 
temperature was just right. Had excellent sleep which is important when 
staying over. The room was a good size. Good varied breakfast.Read 
moreReview colle"&amp;"cted in partnership with TravelodgeDate of stay: August 
2018HelpfulShare")</f>
        <v>Excellent nights sleepAll the staff were very helpful. The bed was very comfortable and the room 
temperature was just right. Had excellent sleep which is important when 
staying over. The room was a good size. Good varied breakfast.Read 
moreReview collected in partnership with TravelodgeDate of stay: August 
2018HelpfulShare</v>
      </c>
      <c r="O175" s="21"/>
      <c r="P175" s="21" t="str">
        <f ca="1">IFERROR(__xludf.DUMMYFUNCTION("IMPORTXML(C175, $P$1)"),"Richard C wrote a review Aug 20181 contribution")</f>
        <v>Richard C wrote a review Aug 20181 contribution</v>
      </c>
      <c r="Q175" s="4" t="str">
        <f ca="1">IFERROR(__xludf.DUMMYFUNCTION("""COMPUTED_VALUE"""),"GreatFantastic hotel, very warm and friendly staff members. Food was absolutely 
amazing and value for the money.Our room was a little cold as the heating 
didn’t work but apart from that it was wonderful.Would deffo stay 
again!Read moreReview collected "&amp;"in partnership with TravelodgeDate of stay: 
August 2018HelpfulShare")</f>
        <v>GreatFantastic hotel, very warm and friendly staff members. Food was absolutely 
amazing and value for the money.Our room was a little cold as the heating 
didn’t work but apart from that it was wonderful.Would deffo stay 
again!Read moreReview collected in partnership with TravelodgeDate of stay: 
August 2018HelpfulShare</v>
      </c>
      <c r="U175" s="4" t="str">
        <f ca="1">IFERROR(__xludf.DUMMYFUNCTION("IMPORTXML(C176,$U$1)"),"Loading...")</f>
        <v>Loading...</v>
      </c>
    </row>
    <row r="176" spans="1:21" ht="15">
      <c r="A176" s="25" t="s">
        <v>13588</v>
      </c>
      <c r="B176" s="17" t="s">
        <v>126</v>
      </c>
      <c r="C176" s="23" t="str">
        <f t="shared" si="0"/>
        <v>https://www.tripadvisor.co.uk/Hotel_Review-g186338-d1812157-Reviews-or870-Travelodge_London_Waterloo_Hotel-London_England.html#REVIEWS</v>
      </c>
      <c r="D176" s="4" t="str">
        <f ca="1">IFERROR(__xludf.DUMMYFUNCTION("IMPORTXML(C176,$D$1)"),"jantosovicovatereza wrote a review Aug 20181 contribution")</f>
        <v>jantosovicovatereza wrote a review Aug 20181 contribution</v>
      </c>
      <c r="E176" s="4" t="str">
        <f ca="1">IFERROR(__xludf.DUMMYFUNCTION("""COMPUTED_VALUE"""),"Waterloo Central LondonThe location of hotel is realy good - metro station is 5 minutes walk away. 
Hotel is clean and tidy even like the room. The bed was so comfortable. 
Everything was clean and fresh. There is a TV, kettle for tea and coffee. 
The toi"&amp;"let and bathroom was clean. There were 3 towels for us.Read 
moreReview collected in partnership with TravelodgeDate of stay: August 
2018HelpfulShare")</f>
        <v>Waterloo Central LondonThe location of hotel is realy good - metro station is 5 minutes walk away. 
Hotel is clean and tidy even like the room. The bed was so comfortable. 
Everything was clean and fresh. There is a TV, kettle for tea and coffee. 
The toilet and bathroom was clean. There were 3 towels for us.Read 
moreReview collected in partnership with TravelodgeDate of stay: August 
2018HelpfulShare</v>
      </c>
      <c r="G176" s="24" t="str">
        <f ca="1">IFERROR(__xludf.DUMMYFUNCTION("IMPORTXML(C176, $G$1)"),"#N/A")</f>
        <v>#N/A</v>
      </c>
      <c r="I176" s="21"/>
      <c r="J176" s="21" t="str">
        <f ca="1">IFERROR(__xludf.DUMMYFUNCTION("IMPORTXML(C176, $J$1)"),"jtravel17 wrote a review Aug 2018Southern Wales, United Kingdom4 
contributions3 helpful votes")</f>
        <v>jtravel17 wrote a review Aug 2018Southern Wales, United Kingdom4 
contributions3 helpful votes</v>
      </c>
      <c r="K176" s="4" t="str">
        <f ca="1">IFERROR(__xludf.DUMMYFUNCTION("""COMPUTED_VALUE"""),"BrilliantFriendly helpful staff and welcoming at the waterloo Travelodge clean we'll 
presented rooms were clean tidy air con was good what more can you ask for 
. The price was good considering its location to London eye London 
dungeon's etc will use ag"&amp;"ain if visiting that area.Read moreReview 
collected in partnership with TravelodgeDate of stay: August 
2018HelpfulShare")</f>
        <v>BrilliantFriendly helpful staff and welcoming at the waterloo Travelodge clean we'll 
presented rooms were clean tidy air con was good what more can you ask for 
. The price was good considering its location to London eye London 
dungeon's etc will use again if visiting that area.Read moreReview 
collected in partnership with TravelodgeDate of stay: August 
2018HelpfulShare</v>
      </c>
      <c r="L176" s="21"/>
      <c r="M176" s="21" t="str">
        <f ca="1">IFERROR(__xludf.DUMMYFUNCTION("IMPORTXML(C176, $M$1)"),"#N/A")</f>
        <v>#N/A</v>
      </c>
      <c r="O176" s="21"/>
      <c r="P176" s="21" t="str">
        <f ca="1">IFERROR(__xludf.DUMMYFUNCTION("IMPORTXML(C176, $P$1)"),"#N/A")</f>
        <v>#N/A</v>
      </c>
      <c r="U176" s="4" t="str">
        <f ca="1">IFERROR(__xludf.DUMMYFUNCTION("IMPORTXML(C177,$U$1)"),"Loading...")</f>
        <v>Loading...</v>
      </c>
    </row>
    <row r="177" spans="1:21" ht="15">
      <c r="A177" s="25" t="s">
        <v>13592</v>
      </c>
      <c r="B177" s="17" t="s">
        <v>126</v>
      </c>
      <c r="C177" s="23" t="str">
        <f t="shared" si="0"/>
        <v>https://www.tripadvisor.co.uk/Hotel_Review-g186338-d1812157-Reviews-or875-Travelodge_London_Waterloo_Hotel-London_England.html#REVIEWS</v>
      </c>
      <c r="D177" s="4" t="str">
        <f ca="1">IFERROR(__xludf.DUMMYFUNCTION("IMPORTXML(C177,$D$1)"),"#N/A")</f>
        <v>#N/A</v>
      </c>
      <c r="G177" s="24" t="str">
        <f ca="1">IFERROR(__xludf.DUMMYFUNCTION("IMPORTXML(C177, $G$1)"),"Rocket8047 wrote a review Aug 2018Exeter12 contributions1 helpful vote")</f>
        <v>Rocket8047 wrote a review Aug 2018Exeter12 contributions1 helpful vote</v>
      </c>
      <c r="H177" s="4" t="str">
        <f ca="1">IFERROR(__xludf.DUMMYFUNCTION("""COMPUTED_VALUE"""),"Great location big rooms5 min walk from waterlooo station,we had a family room which was a very 
good size for London..corner shop next door as well as plenty of bars and 
eating places nearby yet still hotel was silent when it came to bedtimeRead 
moreRe"&amp;"view collected in partnership with this hotelDate of stay: August 
2018HelpfulShare")</f>
        <v>Great location big rooms5 min walk from waterlooo station,we had a family room which was a very 
good size for London..corner shop next door as well as plenty of bars and 
eating places nearby yet still hotel was silent when it came to bedtimeRead 
moreReview collected in partnership with this hotelDate of stay: August 
2018HelpfulShare</v>
      </c>
      <c r="I177" s="21"/>
      <c r="J177" s="21" t="str">
        <f ca="1">IFERROR(__xludf.DUMMYFUNCTION("IMPORTXML(C177, $J$1)"),"greyghostDroitwich wrote a review Aug 2018Cheras, Malaysia20 contributions7 
helpful votes")</f>
        <v>greyghostDroitwich wrote a review Aug 2018Cheras, Malaysia20 contributions7 
helpful votes</v>
      </c>
      <c r="K177" s="4" t="str">
        <f ca="1">IFERROR(__xludf.DUMMYFUNCTION("""COMPUTED_VALUE"""),"Great Hotel at affordable price. Our No 1 London choice. Highly recommended.Excellent hotel at affordable price. The check in and overall service was 
very friendly and efficient. Our room was very clean and very comfortable. 
We had a great nights sleep "&amp;"in the roomy comfortable bed.9Read moreReview 
collected in partnership with this hotelDate of stay: August 
2018HelpfulShare")</f>
        <v>Great Hotel at affordable price. Our No 1 London choice. Highly recommended.Excellent hotel at affordable price. The check in and overall service was 
very friendly and efficient. Our room was very clean and very comfortable. 
We had a great nights sleep in the roomy comfortable bed.9Read moreReview 
collected in partnership with this hotelDate of stay: August 
2018HelpfulShare</v>
      </c>
      <c r="L177" s="21"/>
      <c r="M177" s="21" t="str">
        <f ca="1">IFERROR(__xludf.DUMMYFUNCTION("IMPORTXML(C177, $M$1)"),"896matthew wrote a review Aug 2018Caerphilly, United Kingdom5 contributions")</f>
        <v>896matthew wrote a review Aug 2018Caerphilly, United Kingdom5 contributions</v>
      </c>
      <c r="N177" s="4" t="str">
        <f ca="1">IFERROR(__xludf.DUMMYFUNCTION("""COMPUTED_VALUE"""),"Small family break in LondonNice friendly staff, can leave your bags after checkout for free. Bathrooms 
clean and shower good. Small stain on carpet and bed linen but otherwise 
room very high standard. Nice touches like complimentary water at 
reception"&amp;". Close to Waterloo station.Read moreReview collected in 
partnership with TravelodgeDate of stay: August 2018HelpfulShare")</f>
        <v>Small family break in LondonNice friendly staff, can leave your bags after checkout for free. Bathrooms 
clean and shower good. Small stain on carpet and bed linen but otherwise 
room very high standard. Nice touches like complimentary water at 
reception. Close to Waterloo station.Read moreReview collected in 
partnership with TravelodgeDate of stay: August 2018HelpfulShare</v>
      </c>
      <c r="O177" s="21"/>
      <c r="P177" s="21" t="str">
        <f ca="1">IFERROR(__xludf.DUMMYFUNCTION("IMPORTXML(C177, $P$1)"),"ANA C wrote a review Aug 2018LUBBOCK1 contribution")</f>
        <v>ANA C wrote a review Aug 2018LUBBOCK1 contribution</v>
      </c>
      <c r="Q177" s="4" t="str">
        <f ca="1">IFERROR(__xludf.DUMMYFUNCTION("""COMPUTED_VALUE"""),"Great customer serviceFriendly staff and good location, just a few blocks from Waterloo Tube. The 
room was small but clean. Good variety of food in the breakfast buffet. I 
would stay there again and do recommend this hotel to my friends.Read 
moreReview"&amp;" collected in partnership with this hotelDate of stay: August 
2018HelpfulShare")</f>
        <v>Great customer serviceFriendly staff and good location, just a few blocks from Waterloo Tube. The 
room was small but clean. Good variety of food in the breakfast buffet. I 
would stay there again and do recommend this hotel to my friends.Read 
moreReview collected in partnership with this hotelDate of stay: August 
2018HelpfulShare</v>
      </c>
      <c r="U177" s="4" t="str">
        <f ca="1">IFERROR(__xludf.DUMMYFUNCTION("IMPORTXML(C178,$U$1)"),"Loading...")</f>
        <v>Loading...</v>
      </c>
    </row>
    <row r="178" spans="1:21" ht="15">
      <c r="A178" s="25" t="s">
        <v>13593</v>
      </c>
      <c r="B178" s="17" t="s">
        <v>126</v>
      </c>
      <c r="C178" s="23" t="str">
        <f t="shared" si="0"/>
        <v>https://www.tripadvisor.co.uk/Hotel_Review-g186338-d1812157-Reviews-or880-Travelodge_London_Waterloo_Hotel-London_England.html#REVIEWS</v>
      </c>
      <c r="D178" s="4" t="str">
        <f ca="1">IFERROR(__xludf.DUMMYFUNCTION("IMPORTXML(C178,$D$1)"),"Steve wrote a review Aug 2018Telford, United Kingdom11 contributions2 
helpful votes")</f>
        <v>Steve wrote a review Aug 2018Telford, United Kingdom11 contributions2 
helpful votes</v>
      </c>
      <c r="E178" s="4" t="str">
        <f ca="1">IFERROR(__xludf.DUMMYFUNCTION("""COMPUTED_VALUE"""),"Good LocationStopped here for 2 nights. Excellent central location, only a 5 minute walk 
to the tube station and close to the London Eye. Very clean and tidy. The 
only negative thing was that there was only a small clothes rail for 
clothes and no draws"&amp;" so we ended up living out of our suitcase.Read 
moreDate of stay: August 2018HelpfulShare")</f>
        <v>Good LocationStopped here for 2 nights. Excellent central location, only a 5 minute walk 
to the tube station and close to the London Eye. Very clean and tidy. The 
only negative thing was that there was only a small clothes rail for 
clothes and no draws so we ended up living out of our suitcase.Read 
moreDate of stay: August 2018HelpfulShare</v>
      </c>
      <c r="G178" s="24" t="str">
        <f ca="1">IFERROR(__xludf.DUMMYFUNCTION("IMPORTXML(C178, $G$1)"),"holidoddy wrote a review Aug 201863 contributions19 helpful votes")</f>
        <v>holidoddy wrote a review Aug 201863 contributions19 helpful votes</v>
      </c>
      <c r="H178" s="4" t="str">
        <f ca="1">IFERROR(__xludf.DUMMYFUNCTION("""COMPUTED_VALUE"""),"Comfortable stayPerfect location. Staff really friendly and helpful. Our room was on the 
top floor, a huge window to admire the view (London eye). Room was 
immaculate. Breakfast was okay, only downside is it gets really busy. We 
had an evening meal one"&amp;" night, wasn't very good (probably a ping job in 
microwave and a fryer for chips etc). Wouldn't recommend the evening meals 
at all. Couldn't find any fault, apart from the evening meal and late night 
revellers coming in chatting and banging doors (but "&amp;"I'm sure we've all done 
this ��). Definitely recommend this Travelodge.Read moreDate of stay: 
August 2018HelpfulShare")</f>
        <v>Comfortable stayPerfect location. Staff really friendly and helpful. Our room was on the 
top floor, a huge window to admire the view (London eye). Room was 
immaculate. Breakfast was okay, only downside is it gets really busy. We 
had an evening meal one night, wasn't very good (probably a ping job in 
microwave and a fryer for chips etc). Wouldn't recommend the evening meals 
at all. Couldn't find any fault, apart from the evening meal and late night 
revellers coming in chatting and banging doors (but I'm sure we've all done 
this ��). Definitely recommend this Travelodge.Read moreDate of stay: 
August 2018HelpfulShare</v>
      </c>
      <c r="I178" s="21"/>
      <c r="J178" s="21" t="str">
        <f ca="1">IFERROR(__xludf.DUMMYFUNCTION("IMPORTXML(C178, $J$1)"),"jess19932018 wrote a review Aug 2018Cardiff, United Kingdom3 contributions")</f>
        <v>jess19932018 wrote a review Aug 2018Cardiff, United Kingdom3 contributions</v>
      </c>
      <c r="K178" s="4" t="str">
        <f ca="1">IFERROR(__xludf.DUMMYFUNCTION("""COMPUTED_VALUE"""),"Excellent hotel, will stay againMy friend and I visited London for 3 nights and booked this hotel due to 
location and it being decently priced. If I return to London this will be 
the hotel of my choice! Great friendly service, clean rooms and the 
break"&amp;"fast variety was good as well. The location is fabulous!! And perfect 
for sight seeing.Read moreDate of stay: August 2018HelpfulShare")</f>
        <v>Excellent hotel, will stay againMy friend and I visited London for 3 nights and booked this hotel due to 
location and it being decently priced. If I return to London this will be 
the hotel of my choice! Great friendly service, clean rooms and the 
breakfast variety was good as well. The location is fabulous!! And perfect 
for sight seeing.Read moreDate of stay: August 2018HelpfulShare</v>
      </c>
      <c r="L178" s="21"/>
      <c r="M178" s="21" t="str">
        <f ca="1">IFERROR(__xludf.DUMMYFUNCTION("IMPORTXML(C178, $M$1)"),"becky3212018 wrote a review Aug 20181 contribution")</f>
        <v>becky3212018 wrote a review Aug 20181 contribution</v>
      </c>
      <c r="N178" s="4" t="str">
        <f ca="1">IFERROR(__xludf.DUMMYFUNCTION("""COMPUTED_VALUE"""),"Excellent stay.Excellent newly refurbished hotel. Fresh, modern rooms with air 
conditioning. Staff very friendly and helpful. Only 5/10 minutes walk to 
the underground with easy access to the main attractions of London.Read 
moreReview collected in part"&amp;"nership with TravelodgeDate of stay: August 
2018HelpfulShare")</f>
        <v>Excellent stay.Excellent newly refurbished hotel. Fresh, modern rooms with air 
conditioning. Staff very friendly and helpful. Only 5/10 minutes walk to 
the underground with easy access to the main attractions of London.Read 
moreReview collected in partnership with TravelodgeDate of stay: August 
2018HelpfulShare</v>
      </c>
      <c r="O178" s="21"/>
      <c r="P178" s="21" t="str">
        <f ca="1">IFERROR(__xludf.DUMMYFUNCTION("IMPORTXML(C178, $P$1)"),"Ian S wrote a review Aug 2018Bristol, United Kingdom132 contributions65 
helpful votes")</f>
        <v>Ian S wrote a review Aug 2018Bristol, United Kingdom132 contributions65 
helpful votes</v>
      </c>
      <c r="Q178" s="4" t="str">
        <f ca="1">IFERROR(__xludf.DUMMYFUNCTION("""COMPUTED_VALUE"""),"Great value hotel with brilliant service!We were really pleasantly surprised by the hotel. We booked during an offer 
and we had a room for £18 each! The whole hotel has been refurbed and the 
rooms were really comfortable, clean and modern. The air con w"&amp;"as much 
needed and appreciated! We asked for a twin room which are assessable rooms 
and they’re much bigger than the other rooms. Beds really comfy. The 
reception staff were great, took our bags, offered local advice and were 
really friendly, thank yo"&amp;"u! Tube was about 7 minutes walk and The Southbank 
about 10 minutes. Would definitely recommend this hotel for a bargain 
London trip!Read moreDate of stay: August 2018HelpfulShare")</f>
        <v>Great value hotel with brilliant service!We were really pleasantly surprised by the hotel. We booked during an offer 
and we had a room for £18 each! The whole hotel has been refurbed and the 
rooms were really comfortable, clean and modern. The air con was much 
needed and appreciated! We asked for a twin room which are assessable rooms 
and they’re much bigger than the other rooms. Beds really comfy. The 
reception staff were great, took our bags, offered local advice and were 
really friendly, thank you! Tube was about 7 minutes walk and The Southbank 
about 10 minutes. Would definitely recommend this hotel for a bargain 
London trip!Read moreDate of stay: August 2018HelpfulShare</v>
      </c>
      <c r="U178" s="4" t="str">
        <f ca="1">IFERROR(__xludf.DUMMYFUNCTION("IMPORTXML(C179,$U$1)"),"Loading...")</f>
        <v>Loading...</v>
      </c>
    </row>
    <row r="179" spans="1:21" ht="15">
      <c r="A179" s="5" t="s">
        <v>13594</v>
      </c>
      <c r="B179" s="17" t="s">
        <v>126</v>
      </c>
      <c r="C179" s="23" t="str">
        <f t="shared" si="0"/>
        <v>https://www.tripadvisor.co.uk/Hotel_Review-g186338-d1812157-Reviews-or885-Travelodge_London_Waterloo_Hotel-London_England.html#REVIEWS</v>
      </c>
      <c r="D179" s="4" t="str">
        <f ca="1">IFERROR(__xludf.DUMMYFUNCTION("IMPORTXML(C179,$D$1)"),"Loading...")</f>
        <v>Loading...</v>
      </c>
      <c r="G179" s="24" t="str">
        <f ca="1">IFERROR(__xludf.DUMMYFUNCTION("IMPORTXML(C179, $G$1)"),"Nicole999 wrote a review Aug 2018Carmarthen2 contributions")</f>
        <v>Nicole999 wrote a review Aug 2018Carmarthen2 contributions</v>
      </c>
      <c r="H179" s="4" t="str">
        <f ca="1">IFERROR(__xludf.DUMMYFUNCTION("""COMPUTED_VALUE"""),"""Good hotel, value for money""Near Waterloo station, 20 minutes walk from the Srand and Covent Garden. 
The hotel was clean and functional. The hotel has a restaurant although we 
didn't eat at the hotel. The staff was very friendly and and helpful. Will"&amp;" 
use them again!Read moreDate of stay: August 2018HelpfulShare")</f>
        <v>"Good hotel, value for money"Near Waterloo station, 20 minutes walk from the Srand and Covent Garden. 
The hotel was clean and functional. The hotel has a restaurant although we 
didn't eat at the hotel. The staff was very friendly and and helpful. Will 
use them again!Read moreDate of stay: August 2018HelpfulShare</v>
      </c>
      <c r="I179" s="21"/>
      <c r="J179" s="21" t="str">
        <f ca="1">IFERROR(__xludf.DUMMYFUNCTION("IMPORTXML(C179, $J$1)"),"RosieB5 wrote a review Aug 2018Great Harwood, United Kingdom234 
contributions41 helpful votes")</f>
        <v>RosieB5 wrote a review Aug 2018Great Harwood, United Kingdom234 
contributions41 helpful votes</v>
      </c>
      <c r="K179" s="4" t="str">
        <f ca="1">IFERROR(__xludf.DUMMYFUNCTION("""COMPUTED_VALUE"""),"Home from homeSpent 3 nights here last Monday - Thursday. Comfy beds, clean rooms and 
good breakfasts. Kind, efficient and polite staff. Refurbished since last 
year and recommended for a stay in this part of London - just up the road 
from the old and y"&amp;"oung Vic and round the corner from lively area of The Cut 
and Southwark college. Fab!Read moreDate of stay: August 2018HelpfulShare")</f>
        <v>Home from homeSpent 3 nights here last Monday - Thursday. Comfy beds, clean rooms and 
good breakfasts. Kind, efficient and polite staff. Refurbished since last 
year and recommended for a stay in this part of London - just up the road 
from the old and young Vic and round the corner from lively area of The Cut 
and Southwark college. Fab!Read moreDate of stay: August 2018HelpfulShare</v>
      </c>
      <c r="L179" s="21"/>
      <c r="M179" s="21" t="str">
        <f ca="1">IFERROR(__xludf.DUMMYFUNCTION("IMPORTXML(C179, $M$1)"),"Amber A wrote a review Aug 20182 contributions")</f>
        <v>Amber A wrote a review Aug 20182 contributions</v>
      </c>
      <c r="N179" s="4" t="str">
        <f ca="1">IFERROR(__xludf.DUMMYFUNCTION("""COMPUTED_VALUE"""),"Average stay, good location but don’t buy WiFiThe location was good, hotel was clean and breakfast was decent. However, 
we paid £9 to have WiFi for 72 hours but the WiFi didn’t work and we 
weren’t offered a refund so that was a waste of money. Other tha"&amp;"n that the 
stay was good.Read moreReview collected in partnership with TravelodgeDate 
of stay: August 2018HelpfulShare")</f>
        <v>Average stay, good location but don’t buy WiFiThe location was good, hotel was clean and breakfast was decent. However, 
we paid £9 to have WiFi for 72 hours but the WiFi didn’t work and we 
weren’t offered a refund so that was a waste of money. Other than that the 
stay was good.Read moreReview collected in partnership with TravelodgeDate 
of stay: August 2018HelpfulShare</v>
      </c>
      <c r="O179" s="21"/>
      <c r="P179" s="21" t="str">
        <f ca="1">IFERROR(__xludf.DUMMYFUNCTION("IMPORTXML(C179, $P$1)"),"Mickyj1973 wrote a review Aug 2018Braunton, United Kingdom101 
contributions27 helpful votes")</f>
        <v>Mickyj1973 wrote a review Aug 2018Braunton, United Kingdom101 
contributions27 helpful votes</v>
      </c>
      <c r="Q179" s="4" t="str">
        <f ca="1">IFERROR(__xludf.DUMMYFUNCTION("""COMPUTED_VALUE"""),"Hotel good, food badHere for a long weekend away in London, staff friendly and helpful, room on 
the 8th floor immaculate with great views, only downside is the food 
served, breakfast only OK, lacking in selection, evening meals were awful, 
chicken dipp"&amp;"ers for one child were hard as rock and the cheese on the 
others was practically non existent, my meal had the un mistake let stench 
of microwave and my partners pie crust was rock hard.Read moreDate of stay: 
August 2018HelpfulShare")</f>
        <v>Hotel good, food badHere for a long weekend away in London, staff friendly and helpful, room on 
the 8th floor immaculate with great views, only downside is the food 
served, breakfast only OK, lacking in selection, evening meals were awful, 
chicken dippers for one child were hard as rock and the cheese on the 
others was practically non existent, my meal had the un mistake let stench 
of microwave and my partners pie crust was rock hard.Read moreDate of stay: 
August 2018HelpfulShare</v>
      </c>
      <c r="U179" s="4" t="str">
        <f ca="1">IFERROR(__xludf.DUMMYFUNCTION("IMPORTXML(C180,$U$1)"),"Loading...")</f>
        <v>Loading...</v>
      </c>
    </row>
    <row r="180" spans="1:21" ht="15">
      <c r="A180" s="25" t="s">
        <v>13595</v>
      </c>
      <c r="B180" s="17" t="s">
        <v>126</v>
      </c>
      <c r="C180" s="23" t="str">
        <f t="shared" si="0"/>
        <v>https://www.tripadvisor.co.uk/Hotel_Review-g186338-d1812157-Reviews-or890-Travelodge_London_Waterloo_Hotel-London_England.html#REVIEWS</v>
      </c>
      <c r="D180" s="4" t="str">
        <f ca="1">IFERROR(__xludf.DUMMYFUNCTION("IMPORTXML(C180,$D$1)"),"Codmother wrote a review Aug 2018Portsmouth, United Kingdom182 
contributions83 helpful votes")</f>
        <v>Codmother wrote a review Aug 2018Portsmouth, United Kingdom182 
contributions83 helpful votes</v>
      </c>
      <c r="E180" s="4" t="str">
        <f ca="1">IFERROR(__xludf.DUMMYFUNCTION("""COMPUTED_VALUE"""),"Did exactly whatit said on the tin !!!Perfect stay , clean and comfortable , 5 minutes from Waterloo station , 
excellent bar , although why it has been changed from a comfortable area 
with armchairs into what resembles a child's sitting area with high s"&amp;"tools 
and only a few sofas is beyond me …. that aside a very good stay …..Read 
moreReview collected in partnership with TravelodgeDate of stay: August 
2018HelpfulShare")</f>
        <v>Did exactly whatit said on the tin !!!Perfect stay , clean and comfortable , 5 minutes from Waterloo station , 
excellent bar , although why it has been changed from a comfortable area 
with armchairs into what resembles a child's sitting area with high stools 
and only a few sofas is beyond me …. that aside a very good stay …..Read 
moreReview collected in partnership with TravelodgeDate of stay: August 
2018HelpfulShare</v>
      </c>
      <c r="G180" s="24" t="str">
        <f ca="1">IFERROR(__xludf.DUMMYFUNCTION("IMPORTXML(C180, $G$1)"),"#N/A")</f>
        <v>#N/A</v>
      </c>
      <c r="I180" s="21"/>
      <c r="J180" s="21" t="str">
        <f ca="1">IFERROR(__xludf.DUMMYFUNCTION("IMPORTXML(C180, $J$1)"),"xliizyx wrote a review Aug 2018Burnley, United Kingdom1 contribution")</f>
        <v>xliizyx wrote a review Aug 2018Burnley, United Kingdom1 contribution</v>
      </c>
      <c r="K180" s="4" t="str">
        <f ca="1">IFERROR(__xludf.DUMMYFUNCTION("""COMPUTED_VALUE"""),"nice staycouple of issues with the shower but nothing major, was resolved ok. 
overall a lovely stay. very comfy beds. good value for money maybe little 
bit too far out though. might try one more central next time, covent garden 
eg.Read moreReview colle"&amp;"cted in partnership with TravelodgeDate of stay: 
August 2018HelpfulShare")</f>
        <v>nice staycouple of issues with the shower but nothing major, was resolved ok. 
overall a lovely stay. very comfy beds. good value for money maybe little 
bit too far out though. might try one more central next time, covent garden 
eg.Read moreReview collected in partnership with TravelodgeDate of stay: 
August 2018HelpfulShare</v>
      </c>
      <c r="L180" s="21"/>
      <c r="M180" s="21" t="str">
        <f ca="1">IFERROR(__xludf.DUMMYFUNCTION("IMPORTXML(C180, $M$1)"),"Philip W wrote a review Aug 2018Loughborough, United Kingdom5 contributions")</f>
        <v>Philip W wrote a review Aug 2018Loughborough, United Kingdom5 contributions</v>
      </c>
      <c r="N180" s="4" t="str">
        <f ca="1">IFERROR(__xludf.DUMMYFUNCTION("""COMPUTED_VALUE"""),"Good but could be betterCheap thin loo paper. No child-proof loo door lock despite loo being next 
to door. Due to no hot water one day we had to have cold shower! Faulty 
light. Some guests slam doors at 5am! Traffic noise if on the front. 
Otherwise cle"&amp;"an, comfy, freshly painted, mostly well maintained, good value 
if you book early.Read moreReview collected in partnership with 
TravelodgeDate of stay: August 2018HelpfulShare")</f>
        <v>Good but could be betterCheap thin loo paper. No child-proof loo door lock despite loo being next 
to door. Due to no hot water one day we had to have cold shower! Faulty 
light. Some guests slam doors at 5am! Traffic noise if on the front. 
Otherwise clean, comfy, freshly painted, mostly well maintained, good value 
if you book early.Read moreReview collected in partnership with 
TravelodgeDate of stay: August 2018HelpfulShare</v>
      </c>
      <c r="O180" s="21"/>
      <c r="P180" s="21" t="str">
        <f ca="1">IFERROR(__xludf.DUMMYFUNCTION("IMPORTXML(C180, $P$1)"),"diannepickford wrote a review Aug 20182 contributions")</f>
        <v>diannepickford wrote a review Aug 20182 contributions</v>
      </c>
      <c r="Q180" s="4" t="str">
        <f ca="1">IFERROR(__xludf.DUMMYFUNCTION("""COMPUTED_VALUE"""),"Perfect place to rest your headGood clean, welcoming and inexpensive acccommodation. All services 
available including food and baggage depository. Great position for easy 
walking to major attractions, art galleries, the Thames cruisers and all 
other tr"&amp;"ansport connections.Read moreReview collected in partnership with 
TravelodgeDate of stay: August 2018HelpfulShare")</f>
        <v>Perfect place to rest your headGood clean, welcoming and inexpensive acccommodation. All services 
available including food and baggage depository. Great position for easy 
walking to major attractions, art galleries, the Thames cruisers and all 
other transport connections.Read moreReview collected in partnership with 
TravelodgeDate of stay: August 2018HelpfulShare</v>
      </c>
      <c r="U180" s="4" t="str">
        <f ca="1">IFERROR(__xludf.DUMMYFUNCTION("IMPORTXML(C181,$U$1)"),"Loading...")</f>
        <v>Loading...</v>
      </c>
    </row>
    <row r="181" spans="1:21" ht="15">
      <c r="A181" s="25" t="s">
        <v>13596</v>
      </c>
      <c r="B181" s="17" t="s">
        <v>126</v>
      </c>
      <c r="C181" s="23" t="str">
        <f t="shared" si="0"/>
        <v>https://www.tripadvisor.co.uk/Hotel_Review-g186338-d1812157-Reviews-or895-Travelodge_London_Waterloo_Hotel-London_England.html#REVIEWS</v>
      </c>
      <c r="D181" s="4" t="str">
        <f ca="1">IFERROR(__xludf.DUMMYFUNCTION("IMPORTXML(C181,$D$1)"),"Sarah720England wrote a review Aug 2018Dorchester, United Kingdom3 
contributions")</f>
        <v>Sarah720England wrote a review Aug 2018Dorchester, United Kingdom3 
contributions</v>
      </c>
      <c r="E181" s="4" t="str">
        <f ca="1">IFERROR(__xludf.DUMMYFUNCTION("""COMPUTED_VALUE"""),"Excellent value for moneyExcellent value for money. Close to Waterloo station and tube. Clean 
comfortable room, friendly service every time we have visited. 
Unfortunately there was an incident at Westminster whilst we were there. 
The hotel staff had up"&amp;"to the minute info on travelling around London and 
told us to ring them if whilst out there were any problems and they would 
do their best to help.Read moreReview collected in partnership with 
TravelodgeDate of stay: August 2018HelpfulShare")</f>
        <v>Excellent value for moneyExcellent value for money. Close to Waterloo station and tube. Clean 
comfortable room, friendly service every time we have visited. 
Unfortunately there was an incident at Westminster whilst we were there. 
The hotel staff had upto the minute info on travelling around London and 
told us to ring them if whilst out there were any problems and they would 
do their best to help.Read moreReview collected in partnership with 
TravelodgeDate of stay: August 2018HelpfulShare</v>
      </c>
      <c r="G181" s="24" t="str">
        <f ca="1">IFERROR(__xludf.DUMMYFUNCTION("IMPORTXML(C181, $G$1)"),"derekra wrote a review Aug 20181 contribution")</f>
        <v>derekra wrote a review Aug 20181 contribution</v>
      </c>
      <c r="H181" s="4" t="str">
        <f ca="1">IFERROR(__xludf.DUMMYFUNCTION("""COMPUTED_VALUE"""),"Excellent hotelExcellent hotel, really close to the train station, great service from the 
personal, i would only recommend to have better bathrooms products such as 
shampoo and soap.I would definitely choose this hotel again.Read moreReview 
collected i"&amp;"n partnership with TravelodgeDate of stay: August 
2018HelpfulShare")</f>
        <v>Excellent hotelExcellent hotel, really close to the train station, great service from the 
personal, i would only recommend to have better bathrooms products such as 
shampoo and soap.I would definitely choose this hotel again.Read moreReview 
collected in partnership with TravelodgeDate of stay: August 
2018HelpfulShare</v>
      </c>
      <c r="I181" s="21"/>
      <c r="J181" s="21" t="str">
        <f ca="1">IFERROR(__xludf.DUMMYFUNCTION("IMPORTXML(C181, $J$1)"),"Blondly wrote a review Aug 2018Congleton, United Kingdom4 contributions2 
helpful votes")</f>
        <v>Blondly wrote a review Aug 2018Congleton, United Kingdom4 contributions2 
helpful votes</v>
      </c>
      <c r="K181" s="4" t="str">
        <f ca="1">IFERROR(__xludf.DUMMYFUNCTION("""COMPUTED_VALUE"""),"Break in londonGreat location. We caught a bus from Euston which dropped us off outside 
the hotel. Approx 10-15 walk to the London Eye. We could even see the 
London eye from our room! When we arrived we liked the bright 
reception/sitting area. Jug of w"&amp;"ater with glasses you could help yourself 
too. Nice bar there. Big restaurant. Reasonably priced food and tasty. Good 
selection of food for breakfast (fruit, cereal, Vege sausages, scrambled 
egg, mushrooms etc, latte/hot chocolate machine). We booked 2"&amp;" large family 
rooms for our family of 6. We thought the beds were very comfortable. We 
would be very happy to stay there again.Read moreReview collected in 
partnership with TravelodgeDate of stay: August 2018HelpfulShare")</f>
        <v>Break in londonGreat location. We caught a bus from Euston which dropped us off outside 
the hotel. Approx 10-15 walk to the London Eye. We could even see the 
London eye from our room! When we arrived we liked the bright 
reception/sitting area. Jug of water with glasses you could help yourself 
too. Nice bar there. Big restaurant. Reasonably priced food and tasty. Good 
selection of food for breakfast (fruit, cereal, Vege sausages, scrambled 
egg, mushrooms etc, latte/hot chocolate machine). We booked 2 large family 
rooms for our family of 6. We thought the beds were very comfortable. We 
would be very happy to stay there again.Read moreReview collected in 
partnership with TravelodgeDate of stay: August 2018HelpfulShare</v>
      </c>
      <c r="L181" s="21"/>
      <c r="M181" s="21" t="str">
        <f ca="1">IFERROR(__xludf.DUMMYFUNCTION("IMPORTXML(C181, $M$1)"),"Philip B wrote a review Aug 20183 contributions1 helpful vote")</f>
        <v>Philip B wrote a review Aug 20183 contributions1 helpful vote</v>
      </c>
      <c r="N181" s="4" t="str">
        <f ca="1">IFERROR(__xludf.DUMMYFUNCTION("""COMPUTED_VALUE"""),"Travelodge Waterloo CentralGood for what you pay for but could be better. No storage space, WiFi 
sucks, no housekeeping in the afternoon and evenings so if you have a sick 
kid who throws up on the bed you are in trouble. Breakfast great quality, 
kids e"&amp;"at free. Good locationRead moreReview collected in partnership with 
TravelodgeDate of stay: August 2018HelpfulShareResponse from TravelodgeUK, 
Charley from the Social Media Team at Travelodge London Waterloo 
HotelResponded 21 Aug 2018Thank you for taki"&amp;"ng the time to review our 
London Waterloo hotel. We are sorry to hear that your experience was 
spoiled in particular by the layout of the room and the wifi. From feedback 
such as yours we regularly review what services we provide for our 
customers and"&amp;" consider all possible options. Currently, we are prioritising 
an upgrade of our WiFi infrastructure to improve the quality of our WiFi 
produ We are also sorry to hear of your disappointment regarding the 
servicing of the rooms and this will be passed "&amp;"on. We would hope to welcome 
you again in the future and give us the opportunity to offer a fully 
enjoyable stay.Read more")</f>
        <v>Travelodge Waterloo CentralGood for what you pay for but could be better. No storage space, WiFi 
sucks, no housekeeping in the afternoon and evenings so if you have a sick 
kid who throws up on the bed you are in trouble. Breakfast great quality, 
kids eat free. Good locationRead moreReview collected in partnership with 
TravelodgeDate of stay: August 2018HelpfulShareResponse from TravelodgeUK, 
Charley from the Social Media Team at Travelodge London Waterloo 
HotelResponded 21 Aug 2018Thank you for taking the time to review our 
London Waterloo hotel. We are sorry to hear that your experience was 
spoiled in particular by the layout of the room and the wifi. From feedback 
such as yours we regularly review what services we provide for our 
customers and consider all possible options. Currently, we are prioritising 
an upgrade of our WiFi infrastructure to improve the quality of our WiFi 
produ We are also sorry to hear of your disappointment regarding the 
servicing of the rooms and this will be passed on. We would hope to welcome 
you again in the future and give us the opportunity to offer a fully 
enjoyable stay.Read more</v>
      </c>
      <c r="O181" s="21"/>
      <c r="P181" s="21" t="str">
        <f ca="1">IFERROR(__xludf.DUMMYFUNCTION("IMPORTXML(C181, $P$1)"),"Dom W wrote a review Aug 2018Bristol48 contributions20 helpful votes")</f>
        <v>Dom W wrote a review Aug 2018Bristol48 contributions20 helpful votes</v>
      </c>
      <c r="Q181" s="4" t="str">
        <f ca="1">IFERROR(__xludf.DUMMYFUNCTION("""COMPUTED_VALUE"""),"Good budget hotel in central locationFriendly staff and a decent room for the price, The hotel's very convenient 
to Waterloo station, and an easy walk to the London Eye and 
bars/restaurants etc. along the Thames so easy access to central London on 
foot"&amp;" or public transport. The immediate locality has convenience stores as 
well as some bars etc. too so pretty much everything you need without too 
much effort.Read moreReview collected in partnership with TravelodgeDate of 
stay: August 2018HelpfulShare")</f>
        <v>Good budget hotel in central locationFriendly staff and a decent room for the price, The hotel's very convenient 
to Waterloo station, and an easy walk to the London Eye and 
bars/restaurants etc. along the Thames so easy access to central London on 
foot or public transport. The immediate locality has convenience stores as 
well as some bars etc. too so pretty much everything you need without too 
much effort.Read moreReview collected in partnership with TravelodgeDate of 
stay: August 2018HelpfulShare</v>
      </c>
      <c r="U181" s="4" t="str">
        <f ca="1">IFERROR(__xludf.DUMMYFUNCTION("IMPORTXML(C182,$U$1)"),"Loading...")</f>
        <v>Loading...</v>
      </c>
    </row>
    <row r="182" spans="1:21" ht="15">
      <c r="A182" s="25" t="s">
        <v>13597</v>
      </c>
      <c r="B182" s="17" t="s">
        <v>126</v>
      </c>
      <c r="C182" s="23" t="str">
        <f t="shared" si="0"/>
        <v>https://www.tripadvisor.co.uk/Hotel_Review-g186338-d1812157-Reviews-or900-Travelodge_London_Waterloo_Hotel-London_England.html#REVIEWS</v>
      </c>
      <c r="D182" s="4" t="str">
        <f ca="1">IFERROR(__xludf.DUMMYFUNCTION("IMPORTXML(C182,$D$1)"),"KevinWestera wrote a review Aug 2018Calgary, Canada1 contribution")</f>
        <v>KevinWestera wrote a review Aug 2018Calgary, Canada1 contribution</v>
      </c>
      <c r="E182" s="4" t="str">
        <f ca="1">IFERROR(__xludf.DUMMYFUNCTION("""COMPUTED_VALUE"""),"Hotel just OK, but affordable for London with OK Location.Family of three staying for seven nights, accommodations are nothing fancy 
but for the price they will do. Pros - affordable, clean, friendly staff, 5 
min walk to underground station, 20 min walk"&amp;" to CocaCola Eye and area, 30 
min walk to Westminster. Cons - hotel is non responsive to even simple 
maintenance items such as a broken bathroom soap dispenser, burnt out light 
at desk, one morning we had zero hot water, hotel food selection very 
limi"&amp;"ted, area near hotel food selection is limited, no in room safe.Read 
moreDate of stay: August 2018HelpfulShareResponse from TravelodgeUK, Ben 
from the Social Media Team at Travelodge London Waterloo HotelResponded 15 
Aug 2018Thank you for taking the ti"&amp;"me to write a review about our London 
Waterloo hotel. We are pleased to learn that you found your room to be 
clean, good value, the hotel team friendly and you liked the location 
although we would like to apologise for the disappointment caused by othe"&amp;"r 
aspects of your stay. If you wish to contact us directly to give us more 
feedback, please be aware that you can always contact our Customer Services 
team via our website. Thank you once again and we do hope you will stay 
with us in the future.Read m"&amp;"ore")</f>
        <v>Hotel just OK, but affordable for London with OK Location.Family of three staying for seven nights, accommodations are nothing fancy 
but for the price they will do. Pros - affordable, clean, friendly staff, 5 
min walk to underground station, 20 min walk to CocaCola Eye and area, 30 
min walk to Westminster. Cons - hotel is non responsive to even simple 
maintenance items such as a broken bathroom soap dispenser, burnt out light 
at desk, one morning we had zero hot water, hotel food selection very 
limited, area near hotel food selection is limited, no in room safe.Read 
moreDate of stay: August 2018HelpfulShareResponse from TravelodgeUK, Ben 
from the Social Media Team at Travelodge London Waterloo HotelResponded 15 
Aug 2018Thank you for taking the time to write a review about our London 
Waterloo hotel. We are pleased to learn that you found your room to be 
clean, good value, the hotel team friendly and you liked the location 
although we would like to apologise for the disappointment caused by other 
aspects of your stay. If you wish to contact us directly to give us more 
feedback, please be aware that you can always contact our Customer Services 
team via our website. Thank you once again and we do hope you will stay 
with us in the future.Read more</v>
      </c>
      <c r="G182" s="24" t="str">
        <f ca="1">IFERROR(__xludf.DUMMYFUNCTION("IMPORTXML(C182, $G$1)"),"Neil L wrote a review Aug 20183 contributions2 helpful votes")</f>
        <v>Neil L wrote a review Aug 20183 contributions2 helpful votes</v>
      </c>
      <c r="H182" s="4" t="str">
        <f ca="1">IFERROR(__xludf.DUMMYFUNCTION("""COMPUTED_VALUE"""),"London Away DayClean, basic and everything we needed as a base to explore. Nice to see the 
bar and plenty of choice. The breakfast had a good variety and was well 
stocked. The hotel is very clean and tidy and the staff were friendly and 
polite.Read mor"&amp;"eReview collected in partnership with TravelodgeDate of 
stay: August 2018HelpfulShare")</f>
        <v>London Away DayClean, basic and everything we needed as a base to explore. Nice to see the 
bar and plenty of choice. The breakfast had a good variety and was well 
stocked. The hotel is very clean and tidy and the staff were friendly and 
polite.Read moreReview collected in partnership with TravelodgeDate of 
stay: August 2018HelpfulShare</v>
      </c>
      <c r="I182" s="21"/>
      <c r="J182" s="21" t="str">
        <f ca="1">IFERROR(__xludf.DUMMYFUNCTION("IMPORTXML(C182, $J$1)"),"enajysborc wrote a review Aug 20184 contributions")</f>
        <v>enajysborc wrote a review Aug 20184 contributions</v>
      </c>
      <c r="K182" s="4" t="str">
        <f ca="1">IFERROR(__xludf.DUMMYFUNCTION("""COMPUTED_VALUE"""),"Exceeded expectstionsWaterloo Travel Lodge was far in excess of expectation of a cheaper than 
average hotel. Comfy bed. Air con. Great breakfast. Only down side the hot 
water was out of order one morning due to circumstances beyond the staffs 
control. "&amp;"Overall very good.Read moreReview collected in partnership with 
TravelodgeDate of stay: August 2018HelpfulShare")</f>
        <v>Exceeded expectstionsWaterloo Travel Lodge was far in excess of expectation of a cheaper than 
average hotel. Comfy bed. Air con. Great breakfast. Only down side the hot 
water was out of order one morning due to circumstances beyond the staffs 
control. Overall very good.Read moreReview collected in partnership with 
TravelodgeDate of stay: August 2018HelpfulShare</v>
      </c>
      <c r="L182" s="21"/>
      <c r="M182" s="21" t="str">
        <f ca="1">IFERROR(__xludf.DUMMYFUNCTION("IMPORTXML(C182, $M$1)"),"Wendi S wrote a review Aug 201854 contributions15 helpful votes")</f>
        <v>Wendi S wrote a review Aug 201854 contributions15 helpful votes</v>
      </c>
      <c r="N182" s="4" t="str">
        <f ca="1">IFERROR(__xludf.DUMMYFUNCTION("""COMPUTED_VALUE"""),"Clean and friendlyStay here for a few nights,comfortable bed,good size room(there were three 
of us),great veiw of the London eye,very good location 7 mins from 
tube,resption staff friendly,when in the area again will stay here.Read 
moreDate of stay: Au"&amp;"gust 2018HelpfulShare")</f>
        <v>Clean and friendlyStay here for a few nights,comfortable bed,good size room(there were three 
of us),great veiw of the London eye,very good location 7 mins from 
tube,resption staff friendly,when in the area again will stay here.Read 
moreDate of stay: August 2018HelpfulShare</v>
      </c>
      <c r="O182" s="21"/>
      <c r="P182" s="21" t="str">
        <f ca="1">IFERROR(__xludf.DUMMYFUNCTION("IMPORTXML(C182, $P$1)"),"Honey K wrote a review Aug 2018Crewe, United Kingdom117 contributions11 
helpful votes")</f>
        <v>Honey K wrote a review Aug 2018Crewe, United Kingdom117 contributions11 
helpful votes</v>
      </c>
      <c r="Q182" s="4" t="str">
        <f ca="1">IFERROR(__xludf.DUMMYFUNCTION("""COMPUTED_VALUE"""),"+1")</f>
        <v>+1</v>
      </c>
      <c r="R182" s="4" t="str">
        <f ca="1">IFERROR(__xludf.DUMMYFUNCTION("""COMPUTED_VALUE"""),"Bargain for LondonSo surprised. For the price i was expecting a grotty hotel but this place 
blew my expectations away. Very close to waterloo station and underground, 
nice lounge area, lovely all you ear breakfast. Lovely modern, clean rooms 
with airco"&amp;"n, shower, tea n coffee, flat screen tv. Late check out available 
at low cost supplement. Staff so friendly and accommodating. Would use 
againRead moreDate of stay: August 2018HelpfulShare")</f>
        <v>Bargain for LondonSo surprised. For the price i was expecting a grotty hotel but this place 
blew my expectations away. Very close to waterloo station and underground, 
nice lounge area, lovely all you ear breakfast. Lovely modern, clean rooms 
with aircon, shower, tea n coffee, flat screen tv. Late check out available 
at low cost supplement. Staff so friendly and accommodating. Would use 
againRead moreDate of stay: August 2018HelpfulShare</v>
      </c>
      <c r="U182" s="4" t="str">
        <f ca="1">IFERROR(__xludf.DUMMYFUNCTION("IMPORTXML(C183,$U$1)"),"Loading...")</f>
        <v>Loading...</v>
      </c>
    </row>
    <row r="183" spans="1:21" ht="15">
      <c r="A183" s="5" t="s">
        <v>13598</v>
      </c>
      <c r="B183" s="17" t="s">
        <v>126</v>
      </c>
      <c r="C183" s="23" t="str">
        <f t="shared" si="0"/>
        <v>https://www.tripadvisor.co.uk/Hotel_Review-g186338-d1812157-Reviews-or905-Travelodge_London_Waterloo_Hotel-London_England.html#REVIEWS</v>
      </c>
      <c r="D183" s="4" t="str">
        <f ca="1">IFERROR(__xludf.DUMMYFUNCTION("IMPORTXML(C183,$D$1)"),"#N/A")</f>
        <v>#N/A</v>
      </c>
      <c r="G183" s="24" t="str">
        <f ca="1">IFERROR(__xludf.DUMMYFUNCTION("IMPORTXML(C183, $G$1)"),"MrSingh146 wrote a review Aug 2018Wolverhampton, United Kingdom9 
contributions")</f>
        <v>MrSingh146 wrote a review Aug 2018Wolverhampton, United Kingdom9 
contributions</v>
      </c>
      <c r="H183" s="4" t="str">
        <f ca="1">IFERROR(__xludf.DUMMYFUNCTION("""COMPUTED_VALUE"""),"Good location......poor serviceHotel as expected for a Travelodge so we knew what we were getting. 
However, we woke up to no hot water, there are no phones in the rooms to 
call reception so I had to go down to reception to be told that there was 
nothin"&amp;"g they could do and it was an issue across the whole of the hotel and 
we were asked to wait one hour and a half until the issue gets resolved. No 
attempt to inform the guests of this issue that was clearly affecting 
everybody (we had 2 rooms over diffe"&amp;"rent floors and both had the same 
issue). Drinks at the bar were onRead moreReview collected in partnership 
with TravelodgeDate of stay: August 2018HelpfulShareResponse from 
TravelodgeUK, Shaf from the Social Media Team. at Travelodge London 
Waterloo "&amp;"HotelResponded 14 Aug 2018Thank you for reviewing our London 
Waterloo Travelodge. We're pleased to hear you liked the location of the 
hotel and really am sorry to learn of the issues you experienced with the 
hot water. We understand that your overall e"&amp;"xperience was not exceptional 
and we do apologise for this. We'll be sure to pass your valuable feedback 
directly to our colleagues in our hotel as this is the best way for us to 
improve the service we offer. Feedback is invaluable and our Hotel Manage"&amp;"rs 
regularly review their TripAdvisor reviews in order to fix any issues 
raised and pass on feedback to their team. Thank you once again and we do 
hope you will stay with us in the future.Read more")</f>
        <v>Good location......poor serviceHotel as expected for a Travelodge so we knew what we were getting. 
However, we woke up to no hot water, there are no phones in the rooms to 
call reception so I had to go down to reception to be told that there was 
nothing they could do and it was an issue across the whole of the hotel and 
we were asked to wait one hour and a half until the issue gets resolved. No 
attempt to inform the guests of this issue that was clearly affecting 
everybody (we had 2 rooms over different floors and both had the same 
issue). Drinks at the bar were onRead moreReview collected in partnership 
with TravelodgeDate of stay: August 2018HelpfulShareResponse from 
TravelodgeUK, Shaf from the Social Media Team. at Travelodge London 
Waterloo HotelResponded 14 Aug 2018Thank you for reviewing our London 
Waterloo Travelodge. We're pleased to hear you liked the location of the 
hotel and really am sorry to learn of the issues you experienced with the 
hot water. We understand that your overall experience was not exceptional 
and we do apologise for this. We'll be sure to pass your valuable feedback 
directly to our colleagues in our hotel as this is the best way for us to 
improve the service we offer. Feedback is invaluable and our Hotel Managers 
regularly review their TripAdvisor reviews in order to fix any issues 
raised and pass on feedback to their team. Thank you once again and we do 
hope you will stay with us in the future.Read more</v>
      </c>
      <c r="I183" s="21"/>
      <c r="J183" s="21" t="str">
        <f ca="1">IFERROR(__xludf.DUMMYFUNCTION("IMPORTXML(C183, $J$1)"),"Nicky C wrote a review Aug 2018Risca, United Kingdom237 contributions23 
helpful votes")</f>
        <v>Nicky C wrote a review Aug 2018Risca, United Kingdom237 contributions23 
helpful votes</v>
      </c>
      <c r="K183" s="4" t="str">
        <f ca="1">IFERROR(__xludf.DUMMYFUNCTION("""COMPUTED_VALUE"""),"Mixed reviewsI stayed here for one night on business. Staff were very welcoming and 
friendly. The room was a little disappointing, as there was no mattress 
cover, and the mattress was stained, there was also a lot of long black 
hairs in the shower cubi"&amp;"cle. My colleagues were very pleased with their 
rooms, so I assume it was just an oversight with my room. I would therefore 
give the hotel another chance and return.Read moreDate of stay: July 
2018HelpfulShareResponse from TravelodgeUK, Molly from the "&amp;"Social Media 
Team at Travelodge London Waterloo HotelResponded 14 Aug 2018Thank you for 
your review. We're pleased to hear that the Team demonstrated the high 
level of customer care we aim to provide. However, we apologise that you 
were disappointed w"&amp;"ith your room, and for the cleanliness issues you 
encountered. We will certainly address this with the Housekeeping Team. 
Thanks again for your review, and we hope to welcome you back to stay with 
us again soon.Read more")</f>
        <v>Mixed reviewsI stayed here for one night on business. Staff were very welcoming and 
friendly. The room was a little disappointing, as there was no mattress 
cover, and the mattress was stained, there was also a lot of long black 
hairs in the shower cubicle. My colleagues were very pleased with their 
rooms, so I assume it was just an oversight with my room. I would therefore 
give the hotel another chance and return.Read moreDate of stay: July 
2018HelpfulShareResponse from TravelodgeUK, Molly from the Social Media 
Team at Travelodge London Waterloo HotelResponded 14 Aug 2018Thank you for 
your review. We're pleased to hear that the Team demonstrated the high 
level of customer care we aim to provide. However, we apologise that you 
were disappointed with your room, and for the cleanliness issues you 
encountered. We will certainly address this with the Housekeeping Team. 
Thanks again for your review, and we hope to welcome you back to stay with 
us again soon.Read more</v>
      </c>
      <c r="L183" s="21"/>
      <c r="M183" s="21" t="str">
        <f ca="1">IFERROR(__xludf.DUMMYFUNCTION("IMPORTXML(C183, $M$1)"),"#N/A")</f>
        <v>#N/A</v>
      </c>
      <c r="O183" s="21"/>
      <c r="P183" s="21" t="str">
        <f ca="1">IFERROR(__xludf.DUMMYFUNCTION("IMPORTXML(C183, $P$1)"),"Katherine B wrote a review Aug 20182 contributions")</f>
        <v>Katherine B wrote a review Aug 20182 contributions</v>
      </c>
      <c r="Q183" s="4" t="str">
        <f ca="1">IFERROR(__xludf.DUMMYFUNCTION("""COMPUTED_VALUE"""),"BrilliantLovely hotel, staff really friendly and helpful, very easy for sightseeing. 
Close to Waterloo station. The rooms were great and air conditioned, very 
quiet. We stayed for breakfast, which was nice, being gluten free the staff 
made sure I had w"&amp;"hat I needed.Read moreDate of stay: August 2018HelpfulShare")</f>
        <v>BrilliantLovely hotel, staff really friendly and helpful, very easy for sightseeing. 
Close to Waterloo station. The rooms were great and air conditioned, very 
quiet. We stayed for breakfast, which was nice, being gluten free the staff 
made sure I had what I needed.Read moreDate of stay: August 2018HelpfulShare</v>
      </c>
      <c r="U183" s="4" t="str">
        <f ca="1">IFERROR(__xludf.DUMMYFUNCTION("IMPORTXML(C184,$U$1)"),"Loading...")</f>
        <v>Loading...</v>
      </c>
    </row>
    <row r="184" spans="1:21" ht="15">
      <c r="A184" s="25" t="s">
        <v>13599</v>
      </c>
      <c r="B184" s="17" t="s">
        <v>126</v>
      </c>
      <c r="C184" s="23" t="str">
        <f t="shared" si="0"/>
        <v>https://www.tripadvisor.co.uk/Hotel_Review-g186338-d1812157-Reviews-or910-Travelodge_London_Waterloo_Hotel-London_England.html#REVIEWS</v>
      </c>
      <c r="D184" s="4" t="str">
        <f ca="1">IFERROR(__xludf.DUMMYFUNCTION("IMPORTXML(C184,$D$1)"),"K D wrote a review Aug 2018Pune, India139 contributions29 helpful votes")</f>
        <v>K D wrote a review Aug 2018Pune, India139 contributions29 helpful votes</v>
      </c>
      <c r="E184" s="4" t="str">
        <f ca="1">IFERROR(__xludf.DUMMYFUNCTION("""COMPUTED_VALUE"""),"An Exceptionally Good No-Frills hotelThough it might not be categorized as Star hotel, the hospitality and 
courteousness is unparalleled for this hotel. Not to mention it's superior 
local. We stayed in family room. The hotel has Air Conditioner, which w"&amp;"as a 
super plus in the scorching London heat. Rooms had ensuite bathroom with 
shower, everything you can expect for a family room. Room were spotlessly 
clean and the housekeeping ensured it was returned spotless everyday. The 
front desk staffs ready t"&amp;"o help with a smile always. We took wifi and 
breakfast in our package. Wifi worked perfectly fine allthroughout. 
Breakfast had good spread with fruits, Continental choice , juices and hot 
beverages. 5 min walk from Waterloo underground and National Rai"&amp;"l station 
and bus stops. Overall this hotel had won my heart. I…Read moreDate of 
stay: August 2018HelpfulShare")</f>
        <v>An Exceptionally Good No-Frills hotelThough it might not be categorized as Star hotel, the hospitality and 
courteousness is unparalleled for this hotel. Not to mention it's superior 
local. We stayed in family room. The hotel has Air Conditioner, which was a 
super plus in the scorching London heat. Rooms had ensuite bathroom with 
shower, everything you can expect for a family room. Room were spotlessly 
clean and the housekeeping ensured it was returned spotless everyday. The 
front desk staffs ready to help with a smile always. We took wifi and 
breakfast in our package. Wifi worked perfectly fine allthroughout. 
Breakfast had good spread with fruits, Continental choice , juices and hot 
beverages. 5 min walk from Waterloo underground and National Rail station 
and bus stops. Overall this hotel had won my heart. I…Read moreDate of 
stay: August 2018HelpfulShare</v>
      </c>
      <c r="G184" s="24" t="str">
        <f ca="1">IFERROR(__xludf.DUMMYFUNCTION("IMPORTXML(C184, $G$1)"),"allisonowenjones wrote a review Aug 2018Cardiff, United Kingdom46 
contributions16 helpful votes")</f>
        <v>allisonowenjones wrote a review Aug 2018Cardiff, United Kingdom46 
contributions16 helpful votes</v>
      </c>
      <c r="H184" s="4" t="str">
        <f ca="1">IFERROR(__xludf.DUMMYFUNCTION("""COMPUTED_VALUE"""),"Basic but clean and friendly.The rooms are fine, the staff were pleasant and the breakfast was plentiful 
However, DO NOT HAVE AN EVENING MEAL THERE AS IT WAS EXPENSIVE AND OF POOR 
QUALITY. IT TOOK FOREVER TO ARRIVE. As a base for a visit to London, go f"&amp;"or 
it.Read moreReview collected in partnership with TravelodgeDate of stay: 
August 2018HelpfulShare")</f>
        <v>Basic but clean and friendly.The rooms are fine, the staff were pleasant and the breakfast was plentiful 
However, DO NOT HAVE AN EVENING MEAL THERE AS IT WAS EXPENSIVE AND OF POOR 
QUALITY. IT TOOK FOREVER TO ARRIVE. As a base for a visit to London, go for 
it.Read moreReview collected in partnership with TravelodgeDate of stay: 
August 2018HelpfulShare</v>
      </c>
      <c r="I184" s="21"/>
      <c r="J184" s="21" t="str">
        <f ca="1">IFERROR(__xludf.DUMMYFUNCTION("IMPORTXML(C184, $J$1)"),"1TashaJ wrote a review Aug 2018Brighton, United Kingdom27 contributions7 
helpful votes")</f>
        <v>1TashaJ wrote a review Aug 2018Brighton, United Kingdom27 contributions7 
helpful votes</v>
      </c>
      <c r="K184" s="4" t="str">
        <f ca="1">IFERROR(__xludf.DUMMYFUNCTION("""COMPUTED_VALUE"""),"Can't argue for the price!This place is great value for money really when travelling on a budget. As 
it is a good standard of accommodation for the price! With the added extras 
of being in a great location for London and having great staff who are 
frie"&amp;"ndly and helpful.Read moreDate of stay: August 2018HelpfulShare")</f>
        <v>Can't argue for the price!This place is great value for money really when travelling on a budget. As 
it is a good standard of accommodation for the price! With the added extras 
of being in a great location for London and having great staff who are 
friendly and helpful.Read moreDate of stay: August 2018HelpfulShare</v>
      </c>
      <c r="L184" s="21"/>
      <c r="M184" s="21" t="str">
        <f ca="1">IFERROR(__xludf.DUMMYFUNCTION("IMPORTXML(C184, $M$1)"),"Teresa C wrote a review Aug 2018Newmarket, United Kingdom8 contributions3 
helpful votes")</f>
        <v>Teresa C wrote a review Aug 2018Newmarket, United Kingdom8 contributions3 
helpful votes</v>
      </c>
      <c r="N184" s="4" t="str">
        <f ca="1">IFERROR(__xludf.DUMMYFUNCTION("""COMPUTED_VALUE"""),"weekend staystay here every year for the weekend .a short walk from the london eye 
Hotel is great location for central London,the room was clean and 
comfortable, staff were friendly. We were able to leave our bags at 
reception in a locked room before l"&amp;"eaving as we wanted to go out and 
explore before going home .Read moreDate of stay: August 2018HelpfulShare")</f>
        <v>weekend staystay here every year for the weekend .a short walk from the london eye 
Hotel is great location for central London,the room was clean and 
comfortable, staff were friendly. We were able to leave our bags at 
reception in a locked room before leaving as we wanted to go out and 
explore before going home .Read moreDate of stay: August 2018HelpfulShare</v>
      </c>
      <c r="O184" s="21"/>
      <c r="P184" s="21" t="str">
        <f ca="1">IFERROR(__xludf.DUMMYFUNCTION("IMPORTXML(C184, $P$1)"),"#N/A")</f>
        <v>#N/A</v>
      </c>
      <c r="U184" s="4" t="str">
        <f ca="1">IFERROR(__xludf.DUMMYFUNCTION("IMPORTXML(C185,$U$1)"),"Loading...")</f>
        <v>Loading...</v>
      </c>
    </row>
    <row r="185" spans="1:21" ht="15">
      <c r="A185" s="25" t="s">
        <v>13600</v>
      </c>
      <c r="B185" s="17" t="s">
        <v>126</v>
      </c>
      <c r="C185" s="23" t="str">
        <f t="shared" si="0"/>
        <v>https://www.tripadvisor.co.uk/Hotel_Review-g186338-d1812157-Reviews-or915-Travelodge_London_Waterloo_Hotel-London_England.html#REVIEWS</v>
      </c>
      <c r="D185" s="4" t="str">
        <f ca="1">IFERROR(__xludf.DUMMYFUNCTION("IMPORTXML(C185,$D$1)"),"Long23 wrote a review Aug 2018Leeds, United Kingdom56 contributions37 
helpful votes")</f>
        <v>Long23 wrote a review Aug 2018Leeds, United Kingdom56 contributions37 
helpful votes</v>
      </c>
      <c r="E185" s="4" t="str">
        <f ca="1">IFERROR(__xludf.DUMMYFUNCTION("""COMPUTED_VALUE"""),"Simple and straightforwardMe &amp; the kids in London for a night, this place was convenient and 
comparatively cheap. Could have made it more obvious on booking that one of 
the beds was shared, but worked out just fine. Aircon meant we could sleep, 
and fre"&amp;"e breakfast for the kids was a welcome bonus (that they heartily 
enjoyed).Read moreDate of stay: August 2018HelpfulShare")</f>
        <v>Simple and straightforwardMe &amp; the kids in London for a night, this place was convenient and 
comparatively cheap. Could have made it more obvious on booking that one of 
the beds was shared, but worked out just fine. Aircon meant we could sleep, 
and free breakfast for the kids was a welcome bonus (that they heartily 
enjoyed).Read moreDate of stay: August 2018HelpfulShare</v>
      </c>
      <c r="G185" s="24" t="str">
        <f ca="1">IFERROR(__xludf.DUMMYFUNCTION("IMPORTXML(C185, $G$1)"),"TomOxf wrote a review Aug 201823 contributions3 helpful votes")</f>
        <v>TomOxf wrote a review Aug 201823 contributions3 helpful votes</v>
      </c>
      <c r="H185" s="4" t="str">
        <f ca="1">IFERROR(__xludf.DUMMYFUNCTION("""COMPUTED_VALUE"""),"Travel Lodge waterlooOne of the worst experience ever. Booked through exprdia and the 
reservation information was not passed to the hotel accurately. Reserved 7 
rooms for a group only had 6 opon arrival and several we're the wrong bed 
configuration. Ta"&amp;"lked to travel Lodge 2 days prior to arrival and most 
everything with the reservation was wrong. Many of our members had to 
change rooms the next day because of either wrong bed configuration or 
something was wrong with room.Read moreDate of stay: Augu"&amp;"st 
2018HelpfulShareResponse from TravelodgeUK, Molly from the Social Media 
Team at Travelodge London Waterloo HotelResponded 8 Aug 2018Thank you for 
submitting your review of our London Waterloo Travelodge. We're very sorry 
to hear about your recent e"&amp;"xperience and would like to hear more about your 
stay. May we kindly request you contact us via our website so our customer 
service team can investigate your visit with the hotel. Thank you again for 
posting your comments and we hope to hear from you s"&amp;"oon.Read more")</f>
        <v>Travel Lodge waterlooOne of the worst experience ever. Booked through exprdia and the 
reservation information was not passed to the hotel accurately. Reserved 7 
rooms for a group only had 6 opon arrival and several we're the wrong bed 
configuration. Talked to travel Lodge 2 days prior to arrival and most 
everything with the reservation was wrong. Many of our members had to 
change rooms the next day because of either wrong bed configuration or 
something was wrong with room.Read moreDate of stay: August 
2018HelpfulShareResponse from TravelodgeUK, Molly from the Social Media 
Team at Travelodge London Waterloo HotelResponded 8 Aug 2018Thank you for 
submitting your review of our London Waterloo Travelodge. We're very sorry 
to hear about your recent experience and would like to hear more about your 
stay. May we kindly request you contact us via our website so our customer 
service team can investigate your visit with the hotel. Thank you again for 
posting your comments and we hope to hear from you soon.Read more</v>
      </c>
      <c r="I185" s="21"/>
      <c r="J185" s="21" t="str">
        <f ca="1">IFERROR(__xludf.DUMMYFUNCTION("IMPORTXML(C185, $J$1)"),"74sylvia wrote a review Aug 2018Dorset, United Kingdom48 contributions10 
helpful votes")</f>
        <v>74sylvia wrote a review Aug 2018Dorset, United Kingdom48 contributions10 
helpful votes</v>
      </c>
      <c r="K185" s="4" t="str">
        <f ca="1">IFERROR(__xludf.DUMMYFUNCTION("""COMPUTED_VALUE"""),"A gemHubby and I recently stayed here for one night. We travelled from home by 
train and wanted a hotel near the station. This one is literally a five 
minute walk, perfect. On entering the hotel we were surprised at how nice 
everything looked (and clea"&amp;"n). The receptionist was lovely, very polite and 
helpful. Am sorry I didn’t get her name. We booked a superior double and it 
was all that they said it would be. Large, clean, lovely soft bed, choice 
of pillows. The bathroom was clean and tidy. We unpac"&amp;"ked then went to the 
bar for something to eat. Service again was excellent as was our burger n 
chips. Breakfast next morning didn’t disappoint, large well stocked buffet. 
We will definitely use this hotel again next time we are in town. Our 
thanks to "&amp;"all the lovely staff.Read moreDate of stay: August 
2018HelpfulShare")</f>
        <v>A gemHubby and I recently stayed here for one night. We travelled from home by 
train and wanted a hotel near the station. This one is literally a five 
minute walk, perfect. On entering the hotel we were surprised at how nice 
everything looked (and clean). The receptionist was lovely, very polite and 
helpful. Am sorry I didn’t get her name. We booked a superior double and it 
was all that they said it would be. Large, clean, lovely soft bed, choice 
of pillows. The bathroom was clean and tidy. We unpacked then went to the 
bar for something to eat. Service again was excellent as was our burger n 
chips. Breakfast next morning didn’t disappoint, large well stocked buffet. 
We will definitely use this hotel again next time we are in town. Our 
thanks to all the lovely staff.Read moreDate of stay: August 
2018HelpfulShare</v>
      </c>
      <c r="L185" s="21"/>
      <c r="M185" s="21" t="str">
        <f ca="1">IFERROR(__xludf.DUMMYFUNCTION("IMPORTXML(C185, $M$1)"),"muckymother wrote a review Aug 2018Fareham, United Kingdom8 contributions4 
helpful votes")</f>
        <v>muckymother wrote a review Aug 2018Fareham, United Kingdom8 contributions4 
helpful votes</v>
      </c>
      <c r="N185" s="4" t="str">
        <f ca="1">IFERROR(__xludf.DUMMYFUNCTION("""COMPUTED_VALUE"""),"Short London breakFor the price this was a good budget hotel. The hotel has recently been 
refurbished, it looked clean and modern. The family room was large for 
myself, my husband and our 18yr old daughter. Air conditioning was welcome 
as it was one of"&amp;" the hottest weekends of the year. The only negative aspect 
we’re the pillows....they were very hard! Also our room card was de 
activated before we were due to check out, a minor issue which the 
reception staff sorted promptly Breakfast was good value,"&amp;" kept us going 
till dinner!Read moreReview collected in partnership with TravelodgeDate of 
stay: August 2018HelpfulShare")</f>
        <v>Short London breakFor the price this was a good budget hotel. The hotel has recently been 
refurbished, it looked clean and modern. The family room was large for 
myself, my husband and our 18yr old daughter. Air conditioning was welcome 
as it was one of the hottest weekends of the year. The only negative aspect 
we’re the pillows....they were very hard! Also our room card was de 
activated before we were due to check out, a minor issue which the 
reception staff sorted promptly Breakfast was good value, kept us going 
till dinner!Read moreReview collected in partnership with TravelodgeDate of 
stay: August 2018HelpfulShare</v>
      </c>
      <c r="O185" s="21"/>
      <c r="P185" s="21" t="str">
        <f ca="1">IFERROR(__xludf.DUMMYFUNCTION("IMPORTXML(C185, $P$1)"),"bryan521952 wrote a review Aug 2018Bierton, United Kingdom5 contributions1 
helpful vote")</f>
        <v>bryan521952 wrote a review Aug 2018Bierton, United Kingdom5 contributions1 
helpful vote</v>
      </c>
      <c r="Q185" s="4" t="str">
        <f ca="1">IFERROR(__xludf.DUMMYFUNCTION("""COMPUTED_VALUE"""),"Great Value Stay in Waterloo TravelodgeJust had one night in the hotel. It is very convenient for Waterloo 
Station. The room was a reasonable size and very comfortable. We had the 
buffet breakfast which was reasonably priced and had a good selection. Al"&amp;"l 
the staff we met were very friendly and helpful. We would definitely stay 
again.Read moreReview collected in partnership with TravelodgeDate of stay: 
August 2018HelpfulShare")</f>
        <v>Great Value Stay in Waterloo TravelodgeJust had one night in the hotel. It is very convenient for Waterloo 
Station. The room was a reasonable size and very comfortable. We had the 
buffet breakfast which was reasonably priced and had a good selection. All 
the staff we met were very friendly and helpful. We would definitely stay 
again.Read moreReview collected in partnership with TravelodgeDate of stay: 
August 2018HelpfulShare</v>
      </c>
      <c r="U185" s="4" t="str">
        <f ca="1">IFERROR(__xludf.DUMMYFUNCTION("IMPORTXML(C186,$U$1)"),"Loading...")</f>
        <v>Loading...</v>
      </c>
    </row>
    <row r="186" spans="1:21" ht="15">
      <c r="A186" s="25" t="s">
        <v>13601</v>
      </c>
      <c r="B186" s="17" t="s">
        <v>126</v>
      </c>
      <c r="C186" s="23" t="str">
        <f t="shared" si="0"/>
        <v>https://www.tripadvisor.co.uk/Hotel_Review-g186338-d1812157-Reviews-or920-Travelodge_London_Waterloo_Hotel-London_England.html#REVIEWS</v>
      </c>
      <c r="D186" s="4" t="str">
        <f ca="1">IFERROR(__xludf.DUMMYFUNCTION("IMPORTXML(C186,$D$1)"),"hughesstephen6 wrote a review Aug 20182 contributions1 helpful vote")</f>
        <v>hughesstephen6 wrote a review Aug 20182 contributions1 helpful vote</v>
      </c>
      <c r="E186" s="4" t="str">
        <f ca="1">IFERROR(__xludf.DUMMYFUNCTION("""COMPUTED_VALUE"""),"Travelodge WaterlooGreat Hotel in a convenient location. Only a 5 min walk from Waterloo 
station and 10 min walk to the Southbank. Clean, quiet room with new décor 
(we were on the top floor). Comfy bed, powerful, hot shower and lovely 
quiet and efficie"&amp;"nt aircon.Read moreReview collected in partnership with 
TravelodgeDate of stay: August 2018HelpfulShare")</f>
        <v>Travelodge WaterlooGreat Hotel in a convenient location. Only a 5 min walk from Waterloo 
station and 10 min walk to the Southbank. Clean, quiet room with new décor 
(we were on the top floor). Comfy bed, powerful, hot shower and lovely 
quiet and efficient aircon.Read moreReview collected in partnership with 
TravelodgeDate of stay: August 2018HelpfulShare</v>
      </c>
      <c r="G186" s="24" t="str">
        <f ca="1">IFERROR(__xludf.DUMMYFUNCTION("IMPORTXML(C186, $G$1)"),"Ian S wrote a review Aug 2018Sevenoaks, United Kingdom58 contributions12 
helpful votes")</f>
        <v>Ian S wrote a review Aug 2018Sevenoaks, United Kingdom58 contributions12 
helpful votes</v>
      </c>
      <c r="H186" s="4" t="str">
        <f ca="1">IFERROR(__xludf.DUMMYFUNCTION("""COMPUTED_VALUE"""),"Great value in central LondonStayed here recently on a Friday night. Staff were welcoming and the hotel 
was clean and modern. It’s in a great location just a few minutes walk from 
the Southbank. We had a cheap but good value breakfast in the morning.Rea"&amp;"d 
moreDate of stay: July 2018HelpfulShare")</f>
        <v>Great value in central LondonStayed here recently on a Friday night. Staff were welcoming and the hotel 
was clean and modern. It’s in a great location just a few minutes walk from 
the Southbank. We had a cheap but good value breakfast in the morning.Read 
moreDate of stay: July 2018HelpfulShare</v>
      </c>
      <c r="I186" s="21"/>
      <c r="J186" s="21" t="str">
        <f ca="1">IFERROR(__xludf.DUMMYFUNCTION("IMPORTXML(C186, $J$1)"),"Louise290690 wrote a review Aug 2018Surrey, United Kingdom4 contributions")</f>
        <v>Louise290690 wrote a review Aug 2018Surrey, United Kingdom4 contributions</v>
      </c>
      <c r="K186" s="4" t="str">
        <f ca="1">IFERROR(__xludf.DUMMYFUNCTION("""COMPUTED_VALUE"""),"Great StayThe travelodge at Waterloo was a really nice, comfortable stay. We had two 
family rooms next door to each other, great view of the London Eye, fresh, 
modern and clean. The staff were very friendly and helpful and the air 
conditioning was a bl"&amp;"essing in this heat! And all for a very reasonable 
price. Will definitely stay here again.Read moreDate of stay: August 
2018HelpfulShare")</f>
        <v>Great StayThe travelodge at Waterloo was a really nice, comfortable stay. We had two 
family rooms next door to each other, great view of the London Eye, fresh, 
modern and clean. The staff were very friendly and helpful and the air 
conditioning was a blessing in this heat! And all for a very reasonable 
price. Will definitely stay here again.Read moreDate of stay: August 
2018HelpfulShare</v>
      </c>
      <c r="L186" s="21"/>
      <c r="M186" s="21" t="str">
        <f ca="1">IFERROR(__xludf.DUMMYFUNCTION("IMPORTXML(C186, $M$1)"),"Graham W wrote a review Aug 2018Newcastle upon Tyne, United Kingdom1 
contribution")</f>
        <v>Graham W wrote a review Aug 2018Newcastle upon Tyne, United Kingdom1 
contribution</v>
      </c>
      <c r="N186" s="4" t="str">
        <f ca="1">IFERROR(__xludf.DUMMYFUNCTION("""COMPUTED_VALUE"""),"Travelodge Waterloo - RefreshedStayed at Waterloo for a recent business trip and while I have stayed there 
several times before this is the first time I have stayed there since a 
room refurbishment and have to say it was the best stay yet. With 
Travelo"&amp;"dge you know what you're going to get, decent priced but minimal 
rooms but following a recent room refurbishment the room now looks a lot 
better with a modern feel which is nice to see. The bathroom is still of 
the functional but efficient variety but "&amp;"the main room décor is far better 
and relaxing. Will definitely visit there again.Read moreReview collected 
in partnership with TravelodgeDate of stay: August 2018HelpfulShare")</f>
        <v>Travelodge Waterloo - RefreshedStayed at Waterloo for a recent business trip and while I have stayed there 
several times before this is the first time I have stayed there since a 
room refurbishment and have to say it was the best stay yet. With 
Travelodge you know what you're going to get, decent priced but minimal 
rooms but following a recent room refurbishment the room now looks a lot 
better with a modern feel which is nice to see. The bathroom is still of 
the functional but efficient variety but the main room décor is far better 
and relaxing. Will definitely visit there again.Read moreReview collected 
in partnership with TravelodgeDate of stay: August 2018HelpfulShare</v>
      </c>
      <c r="O186" s="21"/>
      <c r="P186" s="21" t="str">
        <f ca="1">IFERROR(__xludf.DUMMYFUNCTION("IMPORTXML(C186, $P$1)"),"Amanda C wrote a review Aug 2018Blackpool, United Kingdom37 contributions7 
helpful votes")</f>
        <v>Amanda C wrote a review Aug 2018Blackpool, United Kingdom37 contributions7 
helpful votes</v>
      </c>
      <c r="Q186" s="4" t="str">
        <f ca="1">IFERROR(__xludf.DUMMYFUNCTION("""COMPUTED_VALUE"""),"Fantastic family stayThis is a great place to stay close to Waterloo station and underground 
Short walk to the eye and river Thames The hotel was in a great location 
and rooms had the benefit of air conditioning we ate breakfast twice which 
was great v"&amp;"alue as kids under 15 ate free could benefit from a bit more 
choice only had scrambled egg , bacon, sausage ,tomatoes ,beans and hash 
browns on the hot section but did have fruit ,yougurts , toast croissant 
etc We also ate dinner there a couple of nigh"&amp;"ts the half roast chicken with 
lemon and herb is gorgeous as we’re the pizzas I was a little worried as 
it’s very close to an ambulance station but we didn’t hear a thing from our 
rooms Rooms clean and well maintained freshened up daily with clean towe"&amp;"ls 
, tea coffe etc beds made too ( I made the…Read moreDate of stay: July 
20181 Helpful voteHelpfulShare")</f>
        <v>Fantastic family stayThis is a great place to stay close to Waterloo station and underground 
Short walk to the eye and river Thames The hotel was in a great location 
and rooms had the benefit of air conditioning we ate breakfast twice which 
was great value as kids under 15 ate free could benefit from a bit more 
choice only had scrambled egg , bacon, sausage ,tomatoes ,beans and hash 
browns on the hot section but did have fruit ,yougurts , toast croissant 
etc We also ate dinner there a couple of nights the half roast chicken with 
lemon and herb is gorgeous as we’re the pizzas I was a little worried as 
it’s very close to an ambulance station but we didn’t hear a thing from our 
rooms Rooms clean and well maintained freshened up daily with clean towels 
, tea coffe etc beds made too ( I made the…Read moreDate of stay: July 
20181 Helpful voteHelpfulShare</v>
      </c>
      <c r="U186" s="4" t="str">
        <f ca="1">IFERROR(__xludf.DUMMYFUNCTION("IMPORTXML(C187,$U$1)"),"Loading...")</f>
        <v>Loading...</v>
      </c>
    </row>
    <row r="187" spans="1:21" ht="15">
      <c r="A187" s="5" t="s">
        <v>13602</v>
      </c>
      <c r="B187" s="17" t="s">
        <v>126</v>
      </c>
      <c r="C187" s="23" t="str">
        <f t="shared" si="0"/>
        <v>https://www.tripadvisor.co.uk/Hotel_Review-g186338-d1812157-Reviews-or925-Travelodge_London_Waterloo_Hotel-London_England.html#REVIEWS</v>
      </c>
      <c r="D187" s="4" t="str">
        <f ca="1">IFERROR(__xludf.DUMMYFUNCTION("IMPORTXML(C187,$D$1)"),"Francesca B wrote a review Aug 20181 contribution")</f>
        <v>Francesca B wrote a review Aug 20181 contribution</v>
      </c>
      <c r="E187" s="4" t="str">
        <f ca="1">IFERROR(__xludf.DUMMYFUNCTION("""COMPUTED_VALUE"""),"a nice surpriseeverything was perfect compared with the price the breakfast was well 
served and full the hotel is quiet and the location is very conforable... 
It is very close to Big Bang tower clock in London and well served by 
public transportation t"&amp;"he hall and the bar is very confortable tooRead 
moreReview collected in partnership with TravelodgeDate of stay: July 
2018HelpfulShare")</f>
        <v>a nice surpriseeverything was perfect compared with the price the breakfast was well 
served and full the hotel is quiet and the location is very conforable... 
It is very close to Big Bang tower clock in London and well served by 
public transportation the hall and the bar is very confortable tooRead 
moreReview collected in partnership with TravelodgeDate of stay: July 
2018HelpfulShare</v>
      </c>
      <c r="G187" s="24" t="str">
        <f ca="1">IFERROR(__xludf.DUMMYFUNCTION("IMPORTXML(C187, $G$1)"),"#N/A")</f>
        <v>#N/A</v>
      </c>
      <c r="I187" s="21"/>
      <c r="J187" s="21" t="str">
        <f ca="1">IFERROR(__xludf.DUMMYFUNCTION("IMPORTXML(C187, $J$1)"),"Steve W wrote a review Aug 2018Ipswich, United Kingdom166 contributions15 
helpful votes")</f>
        <v>Steve W wrote a review Aug 2018Ipswich, United Kingdom166 contributions15 
helpful votes</v>
      </c>
      <c r="K187" s="4" t="str">
        <f ca="1">IFERROR(__xludf.DUMMYFUNCTION("""COMPUTED_VALUE"""),"Re-adding a review as previous one has been removedI've stayed in this hotel several times, October 2017, November 2017 &amp; 
January 2018. My original review has been removed as the hotel has been 
renovated - however as my original post was not about the a"&amp;"ccommodation, it 
was also about the breakfasts I wanted to re-add it. On two occasions when 
checking in for multiple days, I have ordered and paid for breakfast, but 
when going to breakfast there is no record (on the printed paper that the 
breakfast s"&amp;"taff have) that I have already paid for breakfast. This happens 
each day for the duration of the stay (despite me mentioning it to the 
staff) and this has also happened at other Travelodge hotels too and is due 
to their strange policy for managing reco"&amp;"rds for bookings, payments and 
breakfast not being in sync. It's a shame because…Read moreDate of stay: 
January 2018HelpfulShareResponse from TravelodgeUK, Charley from the Social 
Media Team at Travelodge London Waterloo HotelResponded 16 Aug 2018We wo"&amp;"uld 
like to thank you for the time you have taken to write this review. Please 
accept our sincerest apologies for the service you have received, where you 
felt the hotel did not deliver consistent customer care. Thank you for your 
feedback and taking "&amp;"the time to write this review as it allows us to 
improve the service that we offer.Read more")</f>
        <v>Re-adding a review as previous one has been removedI've stayed in this hotel several times, October 2017, November 2017 &amp; 
January 2018. My original review has been removed as the hotel has been 
renovated - however as my original post was not about the accommodation, it 
was also about the breakfasts I wanted to re-add it. On two occasions when 
checking in for multiple days, I have ordered and paid for breakfast, but 
when going to breakfast there is no record (on the printed paper that the 
breakfast staff have) that I have already paid for breakfast. This happens 
each day for the duration of the stay (despite me mentioning it to the 
staff) and this has also happened at other Travelodge hotels too and is due 
to their strange policy for managing records for bookings, payments and 
breakfast not being in sync. It's a shame because…Read moreDate of stay: 
January 2018HelpfulShareResponse from TravelodgeUK, Charley from the Social 
Media Team at Travelodge London Waterloo HotelResponded 16 Aug 2018We would 
like to thank you for the time you have taken to write this review. Please 
accept our sincerest apologies for the service you have received, where you 
felt the hotel did not deliver consistent customer care. Thank you for your 
feedback and taking the time to write this review as it allows us to 
improve the service that we offer.Read more</v>
      </c>
      <c r="L187" s="21"/>
      <c r="M187" s="21" t="str">
        <f ca="1">IFERROR(__xludf.DUMMYFUNCTION("IMPORTXML(C187, $M$1)"),"Oliver K wrote a review Aug 20185 contributions1 helpful vote")</f>
        <v>Oliver K wrote a review Aug 20185 contributions1 helpful vote</v>
      </c>
      <c r="N187" s="4" t="str">
        <f ca="1">IFERROR(__xludf.DUMMYFUNCTION("""COMPUTED_VALUE"""),"Business tripStayed here on a few occasions and have always found the hotel to be clean 
and efficient. The check in was quick and efficient and The rooms are clean 
and have everything you need for a few nights away. Would recommend the 
location, it's c"&amp;"lose to all the main attractions etc.Read moreDate of stay: 
August 2018HelpfulShare")</f>
        <v>Business tripStayed here on a few occasions and have always found the hotel to be clean 
and efficient. The check in was quick and efficient and The rooms are clean 
and have everything you need for a few nights away. Would recommend the 
location, it's close to all the main attractions etc.Read moreDate of stay: 
August 2018HelpfulShare</v>
      </c>
      <c r="O187" s="21"/>
      <c r="P187" s="21" t="str">
        <f ca="1">IFERROR(__xludf.DUMMYFUNCTION("IMPORTXML(C187, $P$1)"),"#N/A")</f>
        <v>#N/A</v>
      </c>
      <c r="U187" s="4" t="str">
        <f ca="1">IFERROR(__xludf.DUMMYFUNCTION("IMPORTXML(C188,$U$1)"),"Loading...")</f>
        <v>Loading...</v>
      </c>
    </row>
    <row r="188" spans="1:21" ht="15">
      <c r="A188" s="25" t="s">
        <v>13603</v>
      </c>
      <c r="B188" s="17" t="s">
        <v>126</v>
      </c>
      <c r="C188" s="23" t="str">
        <f t="shared" si="0"/>
        <v>https://www.tripadvisor.co.uk/Hotel_Review-g186338-d1812157-Reviews-or930-Travelodge_London_Waterloo_Hotel-London_England.html#REVIEWS</v>
      </c>
      <c r="D188" s="4" t="str">
        <f ca="1">IFERROR(__xludf.DUMMYFUNCTION("IMPORTXML(C188,$D$1)"),"#N/A")</f>
        <v>#N/A</v>
      </c>
      <c r="G188" s="24" t="str">
        <f ca="1">IFERROR(__xludf.DUMMYFUNCTION("IMPORTXML(C188, $G$1)"),"Frustrated wrote a review Jul 2018Lichfield, United Kingdom50 
contributions31 helpful votes")</f>
        <v>Frustrated wrote a review Jul 2018Lichfield, United Kingdom50 
contributions31 helpful votes</v>
      </c>
      <c r="H188" s="4" t="str">
        <f ca="1">IFERROR(__xludf.DUMMYFUNCTION("""COMPUTED_VALUE"""),"Accommodation great, cafe not so good!We stayed for one night whilst visiting the Merlin attractions by County 
Hall. The hotel is a short walk from Waterloo station so was in an ideal 
location for our visit. The property is either new or has been newly "&amp;"
refurbished as it all looks clean and fresh. Our room and bathroom were 
clean and fresh too. With the recent temperatures, air conditioning was 
very welcome and we all slept well. We would definitely stay here again but 
look for an alternative for din"&amp;"ner as the time it took for our food to 
arrive was unacceptable when you have two tired and hungry kids - we were 
there for over two hours! That said, the food was good as was breakfast 
though it was very crowded.Read moreReview collected in partnershi"&amp;"p with 
TravelodgeDate of stay: July 2018HelpfulShare")</f>
        <v>Accommodation great, cafe not so good!We stayed for one night whilst visiting the Merlin attractions by County 
Hall. The hotel is a short walk from Waterloo station so was in an ideal 
location for our visit. The property is either new or has been newly 
refurbished as it all looks clean and fresh. Our room and bathroom were 
clean and fresh too. With the recent temperatures, air conditioning was 
very welcome and we all slept well. We would definitely stay here again but 
look for an alternative for dinner as the time it took for our food to 
arrive was unacceptable when you have two tired and hungry kids - we were 
there for over two hours! That said, the food was good as was breakfast 
though it was very crowded.Read moreReview collected in partnership with 
TravelodgeDate of stay: July 2018HelpfulShare</v>
      </c>
      <c r="I188" s="21"/>
      <c r="J188" s="21" t="str">
        <f ca="1">IFERROR(__xludf.DUMMYFUNCTION("IMPORTXML(C188, $J$1)"),"Helen S wrote a review Jul 2018Kidderminster, United Kingdom258 
contributions30 helpful votes")</f>
        <v>Helen S wrote a review Jul 2018Kidderminster, United Kingdom258 
contributions30 helpful votes</v>
      </c>
      <c r="K188" s="4" t="str">
        <f ca="1">IFERROR(__xludf.DUMMYFUNCTION("""COMPUTED_VALUE"""),"Better after refurbishmentIf this was to be rated against other hotels then it wouldn’t be worthy of 
a four rating but rated against other Travelodge establishments it is 
better than others. Have stayed here before and it wasn’t very good, but 
now it’s"&amp;" had some modernisation and a refurbishment it is much better.Read 
moreDate of stay: July 2018HelpfulShare")</f>
        <v>Better after refurbishmentIf this was to be rated against other hotels then it wouldn’t be worthy of 
a four rating but rated against other Travelodge establishments it is 
better than others. Have stayed here before and it wasn’t very good, but 
now it’s had some modernisation and a refurbishment it is much better.Read 
moreDate of stay: July 2018HelpfulShare</v>
      </c>
      <c r="L188" s="21"/>
      <c r="M188" s="21" t="str">
        <f ca="1">IFERROR(__xludf.DUMMYFUNCTION("IMPORTXML(C188, $M$1)"),"#N/A")</f>
        <v>#N/A</v>
      </c>
      <c r="O188" s="21"/>
      <c r="P188" s="21" t="str">
        <f ca="1">IFERROR(__xludf.DUMMYFUNCTION("IMPORTXML(C188, $P$1)"),"Fiona1995 wrote a review Jul 20181 contribution")</f>
        <v>Fiona1995 wrote a review Jul 20181 contribution</v>
      </c>
      <c r="Q188" s="4" t="str">
        <f ca="1">IFERROR(__xludf.DUMMYFUNCTION("""COMPUTED_VALUE"""),"Lovely and great value for moneyPerfect location for travelling around London but without all of the noise 
of the centre! It’s less than 5 minutes walk to Waterloo underground and 
the buses stop pretty much outside the hotel. Beautifully clean and 
spac"&amp;"ious rooms, even the budget standard room was lovely! Staff were all 
friendly and approachable, not that we had any concerns. Perfect for our 
needs as a couple visiting London for a short city break! Only downside was 
breakfast which we paid for one mo"&amp;"rning. It was by no means terrible but it 
also wasn’t good. There is a big selection but the food was tasteless and 
over cooked. Wouldn’t let it stop you staying though as there are many 
cafes and restaurants close enough to the hotel to use as an alte"&amp;"rnative. 
Also a Tesco and Sainsbury’s 5 mins away!Read moreReview collected in 
partnership with TravelodgeDate of stay: July 2018HelpfulShare")</f>
        <v>Lovely and great value for moneyPerfect location for travelling around London but without all of the noise 
of the centre! It’s less than 5 minutes walk to Waterloo underground and 
the buses stop pretty much outside the hotel. Beautifully clean and 
spacious rooms, even the budget standard room was lovely! Staff were all 
friendly and approachable, not that we had any concerns. Perfect for our 
needs as a couple visiting London for a short city break! Only downside was 
breakfast which we paid for one morning. It was by no means terrible but it 
also wasn’t good. There is a big selection but the food was tasteless and 
over cooked. Wouldn’t let it stop you staying though as there are many 
cafes and restaurants close enough to the hotel to use as an alternative. 
Also a Tesco and Sainsbury’s 5 mins away!Read moreReview collected in 
partnership with TravelodgeDate of stay: July 2018HelpfulShare</v>
      </c>
      <c r="U188" s="4" t="str">
        <f ca="1">IFERROR(__xludf.DUMMYFUNCTION("IMPORTXML(C189,$U$1)"),"Loading...")</f>
        <v>Loading...</v>
      </c>
    </row>
    <row r="189" spans="1:21" ht="15">
      <c r="A189" s="25" t="s">
        <v>13604</v>
      </c>
      <c r="B189" s="17" t="s">
        <v>126</v>
      </c>
      <c r="C189" s="23" t="str">
        <f t="shared" si="0"/>
        <v>https://www.tripadvisor.co.uk/Hotel_Review-g186338-d1812157-Reviews-or935-Travelodge_London_Waterloo_Hotel-London_England.html#REVIEWS</v>
      </c>
      <c r="D189" s="4" t="str">
        <f ca="1">IFERROR(__xludf.DUMMYFUNCTION("IMPORTXML(C189,$D$1)"),"MarkySmithy wrote a review Jul 2018Mansfield, United Kingdom4 contributions")</f>
        <v>MarkySmithy wrote a review Jul 2018Mansfield, United Kingdom4 contributions</v>
      </c>
      <c r="E189" s="4" t="str">
        <f ca="1">IFERROR(__xludf.DUMMYFUNCTION("""COMPUTED_VALUE"""),"Very clean hotel with friendly and helpful staffAn excellent, clean and bright hotel to stay in, only 5 to 10 minutes walk 
from all the infamous London attractions such as the London Eye, London 
Dungeons, Shrek Adventure, Sea Life, River Cruises etc.Rea"&amp;"d moreReview 
collected in partnership with TravelodgeDate of stay: July 2018HelpfulShare")</f>
        <v>Very clean hotel with friendly and helpful staffAn excellent, clean and bright hotel to stay in, only 5 to 10 minutes walk 
from all the infamous London attractions such as the London Eye, London 
Dungeons, Shrek Adventure, Sea Life, River Cruises etc.Read moreReview 
collected in partnership with TravelodgeDate of stay: July 2018HelpfulShare</v>
      </c>
      <c r="G189" s="24" t="str">
        <f ca="1">IFERROR(__xludf.DUMMYFUNCTION("IMPORTXML(C189, $G$1)"),"nehahimanshu wrote a review Jul 2018Pune,India37 contributions21 helpful 
votes")</f>
        <v>nehahimanshu wrote a review Jul 2018Pune,India37 contributions21 helpful 
votes</v>
      </c>
      <c r="H189" s="4" t="str">
        <f ca="1">IFERROR(__xludf.DUMMYFUNCTION("""COMPUTED_VALUE"""),"Monotonous breakfast,No wardrobes!!Had a lot of expectations from this property. Will begin with the 
positives. The location is excellent, the bus stops- St. George’s circus 
and the Old Vic are a min’s walk. The tube station is about half a mile. On 
a "&amp;"sunny day, you may even want to walk up to the London Eye, if you enjoy 
walking! Loved the staff, especially Wendy( who later moved to another 
Travelodge property), my daughter simply loved her! We thought of changing 
the property for once, but the sta"&amp;"ff was so good that we didn’t want. The 
food at the restaurant is decent. Loved the Indian they served as well as 
the classic panini. Coming to the cons, the breakfast is a set menu- no 
changes ever! Ready to eat beans, sausages. We opted out and decid"&amp;"ed to eat 
elsewhere (loads of options around). The rooms have no…Read moreDate of 
stay: July 20181 Helpful voteHelpfulShareResponse from TravelodgeUK, Ben 
from the Social Media Team at Travelodge London Waterloo HotelResponded 5 
Aug 2018We appreciate "&amp;"the time you have taken to review our London Waterloo 
hotel. We are pleased to learn that you liked the location of the hotel and 
found the team to be good however we are sorry to learn of your 
disappointment with the breakfast and room set up. Feedbac"&amp;"k is invaluable 
and our Hotel Managers regularly review their TripAdvisor reviews in order 
to fix any issues raised and pass on feedback to their team. Thank you once 
again and we do hope you will stay with us in the future.Read more")</f>
        <v>Monotonous breakfast,No wardrobes!!Had a lot of expectations from this property. Will begin with the 
positives. The location is excellent, the bus stops- St. George’s circus 
and the Old Vic are a min’s walk. The tube station is about half a mile. On 
a sunny day, you may even want to walk up to the London Eye, if you enjoy 
walking! Loved the staff, especially Wendy( who later moved to another 
Travelodge property), my daughter simply loved her! We thought of changing 
the property for once, but the staff was so good that we didn’t want. The 
food at the restaurant is decent. Loved the Indian they served as well as 
the classic panini. Coming to the cons, the breakfast is a set menu- no 
changes ever! Ready to eat beans, sausages. We opted out and decided to eat 
elsewhere (loads of options around). The rooms have no…Read moreDate of 
stay: July 20181 Helpful voteHelpfulShareResponse from TravelodgeUK, Ben 
from the Social Media Team at Travelodge London Waterloo HotelResponded 5 
Aug 2018We appreciate the time you have taken to review our London Waterloo 
hotel. We are pleased to learn that you liked the location of the hotel and 
found the team to be good however we are sorry to learn of your 
disappointment with the breakfast and room set up. Feedback is invaluable 
and our Hotel Managers regularly review their TripAdvisor reviews in order 
to fix any issues raised and pass on feedback to their team. Thank you once 
again and we do hope you will stay with us in the future.Read more</v>
      </c>
      <c r="I189" s="21"/>
      <c r="J189" s="21" t="str">
        <f ca="1">IFERROR(__xludf.DUMMYFUNCTION("IMPORTXML(C189, $J$1)"),"ragman1960 wrote a review Jul 2018Dukinfield, United Kingdom367 
contributions47 helpful votes")</f>
        <v>ragman1960 wrote a review Jul 2018Dukinfield, United Kingdom367 
contributions47 helpful votes</v>
      </c>
      <c r="K189" s="4" t="str">
        <f ca="1">IFERROR(__xludf.DUMMYFUNCTION("""COMPUTED_VALUE"""),"Comfortable room,nice breakfast.Decided to have a 3 day stay in London.This hotel was near famous 
places,Buckingham palace,London eye etc and fitted the bill.Just in walking 
distance of the tube and great for everything.Comfortable room and a nice 
brea"&amp;"kfast at a good price and very helpful staff made for a great 
weekend,thanks to everybody who helped make our stay enjoyable.Read 
moreDate of stay: July 2018HelpfulShare")</f>
        <v>Comfortable room,nice breakfast.Decided to have a 3 day stay in London.This hotel was near famous 
places,Buckingham palace,London eye etc and fitted the bill.Just in walking 
distance of the tube and great for everything.Comfortable room and a nice 
breakfast at a good price and very helpful staff made for a great 
weekend,thanks to everybody who helped make our stay enjoyable.Read 
moreDate of stay: July 2018HelpfulShare</v>
      </c>
      <c r="L189" s="21"/>
      <c r="M189" s="21" t="str">
        <f ca="1">IFERROR(__xludf.DUMMYFUNCTION("IMPORTXML(C189, $M$1)"),"Jo R wrote a review Jul 20181 contribution")</f>
        <v>Jo R wrote a review Jul 20181 contribution</v>
      </c>
      <c r="N189" s="4" t="str">
        <f ca="1">IFERROR(__xludf.DUMMYFUNCTION("""COMPUTED_VALUE"""),"Really friendly and helpful staffIn London for a two night break with my daughter. Staff really friendly and 
helpful. Hotel and room clean and tidy. Breakfast really good. Also had 
supper there one evening, which was also very good. Short walk away from"&amp;" 
Waterloo station.Read moreDate of stay: July 2018HelpfulShare")</f>
        <v>Really friendly and helpful staffIn London for a two night break with my daughter. Staff really friendly and 
helpful. Hotel and room clean and tidy. Breakfast really good. Also had 
supper there one evening, which was also very good. Short walk away from 
Waterloo station.Read moreDate of stay: July 2018HelpfulShare</v>
      </c>
      <c r="O189" s="21"/>
      <c r="P189" s="21" t="str">
        <f ca="1">IFERROR(__xludf.DUMMYFUNCTION("IMPORTXML(C189, $P$1)"),"TrishaMidlands wrote a review Jul 2018Midlands78 contributions39 helpful 
votes")</f>
        <v>TrishaMidlands wrote a review Jul 2018Midlands78 contributions39 helpful 
votes</v>
      </c>
      <c r="Q189" s="4" t="str">
        <f ca="1">IFERROR(__xludf.DUMMYFUNCTION("""COMPUTED_VALUE"""),"Superb valueStayed one night 27 July . Lovely staff , room basic but very clean . Good 
central location . Couldn’t fault it for the money . Would stay here again 
without hesitation. Would recommend to budge conscious travellers looking 
for a safe locat"&amp;"ion with 24 hour reception.Read moreDate of stay: July 
2018HelpfulShare")</f>
        <v>Superb valueStayed one night 27 July . Lovely staff , room basic but very clean . Good 
central location . Couldn’t fault it for the money . Would stay here again 
without hesitation. Would recommend to budge conscious travellers looking 
for a safe location with 24 hour reception.Read moreDate of stay: July 
2018HelpfulShare</v>
      </c>
      <c r="U189" s="4" t="str">
        <f ca="1">IFERROR(__xludf.DUMMYFUNCTION("IMPORTXML(C190,$U$1)"),"Loading...")</f>
        <v>Loading...</v>
      </c>
    </row>
    <row r="190" spans="1:21" ht="15">
      <c r="A190" s="25" t="s">
        <v>13605</v>
      </c>
      <c r="B190" s="17" t="s">
        <v>126</v>
      </c>
      <c r="C190" s="23" t="str">
        <f t="shared" si="0"/>
        <v>https://www.tripadvisor.co.uk/Hotel_Review-g186338-d1812157-Reviews-or940-Travelodge_London_Waterloo_Hotel-London_England.html#REVIEWS</v>
      </c>
      <c r="D190" s="4" t="str">
        <f ca="1">IFERROR(__xludf.DUMMYFUNCTION("IMPORTXML(C190,$D$1)"),"Michael G wrote a review Jul 2018Lymington, United Kingdom9 contributions1 
helpful vote")</f>
        <v>Michael G wrote a review Jul 2018Lymington, United Kingdom9 contributions1 
helpful vote</v>
      </c>
      <c r="E190" s="4" t="str">
        <f ca="1">IFERROR(__xludf.DUMMYFUNCTION("""COMPUTED_VALUE"""),"two night staythis hotel was perfect for our visit close to waterloo station for the 
tube, getting around was very easy as most busses seemed to start from here 
as well. service at the hotel was more than adequate friendly staff, the 
room was clean, br"&amp;"eakfast was fine help yourself as often as you required. 
as we chose a very hot period air con was very welcome in our room , we 
would definitely use this hotel again, tip when you exit waterloo main 
station head towards platforms 1-2-3 opposite is exi"&amp;"t and escalator down to 
Waterloo RoadRead moreDate of stay: July 2018HelpfulShare")</f>
        <v>two night staythis hotel was perfect for our visit close to waterloo station for the 
tube, getting around was very easy as most busses seemed to start from here 
as well. service at the hotel was more than adequate friendly staff, the 
room was clean, breakfast was fine help yourself as often as you required. 
as we chose a very hot period air con was very welcome in our room , we 
would definitely use this hotel again, tip when you exit waterloo main 
station head towards platforms 1-2-3 opposite is exit and escalator down to 
Waterloo RoadRead moreDate of stay: July 2018HelpfulShare</v>
      </c>
      <c r="G190" s="24" t="str">
        <f ca="1">IFERROR(__xludf.DUMMYFUNCTION("IMPORTXML(C190, $G$1)"),"148jayned wrote a review Jul 201827 contributions6 helpful votes")</f>
        <v>148jayned wrote a review Jul 201827 contributions6 helpful votes</v>
      </c>
      <c r="H190" s="4" t="str">
        <f ca="1">IFERROR(__xludf.DUMMYFUNCTION("""COMPUTED_VALUE"""),"Superoom or standard roomWe booked a superoom for a 3 night stay while in London. My daughter was 
excited with the hot chocolate and the complimentary kit Kat in the room 
BUT we only had these on the forst night. If we had of booked three rooms 
separat"&amp;"ely then the housekeeping would have out these in every night. Quite 
disappointing for her. We also booked WiFi for three nights and were told 
this would be for two devices. First night it didn't work at all. Second 
night we tried to log our second dev"&amp;"ice and it said we had already 
registered all devices. We were on the 7th floor and our view was not 
great...of the back if the flats in the domestic area behind. Such a shame 
as you can see the London eye from the hotel. Location was a short walk 
fro"&amp;"m the tube and only 10 mins walk from Westminster. Food was…Read 
moreDate of stay: July 20181 Helpful voteHelpfulShare")</f>
        <v>Superoom or standard roomWe booked a superoom for a 3 night stay while in London. My daughter was 
excited with the hot chocolate and the complimentary kit Kat in the room 
BUT we only had these on the forst night. If we had of booked three rooms 
separately then the housekeeping would have out these in every night. Quite 
disappointing for her. We also booked WiFi for three nights and were told 
this would be for two devices. First night it didn't work at all. Second 
night we tried to log our second device and it said we had already 
registered all devices. We were on the 7th floor and our view was not 
great...of the back if the flats in the domestic area behind. Such a shame 
as you can see the London eye from the hotel. Location was a short walk 
from the tube and only 10 mins walk from Westminster. Food was…Read 
moreDate of stay: July 20181 Helpful voteHelpfulShare</v>
      </c>
      <c r="I190" s="21"/>
      <c r="J190" s="21" t="str">
        <f ca="1">IFERROR(__xludf.DUMMYFUNCTION("IMPORTXML(C190, $J$1)"),"Sunseekers186377 wrote a review Jul 2018Stafford, United Kingdom14 
contributions28 helpful votes")</f>
        <v>Sunseekers186377 wrote a review Jul 2018Stafford, United Kingdom14 
contributions28 helpful votes</v>
      </c>
      <c r="K190" s="4" t="str">
        <f ca="1">IFERROR(__xludf.DUMMYFUNCTION("""COMPUTED_VALUE"""),"Understaffed?Restaurant and bar seemed understaffed or staffed by untrained people. No 
plates, bowls or glasses for long periods during breakfast.Food was at best 
average. Rest of hotel was value for Money.Pity about restaurant.Read 
moreReview collecte"&amp;"d in partnership with TravelodgeDate of stay: July 
2018HelpfulShareResponse from TravelodgeUK, Shaf from the Social Media Team 
at Travelodge London Waterloo HotelResponded 29 Jul 2018Thank you for 
reviewing our London Waterloo Travelodge. We're really "&amp;"sorry to hear you 
felt the restaurant was not up to standards with its service and we will 
ensure to pass your comments on to the Hotel Manager. Once again thank you 
for your review.Read more")</f>
        <v>Understaffed?Restaurant and bar seemed understaffed or staffed by untrained people. No 
plates, bowls or glasses for long periods during breakfast.Food was at best 
average. Rest of hotel was value for Money.Pity about restaurant.Read 
moreReview collected in partnership with TravelodgeDate of stay: July 
2018HelpfulShareResponse from TravelodgeUK, Shaf from the Social Media Team 
at Travelodge London Waterloo HotelResponded 29 Jul 2018Thank you for 
reviewing our London Waterloo Travelodge. We're really sorry to hear you 
felt the restaurant was not up to standards with its service and we will 
ensure to pass your comments on to the Hotel Manager. Once again thank you 
for your review.Read more</v>
      </c>
      <c r="L190" s="21"/>
      <c r="M190" s="21" t="str">
        <f ca="1">IFERROR(__xludf.DUMMYFUNCTION("IMPORTXML(C190, $M$1)"),"davidwilds58 wrote a review Jul 2018Newark-on-Trent, United Kingdom5 
contributions2 helpful votes")</f>
        <v>davidwilds58 wrote a review Jul 2018Newark-on-Trent, United Kingdom5 
contributions2 helpful votes</v>
      </c>
      <c r="N190" s="4" t="str">
        <f ca="1">IFERROR(__xludf.DUMMYFUNCTION("""COMPUTED_VALUE"""),"COMFORTABLE STAY!We stayed here during July this year, I found the reception staff and the 
staff cleaning and tidying rooms very friendly and helpful. comfortable new 
beds and the Air Con was worth its weight in gold!!Read moreReview 
collected in partn"&amp;"ership with TravelodgeDate of stay: July 2018HelpfulShare")</f>
        <v>COMFORTABLE STAY!We stayed here during July this year, I found the reception staff and the 
staff cleaning and tidying rooms very friendly and helpful. comfortable new 
beds and the Air Con was worth its weight in gold!!Read moreReview 
collected in partnership with TravelodgeDate of stay: July 2018HelpfulShare</v>
      </c>
      <c r="O190" s="21"/>
      <c r="P190" s="21" t="str">
        <f ca="1">IFERROR(__xludf.DUMMYFUNCTION("IMPORTXML(C190, $P$1)"),"#N/A")</f>
        <v>#N/A</v>
      </c>
      <c r="U190" s="4" t="str">
        <f ca="1">IFERROR(__xludf.DUMMYFUNCTION("IMPORTXML(C191,$U$1)"),"Loading...")</f>
        <v>Loading...</v>
      </c>
    </row>
    <row r="191" spans="1:21" ht="15">
      <c r="A191" s="5" t="s">
        <v>13606</v>
      </c>
      <c r="B191" s="17" t="s">
        <v>126</v>
      </c>
      <c r="C191" s="23" t="str">
        <f t="shared" si="0"/>
        <v>https://www.tripadvisor.co.uk/Hotel_Review-g186338-d1812157-Reviews-or945-Travelodge_London_Waterloo_Hotel-London_England.html#REVIEWS</v>
      </c>
      <c r="D191" s="4" t="str">
        <f ca="1">IFERROR(__xludf.DUMMYFUNCTION("IMPORTXML(C191,$D$1)"),"Loading...")</f>
        <v>Loading...</v>
      </c>
      <c r="G191" s="24" t="str">
        <f ca="1">IFERROR(__xludf.DUMMYFUNCTION("IMPORTXML(C191, $G$1)"),"seriously_fussy wrote a review Jul 201852 contributions21 helpful votes")</f>
        <v>seriously_fussy wrote a review Jul 201852 contributions21 helpful votes</v>
      </c>
      <c r="H191" s="4" t="str">
        <f ca="1">IFERROR(__xludf.DUMMYFUNCTION("""COMPUTED_VALUE"""),"One of the better Travelodge hotelsI have stayed at this hotel on business on a number of occasions and the 
usual Travelodge standards apply. A basic but clean room with good aircon 
and a very comfortable bed. The location is very good; just a short wal"&amp;"k to 
the station and close to lots of bars and restaurants. The hotel bar is 
very good - and all the staff very friendly and helpful. This hotel is 
better than other Travelodges i have stayed in largely because of location, 
the bar/restaurant and the "&amp;"high quality staff. So recommended. The usual 
Travelodge style with a bit extra!Read moreDate of stay: July 20181 Helpful 
voteHelpfulShareResponse from TravelodgeUK, Charley from the Social Media 
Team at Travelodge London Waterloo HotelResponded 13 Aug"&amp;" 2018Thank you for 
taking the time to review our London Waterloo Hotel. We're pleased to hear 
that you had an overall positive experience during your stay. It's great to 
read that you enjoyed the location of the hotel as well as the staff that 
were wo"&amp;"rking. It's also lovely to hear that you found the room to be 
comfortable and the aircon to be useful in this heat. Thank you for taking 
the time to share your experience.Read more")</f>
        <v>One of the better Travelodge hotelsI have stayed at this hotel on business on a number of occasions and the 
usual Travelodge standards apply. A basic but clean room with good aircon 
and a very comfortable bed. The location is very good; just a short walk to 
the station and close to lots of bars and restaurants. The hotel bar is 
very good - and all the staff very friendly and helpful. This hotel is 
better than other Travelodges i have stayed in largely because of location, 
the bar/restaurant and the high quality staff. So recommended. The usual 
Travelodge style with a bit extra!Read moreDate of stay: July 20181 Helpful 
voteHelpfulShareResponse from TravelodgeUK, Charley from the Social Media 
Team at Travelodge London Waterloo HotelResponded 13 Aug 2018Thank you for 
taking the time to review our London Waterloo Hotel. We're pleased to hear 
that you had an overall positive experience during your stay. It's great to 
read that you enjoyed the location of the hotel as well as the staff that 
were working. It's also lovely to hear that you found the room to be 
comfortable and the aircon to be useful in this heat. Thank you for taking 
the time to share your experience.Read more</v>
      </c>
      <c r="I191" s="21"/>
      <c r="J191" s="21" t="str">
        <f ca="1">IFERROR(__xludf.DUMMYFUNCTION("IMPORTXML(C191, $J$1)"),"#N/A")</f>
        <v>#N/A</v>
      </c>
      <c r="L191" s="21"/>
      <c r="M191" s="21" t="str">
        <f ca="1">IFERROR(__xludf.DUMMYFUNCTION("IMPORTXML(C191, $M$1)"),"Swetrat wrote a review Jul 2018Portsmouth, United Kingdom804 
contributions168 helpful votes")</f>
        <v>Swetrat wrote a review Jul 2018Portsmouth, United Kingdom804 
contributions168 helpful votes</v>
      </c>
      <c r="N191" s="4" t="str">
        <f ca="1">IFERROR(__xludf.DUMMYFUNCTION("""COMPUTED_VALUE"""),"Perfect location and superb valueBooked this hotel at short notice and delighted with the deal offered. This 
is a busy budget hotel splendidly situated close to Waterloo Station and 
all Southbank attractions with Traflagar Square/Covent Garden only a sh"&amp;"ort 
bus ride or 20 minute walk away. The only shortcoming from our point of 
view was the noisy air conditioning which affected the quality of our 
sleep. Recommended, nonetheless.Read moreDate of stay: January 
2018HelpfulShare")</f>
        <v>Perfect location and superb valueBooked this hotel at short notice and delighted with the deal offered. This 
is a busy budget hotel splendidly situated close to Waterloo Station and 
all Southbank attractions with Traflagar Square/Covent Garden only a short 
bus ride or 20 minute walk away. The only shortcoming from our point of 
view was the noisy air conditioning which affected the quality of our 
sleep. Recommended, nonetheless.Read moreDate of stay: January 
2018HelpfulShare</v>
      </c>
      <c r="O191" s="21"/>
      <c r="P191" s="21" t="str">
        <f ca="1">IFERROR(__xludf.DUMMYFUNCTION("IMPORTXML(C191, $P$1)"),"#N/A")</f>
        <v>#N/A</v>
      </c>
      <c r="U191" s="4" t="str">
        <f ca="1">IFERROR(__xludf.DUMMYFUNCTION("IMPORTXML(C192,$U$1)"),"Loading...")</f>
        <v>Loading...</v>
      </c>
    </row>
    <row r="192" spans="1:21" ht="15">
      <c r="A192" s="25" t="s">
        <v>13607</v>
      </c>
      <c r="B192" s="17" t="s">
        <v>126</v>
      </c>
      <c r="C192" s="23" t="str">
        <f t="shared" si="0"/>
        <v>https://www.tripadvisor.co.uk/Hotel_Review-g186338-d1812157-Reviews-or950-Travelodge_London_Waterloo_Hotel-London_England.html#REVIEWS</v>
      </c>
      <c r="D192" s="4" t="str">
        <f ca="1">IFERROR(__xludf.DUMMYFUNCTION("IMPORTXML(C192,$D$1)"),"khmp2018 wrote a review Jul 2018Edinburgh, United Kingdom36 contributions8 
helpful votes")</f>
        <v>khmp2018 wrote a review Jul 2018Edinburgh, United Kingdom36 contributions8 
helpful votes</v>
      </c>
      <c r="E192" s="4" t="str">
        <f ca="1">IFERROR(__xludf.DUMMYFUNCTION("""COMPUTED_VALUE"""),"Amazingly spacious room with a view in central LondonMy husband, two children and I stayed here for two nights while in London 
to see Harry Potter and the Cursed Child in the West End; we chose the 
hotel because it had the best prices in central London."&amp;" We were amazed with 
the amount of space we had in our room! My daughter did cartwheels between 
the beds! Plus, we had a view of the London Eye from our window, and saw 
the Shard from a window in the corridor. The room was very clean and 
air-condition"&amp;"ed and we were very comfortable in our beds. The hotel is just 
a short walk from Waterloo Station and we ate at the nearby Wahaca 
restaurant, which was surprisingly quiet for central London, and we enjoyed 
ourselves very much. I would gladly stay there"&amp;" again.Read moreDate of stay: 
July 2018HelpfulShare")</f>
        <v>Amazingly spacious room with a view in central LondonMy husband, two children and I stayed here for two nights while in London 
to see Harry Potter and the Cursed Child in the West End; we chose the 
hotel because it had the best prices in central London. We were amazed with 
the amount of space we had in our room! My daughter did cartwheels between 
the beds! Plus, we had a view of the London Eye from our window, and saw 
the Shard from a window in the corridor. The room was very clean and 
air-conditioned and we were very comfortable in our beds. The hotel is just 
a short walk from Waterloo Station and we ate at the nearby Wahaca 
restaurant, which was surprisingly quiet for central London, and we enjoyed 
ourselves very much. I would gladly stay there again.Read moreDate of stay: 
July 2018HelpfulShare</v>
      </c>
      <c r="G192" s="24" t="str">
        <f ca="1">IFERROR(__xludf.DUMMYFUNCTION("IMPORTXML(C192, $G$1)"),"SevernWomble wrote a review Jul 201827 contributions9 helpful votes")</f>
        <v>SevernWomble wrote a review Jul 201827 contributions9 helpful votes</v>
      </c>
      <c r="H192" s="4" t="str">
        <f ca="1">IFERROR(__xludf.DUMMYFUNCTION("""COMPUTED_VALUE"""),"Exceeded expectationsClean and airy on a hot day in central London, this hotel was perfect for 
our needs, with the added bonus of very friendly and helpful reception 
staff to greet us. Had a room on the 8th floor, with a view of the Shard. 
Slept like a"&amp;" baby - couldn't recommend highly enoughRead moreDate of stay: 
July 2018HelpfulShare")</f>
        <v>Exceeded expectationsClean and airy on a hot day in central London, this hotel was perfect for 
our needs, with the added bonus of very friendly and helpful reception 
staff to greet us. Had a room on the 8th floor, with a view of the Shard. 
Slept like a baby - couldn't recommend highly enoughRead moreDate of stay: 
July 2018HelpfulShare</v>
      </c>
      <c r="I192" s="21"/>
      <c r="J192" s="21" t="str">
        <f ca="1">IFERROR(__xludf.DUMMYFUNCTION("IMPORTXML(C192, $J$1)"),"Kim1983scolly wrote a review Jul 2018Royton, United Kingdom13 
contributions11 helpful votes")</f>
        <v>Kim1983scolly wrote a review Jul 2018Royton, United Kingdom13 
contributions11 helpful votes</v>
      </c>
      <c r="K192" s="4" t="str">
        <f ca="1">IFERROR(__xludf.DUMMYFUNCTION("""COMPUTED_VALUE"""),"Poor serviceVisited London on July 20th and stayed here for 4 nights with my boyfriend 
and daughter. Room was the typical travel lodge style, just what I expected 
really. I wasn't too impressed with the service in the restaurant, very 
slow and looked a"&amp;"s though they just weren't managing. Saw a few people 
complaining. I was left waiting to order for about 20 mins so I eventually 
got up and went to the bar to ask if I was supposed to order there, I felt 
as though I was being an inconvenience by asking"&amp;" as the guy looked at me 
and said yeah yeah I will be there soon I'm just busy and short staffed, so 
I apologised and said sorry I just wasn't sure what I was supposed to do as 
I was waiting a while. I then saw a few more people complaining about the 
"&amp;"wait. I think the staff could do with having…Read moreDate of stay: July 
2018HelpfulShareResponse from TravelodgeUK, Tilly from the Social Media 
Team at Travelodge London Waterloo HotelResponded 26 Jul 2018Thank you for 
taking the time to write a revie"&amp;"w about our London Waterloo Hotel . We wish 
for our customers to enjoy their experience in our café so we are sorry to 
hear that you were not positively impressed by your last stay in our hotel. 
We aim to provide a high level of service from our staff "&amp;"in our bar cafes 
and we do apologise that you did not receive this on this occasion. We are 
pleased to hear you were happy with your room We will make the most of your 
comments to continue improving the service we offer and we hope to welcome 
you agai"&amp;"n in the near future.Read more")</f>
        <v>Poor serviceVisited London on July 20th and stayed here for 4 nights with my boyfriend 
and daughter. Room was the typical travel lodge style, just what I expected 
really. I wasn't too impressed with the service in the restaurant, very 
slow and looked as though they just weren't managing. Saw a few people 
complaining. I was left waiting to order for about 20 mins so I eventually 
got up and went to the bar to ask if I was supposed to order there, I felt 
as though I was being an inconvenience by asking as the guy looked at me 
and said yeah yeah I will be there soon I'm just busy and short staffed, so 
I apologised and said sorry I just wasn't sure what I was supposed to do as 
I was waiting a while. I then saw a few more people complaining about the 
wait. I think the staff could do with having…Read moreDate of stay: July 
2018HelpfulShareResponse from TravelodgeUK, Tilly from the Social Media 
Team at Travelodge London Waterloo HotelResponded 26 Jul 2018Thank you for 
taking the time to write a review about our London Waterloo Hotel . We wish 
for our customers to enjoy their experience in our café so we are sorry to 
hear that you were not positively impressed by your last stay in our hotel. 
We aim to provide a high level of service from our staff in our bar cafes 
and we do apologise that you did not receive this on this occasion. We are 
pleased to hear you were happy with your room We will make the most of your 
comments to continue improving the service we offer and we hope to welcome 
you again in the near future.Read more</v>
      </c>
      <c r="L192" s="21"/>
      <c r="M192" s="21" t="str">
        <f ca="1">IFERROR(__xludf.DUMMYFUNCTION("IMPORTXML(C192, $M$1)"),"mummyrocks_12 wrote a review Jul 2018Atlanta, Georgia11 contributions4 
helpful votes")</f>
        <v>mummyrocks_12 wrote a review Jul 2018Atlanta, Georgia11 contributions4 
helpful votes</v>
      </c>
      <c r="N192" s="4" t="str">
        <f ca="1">IFERROR(__xludf.DUMMYFUNCTION("""COMPUTED_VALUE"""),"Great family hotelStayed here with just me and my 3 kids. Spacious room and great breakfast. 
Great value and super close to Waterloo. The staff were exceptionally 
helpful and let me leave my bag there after I had checked out so I could 
walk around Lond"&amp;"on and then come back and get it before the train from 
waterlooRead moreReview collected in partnership with this hotelDate of 
stay: June 2018HelpfulShare")</f>
        <v>Great family hotelStayed here with just me and my 3 kids. Spacious room and great breakfast. 
Great value and super close to Waterloo. The staff were exceptionally 
helpful and let me leave my bag there after I had checked out so I could 
walk around London and then come back and get it before the train from 
waterlooRead moreReview collected in partnership with this hotelDate of 
stay: June 2018HelpfulShare</v>
      </c>
      <c r="O192" s="21"/>
      <c r="P192" s="21" t="str">
        <f ca="1">IFERROR(__xludf.DUMMYFUNCTION("IMPORTXML(C192, $P$1)"),"J Z wrote a review Jul 2018Edogawa, Japan72 contributions26 helpful votes")</f>
        <v>J Z wrote a review Jul 2018Edogawa, Japan72 contributions26 helpful votes</v>
      </c>
      <c r="Q192" s="4" t="str">
        <f ca="1">IFERROR(__xludf.DUMMYFUNCTION("""COMPUTED_VALUE"""),"Nice place to stay in WaterlooThis newly refurbished Travelodge was pleasant, comfortable and provided us 
good value for a 5-day family stay. The staff were the best, friendly, and 
helpful. The location was convenient to transportation also.Read moreDat"&amp;"e 
of stay: June 2018HelpfulShare")</f>
        <v>Nice place to stay in WaterlooThis newly refurbished Travelodge was pleasant, comfortable and provided us 
good value for a 5-day family stay. The staff were the best, friendly, and 
helpful. The location was convenient to transportation also.Read moreDate 
of stay: June 2018HelpfulShare</v>
      </c>
      <c r="U192" s="4" t="str">
        <f ca="1">IFERROR(__xludf.DUMMYFUNCTION("IMPORTXML(C193,$U$1)"),"Loading...")</f>
        <v>Loading...</v>
      </c>
    </row>
    <row r="193" spans="1:21" ht="15">
      <c r="A193" s="25" t="s">
        <v>13608</v>
      </c>
      <c r="B193" s="17" t="s">
        <v>126</v>
      </c>
      <c r="C193" s="23" t="str">
        <f t="shared" si="0"/>
        <v>https://www.tripadvisor.co.uk/Hotel_Review-g186338-d1812157-Reviews-or955-Travelodge_London_Waterloo_Hotel-London_England.html#REVIEWS</v>
      </c>
      <c r="D193" s="4" t="str">
        <f ca="1">IFERROR(__xludf.DUMMYFUNCTION("IMPORTXML(C193,$D$1)"),"yorkshirelasses2018 wrote a review Jul 2018North Yorkshire, United 
Kingdom26 contributions7 helpful votes")</f>
        <v>yorkshirelasses2018 wrote a review Jul 2018North Yorkshire, United 
Kingdom26 contributions7 helpful votes</v>
      </c>
      <c r="E193" s="4" t="str">
        <f ca="1">IFERROR(__xludf.DUMMYFUNCTION("""COMPUTED_VALUE"""),"Weekend break in LondonExcellent hotel, very friendly and helpful staff who went the extra mile to 
make our stay perfect, from check in at reception,when returning late at 
night after a heavy downpour and again at breakfast the next morning. Well 
done!"&amp;"!Read moreDate of stay: July 2018HelpfulShare")</f>
        <v>Weekend break in LondonExcellent hotel, very friendly and helpful staff who went the extra mile to 
make our stay perfect, from check in at reception,when returning late at 
night after a heavy downpour and again at breakfast the next morning. Well 
done!!Read moreDate of stay: July 2018HelpfulShare</v>
      </c>
      <c r="G193" s="24" t="str">
        <f ca="1">IFERROR(__xludf.DUMMYFUNCTION("IMPORTXML(C193, $G$1)"),"janeR7113AF wrote a review Jul 2018Essex, United Kingdom4 contributions1 
helpful vote")</f>
        <v>janeR7113AF wrote a review Jul 2018Essex, United Kingdom4 contributions1 
helpful vote</v>
      </c>
      <c r="H193" s="4" t="str">
        <f ca="1">IFERROR(__xludf.DUMMYFUNCTION("""COMPUTED_VALUE"""),"Perfect overnight stayFirst stay in a Travelodge. Great staff. Room very clean, quiet and 
comfortable, everything we needed. Only stayed overnight but it was 
perfect. Recommend highly. Great not having to check out until 12.Read 
moreReview collected in"&amp;" partnership with this hotelDate of stay: July 
2018HelpfulShare")</f>
        <v>Perfect overnight stayFirst stay in a Travelodge. Great staff. Room very clean, quiet and 
comfortable, everything we needed. Only stayed overnight but it was 
perfect. Recommend highly. Great not having to check out until 12.Read 
moreReview collected in partnership with this hotelDate of stay: July 
2018HelpfulShare</v>
      </c>
      <c r="I193" s="21"/>
      <c r="J193" s="21" t="str">
        <f ca="1">IFERROR(__xludf.DUMMYFUNCTION("IMPORTXML(C193, $J$1)"),"Di P wrote a review Jul 2018Cardiff, United Kingdom22 contributions20 
helpful votes")</f>
        <v>Di P wrote a review Jul 2018Cardiff, United Kingdom22 contributions20 
helpful votes</v>
      </c>
      <c r="K193" s="4" t="str">
        <f ca="1">IFERROR(__xludf.DUMMYFUNCTION("""COMPUTED_VALUE"""),"Perfect base for our London tripWe found this hotel perfect as a base for visiting London to go to a couple 
of shows and do some general sightseeing. Lambeth North tube station is 
only a 5 minute walk away and gets you via the Bakerloo line to all popul"&amp;"ar 
areas of London. The hotel itself was clean and confortable and we 
particularly like being able to get a drink at the bar after an evening 
out.Read moreReview collected in partnership with this hotelDate of stay: 
July 2018HelpfulShare")</f>
        <v>Perfect base for our London tripWe found this hotel perfect as a base for visiting London to go to a couple 
of shows and do some general sightseeing. Lambeth North tube station is 
only a 5 minute walk away and gets you via the Bakerloo line to all popular 
areas of London. The hotel itself was clean and confortable and we 
particularly like being able to get a drink at the bar after an evening 
out.Read moreReview collected in partnership with this hotelDate of stay: 
July 2018HelpfulShare</v>
      </c>
      <c r="L193" s="21"/>
      <c r="M193" s="21" t="str">
        <f ca="1">IFERROR(__xludf.DUMMYFUNCTION("IMPORTXML(C193, $M$1)"),"Beth J wrote a review Jul 201824 contributions12 helpful votes")</f>
        <v>Beth J wrote a review Jul 201824 contributions12 helpful votes</v>
      </c>
      <c r="N193" s="4" t="str">
        <f ca="1">IFERROR(__xludf.DUMMYFUNCTION("""COMPUTED_VALUE"""),"Clean but not quietThe room was clean and bathroom was big and spacious. Cleaners were always 
in and out making sure the room was clean and tidy. Very annoying when you 
are trying to sleep and people are being noisy in the corridors outside 
your room. "&amp;"I do not know if this was guests or staff so I am unsure. 
Overall I would stay here again due to cleanliness and nice staff on the 
front desk.Read moreDate of stay: July 2018HelpfulShare")</f>
        <v>Clean but not quietThe room was clean and bathroom was big and spacious. Cleaners were always 
in and out making sure the room was clean and tidy. Very annoying when you 
are trying to sleep and people are being noisy in the corridors outside 
your room. I do not know if this was guests or staff so I am unsure. 
Overall I would stay here again due to cleanliness and nice staff on the 
front desk.Read moreDate of stay: July 2018HelpfulShare</v>
      </c>
      <c r="O193" s="21"/>
      <c r="P193" s="21" t="str">
        <f ca="1">IFERROR(__xludf.DUMMYFUNCTION("IMPORTXML(C193, $P$1)"),"#N/A")</f>
        <v>#N/A</v>
      </c>
      <c r="U193" s="4" t="str">
        <f ca="1">IFERROR(__xludf.DUMMYFUNCTION("IMPORTXML(C194,$U$1)"),"Loading...")</f>
        <v>Loading...</v>
      </c>
    </row>
    <row r="194" spans="1:21" ht="15">
      <c r="A194" s="25" t="s">
        <v>13609</v>
      </c>
      <c r="B194" s="17" t="s">
        <v>126</v>
      </c>
      <c r="C194" s="23" t="str">
        <f t="shared" si="0"/>
        <v>https://www.tripadvisor.co.uk/Hotel_Review-g186338-d1812157-Reviews-or960-Travelodge_London_Waterloo_Hotel-London_England.html#REVIEWS</v>
      </c>
      <c r="D194" s="4" t="str">
        <f ca="1">IFERROR(__xludf.DUMMYFUNCTION("IMPORTXML(C194,$D$1)"),"Ray C wrote a review Jul 20183 contributions3 helpful votes")</f>
        <v>Ray C wrote a review Jul 20183 contributions3 helpful votes</v>
      </c>
      <c r="E194" s="4" t="str">
        <f ca="1">IFERROR(__xludf.DUMMYFUNCTION("""COMPUTED_VALUE"""),"Handy Hotel in LondonWe booked the hotel for just one night as we were off to the Hyde Park BST 
concert. It was easy to find, just a few minutes walk from Waterloo 
Station. The hotel is clean and tidy, if a bit corporate in it's layout. 
Pleasant staff "&amp;"and very nice bar and restaurant area. Our room was clean 
and tidy with a/c and coffee machine. The bed was comfortable but the down 
side was the pillows. We both found them to be hard and lumpy, not very 
comfy at all. Apart form the pillows, the hotel"&amp;" was nice and suited our 
purpose.Read moreDate of stay: July 2018HelpfulShare")</f>
        <v>Handy Hotel in LondonWe booked the hotel for just one night as we were off to the Hyde Park BST 
concert. It was easy to find, just a few minutes walk from Waterloo 
Station. The hotel is clean and tidy, if a bit corporate in it's layout. 
Pleasant staff and very nice bar and restaurant area. Our room was clean 
and tidy with a/c and coffee machine. The bed was comfortable but the down 
side was the pillows. We both found them to be hard and lumpy, not very 
comfy at all. Apart form the pillows, the hotel was nice and suited our 
purpose.Read moreDate of stay: July 2018HelpfulShare</v>
      </c>
      <c r="G194" s="24" t="str">
        <f ca="1">IFERROR(__xludf.DUMMYFUNCTION("IMPORTXML(C194, $G$1)"),"Carno wrote a review Jul 2018Southampton, United Kingdom180 contributions82 
helpful votes")</f>
        <v>Carno wrote a review Jul 2018Southampton, United Kingdom180 contributions82 
helpful votes</v>
      </c>
      <c r="H194" s="4" t="str">
        <f ca="1">IFERROR(__xludf.DUMMYFUNCTION("""COMPUTED_VALUE"""),"Good location, as good as any TravelodgeApart from lack of spoons for cereal and difficulty making tea when no 
machines are labelled, the main problems were that one lift was out of 
action. My husband had stayed a couple of weeks earlier, and it hadn't "&amp;"been 
fixed in the meantime. Queues at the lifts meant we had to take the stairs, 
but the stairs we were directed to missed out the third floor. the stairs 
which went to the third floor were behind a door marked Private and the 
staff wouldn't let us us"&amp;"e them. The room was comfortable, and we hadn't 
upgraded to the one which provides a hairdryer. The dispensers were in the 
wrong place in the bathroom, so the soap dispenser was labelled Body and 
Hair wash and vice versa, but they had put the correct s"&amp;"oaps in them. Wifi, 
which we paid for, was okay as we just wanted to…Read moreReview collected 
in partnership with TravelodgeDate of stay: July 2018HelpfulShare")</f>
        <v>Good location, as good as any TravelodgeApart from lack of spoons for cereal and difficulty making tea when no 
machines are labelled, the main problems were that one lift was out of 
action. My husband had stayed a couple of weeks earlier, and it hadn't been 
fixed in the meantime. Queues at the lifts meant we had to take the stairs, 
but the stairs we were directed to missed out the third floor. the stairs 
which went to the third floor were behind a door marked Private and the 
staff wouldn't let us use them. The room was comfortable, and we hadn't 
upgraded to the one which provides a hairdryer. The dispensers were in the 
wrong place in the bathroom, so the soap dispenser was labelled Body and 
Hair wash and vice versa, but they had put the correct soaps in them. Wifi, 
which we paid for, was okay as we just wanted to…Read moreReview collected 
in partnership with TravelodgeDate of stay: July 2018HelpfulShare</v>
      </c>
      <c r="I194" s="21"/>
      <c r="J194" s="21" t="str">
        <f ca="1">IFERROR(__xludf.DUMMYFUNCTION("IMPORTXML(C194, $J$1)"),"zoeh1968 wrote a review Jul 2018Basingstoke, United Kingdom19 
contributions5 helpful votes")</f>
        <v>zoeh1968 wrote a review Jul 2018Basingstoke, United Kingdom19 
contributions5 helpful votes</v>
      </c>
      <c r="K194" s="4" t="str">
        <f ca="1">IFERROR(__xludf.DUMMYFUNCTION("""COMPUTED_VALUE"""),"Exeeded expectationsI stayed for 1 night and was just looking for the best value in the area. 
Travelodge has a reputation for being cheap, but of course London prices 
are not! Therefore, I was still not expecting a great deal. However, I was 
met with f"&amp;"riendly reception staff who accommodated my request for a quiet 
room at the rear of the hotel. Room was of a good size, comfy bed, good 
shower (bathroom on the small side but for 1 person absolutely fine). Air 
con was a god send in this hot spell, very"&amp;" quiet and kept the room cool as 
it should! 5 mins from Waterloo station it was in the perfect location. I 
would thoroughly recommend.Read moreReview collected in partnership with 
TravelodgeDate of stay: July 2018HelpfulShare")</f>
        <v>Exeeded expectationsI stayed for 1 night and was just looking for the best value in the area. 
Travelodge has a reputation for being cheap, but of course London prices 
are not! Therefore, I was still not expecting a great deal. However, I was 
met with friendly reception staff who accommodated my request for a quiet 
room at the rear of the hotel. Room was of a good size, comfy bed, good 
shower (bathroom on the small side but for 1 person absolutely fine). Air 
con was a god send in this hot spell, very quiet and kept the room cool as 
it should! 5 mins from Waterloo station it was in the perfect location. I 
would thoroughly recommend.Read moreReview collected in partnership with 
TravelodgeDate of stay: July 2018HelpfulShare</v>
      </c>
      <c r="L194" s="21"/>
      <c r="M194" s="21" t="str">
        <f ca="1">IFERROR(__xludf.DUMMYFUNCTION("IMPORTXML(C194, $M$1)"),"#N/A")</f>
        <v>#N/A</v>
      </c>
      <c r="O194" s="21"/>
      <c r="P194" s="21" t="str">
        <f ca="1">IFERROR(__xludf.DUMMYFUNCTION("IMPORTXML(C194, $P$1)"),"sarajanec2017 wrote a review Jul 2018Nailsworth4 contributions")</f>
        <v>sarajanec2017 wrote a review Jul 2018Nailsworth4 contributions</v>
      </c>
      <c r="Q194" s="4" t="str">
        <f ca="1">IFERROR(__xludf.DUMMYFUNCTION("""COMPUTED_VALUE"""),"Pleasantly surprisedLovely big room, comfortable king size bed and plenty of pillows. Could do 
with more milk in room for coffee/tea. Air-conditioning was wonderful as 
30°C outside. Only negative was 1 lift was out of order so only 1 working 
lift.Read "&amp;"moreReview collected in partnership with this hotelDate of stay: 
July 2018HelpfulShare")</f>
        <v>Pleasantly surprisedLovely big room, comfortable king size bed and plenty of pillows. Could do 
with more milk in room for coffee/tea. Air-conditioning was wonderful as 
30°C outside. Only negative was 1 lift was out of order so only 1 working 
lift.Read moreReview collected in partnership with this hotelDate of stay: 
July 2018HelpfulShare</v>
      </c>
      <c r="U194" s="4" t="str">
        <f ca="1">IFERROR(__xludf.DUMMYFUNCTION("IMPORTXML(C195,$U$1)"),"Loading...")</f>
        <v>Loading...</v>
      </c>
    </row>
    <row r="195" spans="1:21" ht="15">
      <c r="A195" s="5" t="s">
        <v>13610</v>
      </c>
      <c r="B195" s="17" t="s">
        <v>126</v>
      </c>
      <c r="C195" s="23" t="str">
        <f t="shared" si="0"/>
        <v>https://www.tripadvisor.co.uk/Hotel_Review-g186338-d1812157-Reviews-or965-Travelodge_London_Waterloo_Hotel-London_England.html#REVIEWS</v>
      </c>
      <c r="D195" s="4" t="str">
        <f ca="1">IFERROR(__xludf.DUMMYFUNCTION("IMPORTXML(C195,$D$1)"),"McKie5 wrote a review Jul 2018Aberdeen, United Kingdom20 contributions5 
helpful votes")</f>
        <v>McKie5 wrote a review Jul 2018Aberdeen, United Kingdom20 contributions5 
helpful votes</v>
      </c>
      <c r="E195" s="4" t="str">
        <f ca="1">IFERROR(__xludf.DUMMYFUNCTION("""COMPUTED_VALUE"""),"Another great stayAfter a dodgy journey due to problems @Gatwick Express it was great to 
arrive @ TL Waterloo and be made welcome as usual. Lovely room and quiet 
although near main road. Good restaurants nearby @ The CutRead moreReview 
collected in par"&amp;"tnership with this hotelDate of stay: July 2018HelpfulShare")</f>
        <v>Another great stayAfter a dodgy journey due to problems @Gatwick Express it was great to 
arrive @ TL Waterloo and be made welcome as usual. Lovely room and quiet 
although near main road. Good restaurants nearby @ The CutRead moreReview 
collected in partnership with this hotelDate of stay: July 2018HelpfulShare</v>
      </c>
      <c r="G195" s="24" t="str">
        <f ca="1">IFERROR(__xludf.DUMMYFUNCTION("IMPORTXML(C195, $G$1)"),"Zoe S wrote a review Jul 2018Southampton, United Kingdom124 
contributions100 helpful votes")</f>
        <v>Zoe S wrote a review Jul 2018Southampton, United Kingdom124 
contributions100 helpful votes</v>
      </c>
      <c r="H195" s="4" t="str">
        <f ca="1">IFERROR(__xludf.DUMMYFUNCTION("""COMPUTED_VALUE"""),"SuperRoomWe booked to stay here as we were attending a concert at Wembley Stadium. 
It was an ideal location for tube/rail transport. We paid a little extra 
and got a SuperRoom. It was very much worth the extra money. Large room, 
tea/coffee/hot chocolat"&amp;"e/kit kats provided. Nice comfortable bed with a 
selection of pillows, great shower and effective air conditioning unit. We 
watched the England Vs Panama game here as there was a board in reception 
advertising that they were showing it. We asked for th"&amp;"e sound to be turned 
on on the TV and we were told this was not possible and they didn't know 
how to do it!? The kick on the teeth was when there was a big screen 
showing the game in another area of the hotel which staff failed to even 
tell anybody!! "&amp;"I would stay again purely for location.…Read moreDate of 
stay: June 2018HelpfulShare")</f>
        <v>SuperRoomWe booked to stay here as we were attending a concert at Wembley Stadium. 
It was an ideal location for tube/rail transport. We paid a little extra 
and got a SuperRoom. It was very much worth the extra money. Large room, 
tea/coffee/hot chocolate/kit kats provided. Nice comfortable bed with a 
selection of pillows, great shower and effective air conditioning unit. We 
watched the England Vs Panama game here as there was a board in reception 
advertising that they were showing it. We asked for the sound to be turned 
on on the TV and we were told this was not possible and they didn't know 
how to do it!? The kick on the teeth was when there was a big screen 
showing the game in another area of the hotel which staff failed to even 
tell anybody!! I would stay again purely for location.…Read moreDate of 
stay: June 2018HelpfulShare</v>
      </c>
      <c r="I195" s="21"/>
      <c r="J195" s="21" t="str">
        <f ca="1">IFERROR(__xludf.DUMMYFUNCTION("IMPORTXML(C195, $J$1)"),"Neli G wrote a review Jul 20181 contribution")</f>
        <v>Neli G wrote a review Jul 20181 contribution</v>
      </c>
      <c r="K195" s="4" t="str">
        <f ca="1">IFERROR(__xludf.DUMMYFUNCTION("""COMPUTED_VALUE"""),"Good stayThe service has improved significantly. Staff - really friendly and 
helpful. Breakfast was good and bed comfortable; Catalina and her 
colleagues were very helpful! Good location with nice views from the 8th 
floor.Read moreDate of stay: July 20"&amp;"18HelpfulShare")</f>
        <v>Good stayThe service has improved significantly. Staff - really friendly and 
helpful. Breakfast was good and bed comfortable; Catalina and her 
colleagues were very helpful! Good location with nice views from the 8th 
floor.Read moreDate of stay: July 2018HelpfulShare</v>
      </c>
      <c r="L195" s="21"/>
      <c r="M195" s="21" t="str">
        <f ca="1">IFERROR(__xludf.DUMMYFUNCTION("IMPORTXML(C195, $M$1)"),"BiancM wrote a review Jul 201814 contributions1 helpful vote")</f>
        <v>BiancM wrote a review Jul 201814 contributions1 helpful vote</v>
      </c>
      <c r="N195" s="4" t="str">
        <f ca="1">IFERROR(__xludf.DUMMYFUNCTION("""COMPUTED_VALUE"""),"Perfect stayWe stayed in this hotel for 3 nights. The lobby area / bar area was modern 
and clean. Front desk staff was very friendly. We have booked a standard 
double room (5th floor) and had a view on the Shard. Coffee and tea 
facilities in the room. "&amp;"Bathroom small. Compliments to housekeeping for the 
spotless cleaning of the room/bathroom. In the evening we had some drinks 
in the bar area. Reasonable prices and pleasant staff. Breakfast was good. 
Special English breakfast, but also croissants, toa"&amp;"st bread and yoghurt. 
The coffee was good! The hotel is very close to Waterloo tube and train 
station. So travelling into the city from the Southbank is very easy. 
Southwark is a nice area to stay in with various restaurants, it is close 
to Borough Ma"&amp;"rket and the London Eye. I would…Read moreDate of stay: July 
2018HelpfulShare")</f>
        <v>Perfect stayWe stayed in this hotel for 3 nights. The lobby area / bar area was modern 
and clean. Front desk staff was very friendly. We have booked a standard 
double room (5th floor) and had a view on the Shard. Coffee and tea 
facilities in the room. Bathroom small. Compliments to housekeeping for the 
spotless cleaning of the room/bathroom. In the evening we had some drinks 
in the bar area. Reasonable prices and pleasant staff. Breakfast was good. 
Special English breakfast, but also croissants, toast bread and yoghurt. 
The coffee was good! The hotel is very close to Waterloo tube and train 
station. So travelling into the city from the Southbank is very easy. 
Southwark is a nice area to stay in with various restaurants, it is close 
to Borough Market and the London Eye. I would…Read moreDate of stay: July 
2018HelpfulShare</v>
      </c>
      <c r="O195" s="21"/>
      <c r="P195" s="21" t="str">
        <f ca="1">IFERROR(__xludf.DUMMYFUNCTION("IMPORTXML(C195, $P$1)"),"#N/A")</f>
        <v>#N/A</v>
      </c>
      <c r="U195" s="4" t="str">
        <f ca="1">IFERROR(__xludf.DUMMYFUNCTION("IMPORTXML(C196,$U$1)"),"Loading...")</f>
        <v>Loading...</v>
      </c>
    </row>
    <row r="196" spans="1:21" ht="15">
      <c r="A196" s="25" t="s">
        <v>13611</v>
      </c>
      <c r="B196" s="17" t="s">
        <v>126</v>
      </c>
      <c r="C196" s="23" t="str">
        <f t="shared" si="0"/>
        <v>https://www.tripadvisor.co.uk/Hotel_Review-g186338-d1812157-Reviews-or970-Travelodge_London_Waterloo_Hotel-London_England.html#REVIEWS</v>
      </c>
      <c r="D196" s="4" t="str">
        <f ca="1">IFERROR(__xludf.DUMMYFUNCTION("IMPORTXML(C196,$D$1)"),"Bilesy wrote a review Jul 2018Broadstone, United Kingdom85 contributions8 
helpful votes")</f>
        <v>Bilesy wrote a review Jul 2018Broadstone, United Kingdom85 contributions8 
helpful votes</v>
      </c>
      <c r="E196" s="4" t="str">
        <f ca="1">IFERROR(__xludf.DUMMYFUNCTION("""COMPUTED_VALUE"""),"Brilliant locationHave stayed at this hotel a number of times now due to its great location. 
Arriving in to Waterloo station it’s just a 5-10 minute walk to the hotel. 
From there easy walking to the Southbank, National Theatre, London Eye, 
Globe, Oxo T"&amp;"ower and over the bridge to theatre land, Covent Garden and 
beyond. Buses and tube all close by. The hotel has been recently 
refurbished and is bright and clean. We had a twin/accessible room so lots 
of space and a wet room with shower. Big fluffy towe"&amp;"ls and plenty of hot 
water. Tea/coffee making. Comfy beds and pillows. Air con was a dream as 
outdoor temps hitting 30 degrees! Staff were really friendly and helpful. 
Able to leave our luggage for the day following check out. Great view of 
the London"&amp;" Eye from 8th floor room. Really quiet too…Read moreDate of stay: 
July 20181 Helpful voteHelpfulShare")</f>
        <v>Brilliant locationHave stayed at this hotel a number of times now due to its great location. 
Arriving in to Waterloo station it’s just a 5-10 minute walk to the hotel. 
From there easy walking to the Southbank, National Theatre, London Eye, 
Globe, Oxo Tower and over the bridge to theatre land, Covent Garden and 
beyond. Buses and tube all close by. The hotel has been recently 
refurbished and is bright and clean. We had a twin/accessible room so lots 
of space and a wet room with shower. Big fluffy towels and plenty of hot 
water. Tea/coffee making. Comfy beds and pillows. Air con was a dream as 
outdoor temps hitting 30 degrees! Staff were really friendly and helpful. 
Able to leave our luggage for the day following check out. Great view of 
the London Eye from 8th floor room. Really quiet too…Read moreDate of stay: 
July 20181 Helpful voteHelpfulShare</v>
      </c>
      <c r="G196" s="24" t="str">
        <f ca="1">IFERROR(__xludf.DUMMYFUNCTION("IMPORTXML(C196, $G$1)"),"Safari608728 wrote a review Jul 20183 contributions")</f>
        <v>Safari608728 wrote a review Jul 20183 contributions</v>
      </c>
      <c r="H196" s="4" t="str">
        <f ca="1">IFERROR(__xludf.DUMMYFUNCTION("""COMPUTED_VALUE"""),"Broken lift, fire doors propped openLift broken for at least the third time this year, clearly not well 
maintained. Passed two fire doors (with FIRE DOOR KEEP SHUT signs) that 
staff had propped open. Otherwise a pleasant hotel, especially the super 
roo"&amp;"ms.Read moreDate of stay: July 2018HelpfulShareResponse from 
TravelodgeUK, Shaf from the Social Media Team. at Travelodge London 
Waterloo HotelResponded 19 Jul 2018Thank you for submitting your review of 
our London Waterloo Travelodge. We're so sorry t"&amp;"o hear about your recent 
experience and would like to hear more about your stay. May we kindly 
request you contact us via our website with your review so our customer 
service team can investigate your visit with the hotel. Thank you again for 
posting "&amp;"your comments and we hope to hear from you soon.Read more")</f>
        <v>Broken lift, fire doors propped openLift broken for at least the third time this year, clearly not well 
maintained. Passed two fire doors (with FIRE DOOR KEEP SHUT signs) that 
staff had propped open. Otherwise a pleasant hotel, especially the super 
rooms.Read moreDate of stay: July 2018HelpfulShareResponse from 
TravelodgeUK, Shaf from the Social Media Team. at Travelodge London 
Waterloo HotelResponded 19 Jul 2018Thank you for submitting your review of 
our London Waterloo Travelodge. We're so sorry to hear about your recent 
experience and would like to hear more about your stay. May we kindly 
request you contact us via our website with your review so our customer 
service team can investigate your visit with the hotel. Thank you again for 
posting your comments and we hope to hear from you soon.Read more</v>
      </c>
      <c r="I196" s="21"/>
      <c r="J196" s="21" t="str">
        <f ca="1">IFERROR(__xludf.DUMMYFUNCTION("IMPORTXML(C196, $J$1)"),"SazzaC1710 wrote a review Jul 2018Stockport, United Kingdom4 contributions2 
helpful votes")</f>
        <v>SazzaC1710 wrote a review Jul 2018Stockport, United Kingdom4 contributions2 
helpful votes</v>
      </c>
      <c r="K196" s="4" t="str">
        <f ca="1">IFERROR(__xludf.DUMMYFUNCTION("""COMPUTED_VALUE"""),"Lovely hotelRead a mixture of reviews for this hotel was a little apprehensive but 
decided to book here for its location to what we were planning. All I can 
say is I couldn’t find fault. Easy check in/out, the room was spotless, the 
air con was a life "&amp;"saver, and the breakfast fresh and tasty. Staff were all 
polite and helpful. I booked through Amoma.com and got a great deal. Will 
definitely state here againRead moreDate of stay: July 2018HelpfulShare")</f>
        <v>Lovely hotelRead a mixture of reviews for this hotel was a little apprehensive but 
decided to book here for its location to what we were planning. All I can 
say is I couldn’t find fault. Easy check in/out, the room was spotless, the 
air con was a life saver, and the breakfast fresh and tasty. Staff were all 
polite and helpful. I booked through Amoma.com and got a great deal. Will 
definitely state here againRead moreDate of stay: July 2018HelpfulShare</v>
      </c>
      <c r="L196" s="21"/>
      <c r="M196" s="21" t="str">
        <f ca="1">IFERROR(__xludf.DUMMYFUNCTION("IMPORTXML(C196, $M$1)"),"#N/A")</f>
        <v>#N/A</v>
      </c>
      <c r="O196" s="21"/>
      <c r="P196" s="21" t="str">
        <f ca="1">IFERROR(__xludf.DUMMYFUNCTION("IMPORTXML(C196, $P$1)"),"The_Glovers_UK wrote a review Jul 2018Leeds, United Kingdom385 
contributions92 helpful votes")</f>
        <v>The_Glovers_UK wrote a review Jul 2018Leeds, United Kingdom385 
contributions92 helpful votes</v>
      </c>
      <c r="Q196" s="4" t="str">
        <f ca="1">IFERROR(__xludf.DUMMYFUNCTION("""COMPUTED_VALUE"""),"Comfortable, Clean and close to Waterloo stationLocated close to Waterloo station which allowed us to get everywhere we 
wanted. Ended up on the 8th Floor so the only thing stopping this being a 5 
star review was the fact that 1 of the 2 lifts weren't wo"&amp;"rking meaning a 
long wait anytime we left that even hotel. Bed was nice and comfy and the 
shower was good. Hot was cold and cold was hot in the sink though which 
took a bit of getting used too. Brushing your teeth in hot water is more 
than a little od"&amp;"d!Read moreDate of stay: July 2018HelpfulShare")</f>
        <v>Comfortable, Clean and close to Waterloo stationLocated close to Waterloo station which allowed us to get everywhere we 
wanted. Ended up on the 8th Floor so the only thing stopping this being a 5 
star review was the fact that 1 of the 2 lifts weren't working meaning a 
long wait anytime we left that even hotel. Bed was nice and comfy and the 
shower was good. Hot was cold and cold was hot in the sink though which 
took a bit of getting used too. Brushing your teeth in hot water is more 
than a little odd!Read moreDate of stay: July 2018HelpfulShare</v>
      </c>
      <c r="U196" s="4" t="str">
        <f ca="1">IFERROR(__xludf.DUMMYFUNCTION("IMPORTXML(C197,$U$1)"),"Loading...")</f>
        <v>Loading...</v>
      </c>
    </row>
    <row r="197" spans="1:21" ht="15">
      <c r="A197" s="25" t="s">
        <v>13612</v>
      </c>
      <c r="B197" s="17" t="s">
        <v>126</v>
      </c>
      <c r="C197" s="23" t="str">
        <f t="shared" si="0"/>
        <v>https://www.tripadvisor.co.uk/Hotel_Review-g186338-d1812157-Reviews-or975-Travelodge_London_Waterloo_Hotel-London_England.html#REVIEWS</v>
      </c>
      <c r="D197" s="4" t="str">
        <f ca="1">IFERROR(__xludf.DUMMYFUNCTION("IMPORTXML(C197,$D$1)"),"Loading...")</f>
        <v>Loading...</v>
      </c>
      <c r="G197" s="24" t="str">
        <f ca="1">IFERROR(__xludf.DUMMYFUNCTION("IMPORTXML(C197, $G$1)"),"#N/A")</f>
        <v>#N/A</v>
      </c>
      <c r="I197" s="21"/>
      <c r="J197" s="21" t="str">
        <f ca="1">IFERROR(__xludf.DUMMYFUNCTION("IMPORTXML(C197, $J$1)"),"#N/A")</f>
        <v>#N/A</v>
      </c>
      <c r="L197" s="21"/>
      <c r="M197" s="21" t="str">
        <f ca="1">IFERROR(__xludf.DUMMYFUNCTION("IMPORTXML(C197, $M$1)"),"#N/A")</f>
        <v>#N/A</v>
      </c>
      <c r="O197" s="21"/>
      <c r="P197" s="21" t="str">
        <f ca="1">IFERROR(__xludf.DUMMYFUNCTION("IMPORTXML(C197, $P$1)"),"llmmartinez wrote a review Jul 20181 contribution")</f>
        <v>llmmartinez wrote a review Jul 20181 contribution</v>
      </c>
      <c r="Q197" s="4" t="str">
        <f ca="1">IFERROR(__xludf.DUMMYFUNCTION("""COMPUTED_VALUE"""),"Hotel next to the underground. Very clean and the staff 5*****Great location. Very good breakfast with a very good variety. Staff very 
helpfull. Room clean and spacious. we could leave the luggadge before check 
in and check out wich is very nice to cont"&amp;"inue our London visitRead 
moreDate of stay: July 2018HelpfulShare")</f>
        <v>Hotel next to the underground. Very clean and the staff 5*****Great location. Very good breakfast with a very good variety. Staff very 
helpfull. Room clean and spacious. we could leave the luggadge before check 
in and check out wich is very nice to continue our London visitRead 
moreDate of stay: July 2018HelpfulShare</v>
      </c>
      <c r="U197" s="4" t="str">
        <f ca="1">IFERROR(__xludf.DUMMYFUNCTION("IMPORTXML(C198,$U$1)"),"Loading...")</f>
        <v>Loading...</v>
      </c>
    </row>
    <row r="198" spans="1:21" ht="15">
      <c r="A198" s="25" t="s">
        <v>13613</v>
      </c>
      <c r="B198" s="17" t="s">
        <v>126</v>
      </c>
      <c r="C198" s="23" t="str">
        <f t="shared" si="0"/>
        <v>https://www.tripadvisor.co.uk/Hotel_Review-g186338-d1812157-Reviews-or980-Travelodge_London_Waterloo_Hotel-London_England.html#REVIEWS</v>
      </c>
      <c r="D198" s="4" t="str">
        <f ca="1">IFERROR(__xludf.DUMMYFUNCTION("IMPORTXML(C198,$D$1)"),"altitude01 wrote a review Jul 2018London, United Kingdom8 contributions6 
helpful votes")</f>
        <v>altitude01 wrote a review Jul 2018London, United Kingdom8 contributions6 
helpful votes</v>
      </c>
      <c r="E198" s="4" t="str">
        <f ca="1">IFERROR(__xludf.DUMMYFUNCTION("""COMPUTED_VALUE"""),"ExcellentFabulous stay at the revamped Travelodge in a family ‘super room’. The room 
was immaculate, well kitted out and very quiet - and the free kitkats were 
a lovely touch! Great location too being only a couple of minutes walk from 
Waterloo station"&amp;". The staff overall were excellent and in particular Aimee 
who went above and beyond and lent us her personal mobile phone charger (so 
good of her)! Any downsides? Well there are no fridges in the rooms but I 
suspect that might knock it into a differen"&amp;"t star rating and price bracket. 
No soap in the bathroom dispenser - possibly an oversight and certainly not 
the end of the world. The kiddies beds were pretty uncomfortable - but z 
beds often are. Overall I would definitely stay again and highly recom"&amp;"mend 
it.Read moreDate of stay: June 2018HelpfulShare")</f>
        <v>ExcellentFabulous stay at the revamped Travelodge in a family ‘super room’. The room 
was immaculate, well kitted out and very quiet - and the free kitkats were 
a lovely touch! Great location too being only a couple of minutes walk from 
Waterloo station. The staff overall were excellent and in particular Aimee 
who went above and beyond and lent us her personal mobile phone charger (so 
good of her)! Any downsides? Well there are no fridges in the rooms but I 
suspect that might knock it into a different star rating and price bracket. 
No soap in the bathroom dispenser - possibly an oversight and certainly not 
the end of the world. The kiddies beds were pretty uncomfortable - but z 
beds often are. Overall I would definitely stay again and highly recommend 
it.Read moreDate of stay: June 2018HelpfulShare</v>
      </c>
      <c r="G198" s="24" t="str">
        <f ca="1">IFERROR(__xludf.DUMMYFUNCTION("IMPORTXML(C198, $G$1)"),"Syril wrote a review Jul 2018Lanzarote, Spain105 contributions36 helpful 
votes")</f>
        <v>Syril wrote a review Jul 2018Lanzarote, Spain105 contributions36 helpful 
votes</v>
      </c>
      <c r="H198" s="4" t="str">
        <f ca="1">IFERROR(__xludf.DUMMYFUNCTION("""COMPUTED_VALUE"""),"Good location, simple and cleanWe stayed 3 nights in a standard room. Simple, quite little but clean 
rooms. Good beds. A little bathroom. Very litte window but great for 
keeping it dark at night. Ok noise isolation and air conditioning. A kettle 
with t"&amp;"ea varieties. A bit too little place to store luggage. Location was 
very good, close to the train station with metro and various busses, a 
walking distance to Thames, Big Ben, Modern Tate and other central 
attractions. We took breakfast once but were n"&amp;"ot impressed. Teas and 
coffees were complimented at any time. All in all, good sentral alternative 
for a reasonable price. We would stay there again.Read moreDate of stay: 
April 20181 Helpful voteHelpfulShare")</f>
        <v>Good location, simple and cleanWe stayed 3 nights in a standard room. Simple, quite little but clean 
rooms. Good beds. A little bathroom. Very litte window but great for 
keeping it dark at night. Ok noise isolation and air conditioning. A kettle 
with tea varieties. A bit too little place to store luggage. Location was 
very good, close to the train station with metro and various busses, a 
walking distance to Thames, Big Ben, Modern Tate and other central 
attractions. We took breakfast once but were not impressed. Teas and 
coffees were complimented at any time. All in all, good sentral alternative 
for a reasonable price. We would stay there again.Read moreDate of stay: 
April 20181 Helpful voteHelpfulShare</v>
      </c>
      <c r="I198" s="21"/>
      <c r="J198" s="21" t="str">
        <f ca="1">IFERROR(__xludf.DUMMYFUNCTION("IMPORTXML(C198, $J$1)"),"valerieb825 wrote a review Jul 2018Cornwall, United Kingdom13 
contributions3 helpful votes")</f>
        <v>valerieb825 wrote a review Jul 2018Cornwall, United Kingdom13 
contributions3 helpful votes</v>
      </c>
      <c r="K198" s="4" t="str">
        <f ca="1">IFERROR(__xludf.DUMMYFUNCTION("""COMPUTED_VALUE"""),"EnjoyableLovely clean room opted for the superior room well worth the money air con 
was already on which was lovely after a 4 hour train journey,the 
receptionist gave us complementary breakfast as it was my sisters 
birthday,first time in a travelodge a"&amp;"nd will definitely be back to this one 
it’s easy to get to and right near westminsterRead moreReview collected in 
partnership with TravelodgeDate of stay: July 2018HelpfulShare")</f>
        <v>EnjoyableLovely clean room opted for the superior room well worth the money air con 
was already on which was lovely after a 4 hour train journey,the 
receptionist gave us complementary breakfast as it was my sisters 
birthday,first time in a travelodge and will definitely be back to this one 
it’s easy to get to and right near westminsterRead moreReview collected in 
partnership with TravelodgeDate of stay: July 2018HelpfulShare</v>
      </c>
      <c r="L198" s="21"/>
      <c r="M198" s="21" t="str">
        <f ca="1">IFERROR(__xludf.DUMMYFUNCTION("IMPORTXML(C198, $M$1)"),"Caroline L wrote a review Jul 2018Worcs27 contributions17 helpful votes")</f>
        <v>Caroline L wrote a review Jul 2018Worcs27 contributions17 helpful votes</v>
      </c>
      <c r="N198" s="4" t="str">
        <f ca="1">IFERROR(__xludf.DUMMYFUNCTION("""COMPUTED_VALUE"""),"Exceptional serviceThis travelodge is always top class. Clean, well managed, quiet and 
friendly. Two minutes from waterloo station and tube. Five minutes walk to 
the river, bars and cafes and the national theatre. Only two minutes to the 
best fish and "&amp;"chip restaurant and take away in south london ...Masters 
fish.Read moreDate of stay: June 2018HelpfulShare")</f>
        <v>Exceptional serviceThis travelodge is always top class. Clean, well managed, quiet and 
friendly. Two minutes from waterloo station and tube. Five minutes walk to 
the river, bars and cafes and the national theatre. Only two minutes to the 
best fish and chip restaurant and take away in south london ...Masters 
fish.Read moreDate of stay: June 2018HelpfulShare</v>
      </c>
      <c r="O198" s="21"/>
      <c r="P198" s="21" t="str">
        <f ca="1">IFERROR(__xludf.DUMMYFUNCTION("IMPORTXML(C198, $P$1)"),"travellingbug21 wrote a review Jul 2018London58 contributions13 helpful 
votes")</f>
        <v>travellingbug21 wrote a review Jul 2018London58 contributions13 helpful 
votes</v>
      </c>
      <c r="Q198" s="4" t="str">
        <f ca="1">IFERROR(__xludf.DUMMYFUNCTION("""COMPUTED_VALUE"""),"Great break in LondonThe hotel was in a great location close to Waterloo station and the London 
Eye. It has recently been refurbished and both the hotel and room were 
clean and well presented. The staff at check in were friendly even though 
dealing wit"&amp;"h a couple of abusive people who were having a problem with 
their key cards. Would stay here again.Read moreReview collected in 
partnership with TravelodgeDate of stay: July 2018HelpfulShare")</f>
        <v>Great break in LondonThe hotel was in a great location close to Waterloo station and the London 
Eye. It has recently been refurbished and both the hotel and room were 
clean and well presented. The staff at check in were friendly even though 
dealing with a couple of abusive people who were having a problem with 
their key cards. Would stay here again.Read moreReview collected in 
partnership with TravelodgeDate of stay: July 2018HelpfulShare</v>
      </c>
      <c r="U198" s="4" t="str">
        <f ca="1">IFERROR(__xludf.DUMMYFUNCTION("IMPORTXML(C199,$U$1)"),"Loading...")</f>
        <v>Loading...</v>
      </c>
    </row>
    <row r="199" spans="1:21" ht="15">
      <c r="A199" s="5" t="s">
        <v>13614</v>
      </c>
      <c r="B199" s="17" t="s">
        <v>126</v>
      </c>
      <c r="C199" s="23" t="str">
        <f t="shared" si="0"/>
        <v>https://www.tripadvisor.co.uk/Hotel_Review-g186338-d1812157-Reviews-or985-Travelodge_London_Waterloo_Hotel-London_England.html#REVIEWS</v>
      </c>
      <c r="D199" s="4" t="str">
        <f ca="1">IFERROR(__xludf.DUMMYFUNCTION("IMPORTXML(C199,$D$1)"),"Fireguards wrote a review Jul 2018Northallerton, United Kingdom134 
contributions23 helpful votes")</f>
        <v>Fireguards wrote a review Jul 2018Northallerton, United Kingdom134 
contributions23 helpful votes</v>
      </c>
      <c r="E199" s="4" t="str">
        <f ca="1">IFERROR(__xludf.DUMMYFUNCTION("""COMPUTED_VALUE"""),"Great hotelStayed here for two nights with friends. Ideally situated for south bank 
and within walking distance to most top sights. Breakfast was great but 
busy and they ran out of bowls on one morning. The rooms had been 
refurbished and were lovely an"&amp;"d cool on an especially hot weekend. Hand 
wash was empty in the bathroom. Very reasonable price. Rooms were spacious 
and comfortable, bathroom is very small but had a good sized shelf.Read 
moreDate of stay: July 2018HelpfulShare")</f>
        <v>Great hotelStayed here for two nights with friends. Ideally situated for south bank 
and within walking distance to most top sights. Breakfast was great but 
busy and they ran out of bowls on one morning. The rooms had been 
refurbished and were lovely and cool on an especially hot weekend. Hand 
wash was empty in the bathroom. Very reasonable price. Rooms were spacious 
and comfortable, bathroom is very small but had a good sized shelf.Read 
moreDate of stay: July 2018HelpfulShare</v>
      </c>
      <c r="G199" s="24" t="str">
        <f ca="1">IFERROR(__xludf.DUMMYFUNCTION("IMPORTXML(C199, $G$1)"),"b4bertie wrote a review Jul 2018Leicestershire, United Kingdom35 
contributions10 helpful votes")</f>
        <v>b4bertie wrote a review Jul 2018Leicestershire, United Kingdom35 
contributions10 helpful votes</v>
      </c>
      <c r="H199" s="4" t="str">
        <f ca="1">IFERROR(__xludf.DUMMYFUNCTION("""COMPUTED_VALUE"""),"Overnight stay in LondonVery comfortable and good value for money. Ideal for where we wanted to be 
in London. The check in staff were helpful, the room was well appointed 
with a comfortable bed and a good ensuite shower. Very convenient for 
Southwark w"&amp;"here we were visiting family. Will definitely stay here 
again.Read moreDate of stay: June 2018HelpfulShare")</f>
        <v>Overnight stay in LondonVery comfortable and good value for money. Ideal for where we wanted to be 
in London. The check in staff were helpful, the room was well appointed 
with a comfortable bed and a good ensuite shower. Very convenient for 
Southwark where we were visiting family. Will definitely stay here 
again.Read moreDate of stay: June 2018HelpfulShare</v>
      </c>
      <c r="I199" s="21"/>
      <c r="J199" s="21" t="str">
        <f ca="1">IFERROR(__xludf.DUMMYFUNCTION("IMPORTXML(C199, $J$1)"),"Frengoesto_- wrote a review Jun 2018Puglia, Italy86 contributions22 helpful 
votes")</f>
        <v>Frengoesto_- wrote a review Jun 2018Puglia, Italy86 contributions22 helpful 
votes</v>
      </c>
      <c r="K199" s="4" t="str">
        <f ca="1">IFERROR(__xludf.DUMMYFUNCTION("""COMPUTED_VALUE"""),"worth the moneyIt was the first time at Travelodge. I always spent my stays in London at 
Premier Inn. Travelodge London Waterloo has been a nice surprise. Very good 
position and staff, nice continental breakfast. Just the lack of bath mat. 
It was unsaf"&amp;"e exiting from the shower with wet feet. I will choose this 
hotel again.Read moreDate of stay: June 2018HelpfulShare")</f>
        <v>worth the moneyIt was the first time at Travelodge. I always spent my stays in London at 
Premier Inn. Travelodge London Waterloo has been a nice surprise. Very good 
position and staff, nice continental breakfast. Just the lack of bath mat. 
It was unsafe exiting from the shower with wet feet. I will choose this 
hotel again.Read moreDate of stay: June 2018HelpfulShare</v>
      </c>
      <c r="L199" s="21"/>
      <c r="M199" s="21" t="str">
        <f ca="1">IFERROR(__xludf.DUMMYFUNCTION("IMPORTXML(C199, $M$1)"),"francesk250 wrote a review Jun 20182 contributions2 helpful votes")</f>
        <v>francesk250 wrote a review Jun 20182 contributions2 helpful votes</v>
      </c>
      <c r="N199" s="4" t="str">
        <f ca="1">IFERROR(__xludf.DUMMYFUNCTION("""COMPUTED_VALUE"""),"Excellent air-conditioning!Big positive was effective, easily controllable air-conditioning. I stayed 
during the heat-wave of late June 2018, so this was key. Room very quiet, 
though (2nd floor) looking out over Waterloo Road. Bathroom nicely 
refurbish"&amp;"ed too, though cramped. Big negative: Checkout is 11, so why was I 
interrupted at 9.45 am by cleaners? This was - is - an intrusion.Read 
moreReview collected in partnership with TravelodgeDate of stay: June 20181 
Helpful voteHelpfulShare")</f>
        <v>Excellent air-conditioning!Big positive was effective, easily controllable air-conditioning. I stayed 
during the heat-wave of late June 2018, so this was key. Room very quiet, 
though (2nd floor) looking out over Waterloo Road. Bathroom nicely 
refurbished too, though cramped. Big negative: Checkout is 11, so why was I 
interrupted at 9.45 am by cleaners? This was - is - an intrusion.Read 
moreReview collected in partnership with TravelodgeDate of stay: June 20181 
Helpful voteHelpfulShare</v>
      </c>
      <c r="O199" s="21"/>
      <c r="P199" s="21" t="str">
        <f ca="1">IFERROR(__xludf.DUMMYFUNCTION("IMPORTXML(C199, $P$1)"),"teequu wrote a review Jun 2018Brisbane, Australia26 contributions5 helpful 
votes")</f>
        <v>teequu wrote a review Jun 2018Brisbane, Australia26 contributions5 helpful 
votes</v>
      </c>
      <c r="Q199" s="4" t="str">
        <f ca="1">IFERROR(__xludf.DUMMYFUNCTION("""COMPUTED_VALUE"""),"Great hotel central to everythingThis was a great hotel which was close to the Waterloo Train Station to 
make it easy to get around everywhere. Also really close to the London Eye. 
Would definitely stay again and recommend to others (and have already to"&amp;"ld 
a few friends this is the only place to stay). The breakfast buffet was 
also pretty good.Read moreDate of stay: May 2018HelpfulShare")</f>
        <v>Great hotel central to everythingThis was a great hotel which was close to the Waterloo Train Station to 
make it easy to get around everywhere. Also really close to the London Eye. 
Would definitely stay again and recommend to others (and have already told 
a few friends this is the only place to stay). The breakfast buffet was 
also pretty good.Read moreDate of stay: May 2018HelpfulShare</v>
      </c>
      <c r="U199" s="4" t="str">
        <f ca="1">IFERROR(__xludf.DUMMYFUNCTION("IMPORTXML(C200,$U$1)"),"Loading...")</f>
        <v>Loading...</v>
      </c>
    </row>
    <row r="200" spans="1:21" ht="15">
      <c r="A200" s="25" t="s">
        <v>13615</v>
      </c>
      <c r="B200" s="17" t="s">
        <v>126</v>
      </c>
      <c r="C200" s="23" t="str">
        <f t="shared" si="0"/>
        <v>https://www.tripadvisor.co.uk/Hotel_Review-g186338-d1812157-Reviews-or990-Travelodge_London_Waterloo_Hotel-London_England.html#REVIEWS</v>
      </c>
      <c r="D200" s="4" t="str">
        <f ca="1">IFERROR(__xludf.DUMMYFUNCTION("IMPORTXML(C200,$D$1)"),"normanandsue9 wrote a review Jun 20181 contribution")</f>
        <v>normanandsue9 wrote a review Jun 20181 contribution</v>
      </c>
      <c r="E200" s="4" t="str">
        <f ca="1">IFERROR(__xludf.DUMMYFUNCTION("""COMPUTED_VALUE"""),"my stay at travel lodge london waterlooas always good, staff helpful and very polite would recommend it any person 
well placed to visit any part of London, 5 mins from train station, cant 
praise it enough and the staff there custom care policy they all "&amp;"
believe.Read moreReview collected in partnership with this hotelDate of 
stay: June 2018HelpfulShare")</f>
        <v>my stay at travel lodge london waterlooas always good, staff helpful and very polite would recommend it any person 
well placed to visit any part of London, 5 mins from train station, cant 
praise it enough and the staff there custom care policy they all 
believe.Read moreReview collected in partnership with this hotelDate of 
stay: June 2018HelpfulShare</v>
      </c>
      <c r="G200" s="24" t="str">
        <f ca="1">IFERROR(__xludf.DUMMYFUNCTION("IMPORTXML(C200, $G$1)"),"JanetonLookout wrote a review Jun 2018Lookout Mountain, Georgia100 
contributions50 helpful votes")</f>
        <v>JanetonLookout wrote a review Jun 2018Lookout Mountain, Georgia100 
contributions50 helpful votes</v>
      </c>
      <c r="H200" s="4" t="str">
        <f ca="1">IFERROR(__xludf.DUMMYFUNCTION("""COMPUTED_VALUE"""),"Great location! Nice room!We stayed here for 6 nights to be well-located for sightseeing in London 
and for a couple day trips out of Waterloo train station. No complaints AT 
ALL. In fact, we were pleasantly surprised by some nice details. There was 
a k"&amp;"ettle with instant coffee, sugar and liquid cream along with teas. We 
had a view of the London area. We were 5 minutes from the Waterloo station. 
We were a pleasant walk from The Globe. Also, while it is located near some 
ambulance station, we could no"&amp;"t hear ambulances or any vehicles in our 
room. I know this was recently renovated, and the renovations made the 
hotel very nice. Everything was crisp and clean in our room, and the bed 
and pillows extremely comfortable. Our rate did not include breakfa"&amp;"st, so 
we did not eat there.Read moreDate of stay: June 2018HelpfulShare")</f>
        <v>Great location! Nice room!We stayed here for 6 nights to be well-located for sightseeing in London 
and for a couple day trips out of Waterloo train station. No complaints AT 
ALL. In fact, we were pleasantly surprised by some nice details. There was 
a kettle with instant coffee, sugar and liquid cream along with teas. We 
had a view of the London area. We were 5 minutes from the Waterloo station. 
We were a pleasant walk from The Globe. Also, while it is located near some 
ambulance station, we could not hear ambulances or any vehicles in our 
room. I know this was recently renovated, and the renovations made the 
hotel very nice. Everything was crisp and clean in our room, and the bed 
and pillows extremely comfortable. Our rate did not include breakfast, so 
we did not eat there.Read moreDate of stay: June 2018HelpfulShare</v>
      </c>
      <c r="I200" s="21"/>
      <c r="J200" s="21" t="str">
        <f ca="1">IFERROR(__xludf.DUMMYFUNCTION("IMPORTXML(C200, $J$1)"),"#N/A")</f>
        <v>#N/A</v>
      </c>
      <c r="L200" s="21"/>
      <c r="M200" s="21" t="str">
        <f ca="1">IFERROR(__xludf.DUMMYFUNCTION("IMPORTXML(C200, $M$1)"),"HIlary P wrote a review Jun 2018Glasgow, United Kingdom6 contributions3 
helpful votes")</f>
        <v>HIlary P wrote a review Jun 2018Glasgow, United Kingdom6 contributions3 
helpful votes</v>
      </c>
      <c r="N200" s="4" t="str">
        <f ca="1">IFERROR(__xludf.DUMMYFUNCTION("""COMPUTED_VALUE"""),"HamiltonWe stayed here for a weekend primarily to see the musical Hamilton. The 
hotel was clean the air conditioning worked the staff were all very helpful 
and polite. Our room had a great view of the London eye and the some of St 
Paul’s. Very central "&amp;"location for many tourist attractions. The area was 
quiet too. Lots of places to eat nearby and a small Tesco and Sainsbury’s. 
The hotel had a bar and restaurant which was open 24 hours. All in all a 
great place to stay for excellent value.Read moreRev"&amp;"iew collected in 
partnership with this hotelDate of stay: June 2018HelpfulShare")</f>
        <v>HamiltonWe stayed here for a weekend primarily to see the musical Hamilton. The 
hotel was clean the air conditioning worked the staff were all very helpful 
and polite. Our room had a great view of the London eye and the some of St 
Paul’s. Very central location for many tourist attractions. The area was 
quiet too. Lots of places to eat nearby and a small Tesco and Sainsbury’s. 
The hotel had a bar and restaurant which was open 24 hours. All in all a 
great place to stay for excellent value.Read moreReview collected in 
partnership with this hotelDate of stay: June 2018HelpfulShare</v>
      </c>
      <c r="O200" s="21"/>
      <c r="P200" s="21" t="str">
        <f ca="1">IFERROR(__xludf.DUMMYFUNCTION("IMPORTXML(C200, $P$1)"),"#N/A")</f>
        <v>#N/A</v>
      </c>
      <c r="U200" s="4" t="str">
        <f ca="1">IFERROR(__xludf.DUMMYFUNCTION("IMPORTXML(C201,$U$1)"),"Loading...")</f>
        <v>Loading...</v>
      </c>
    </row>
    <row r="201" spans="1:21" ht="15">
      <c r="A201" s="25" t="s">
        <v>13616</v>
      </c>
      <c r="B201" s="17" t="s">
        <v>126</v>
      </c>
      <c r="C201" s="23" t="str">
        <f t="shared" si="0"/>
        <v>https://www.tripadvisor.co.uk/Hotel_Review-g186338-d1812157-Reviews-or995-Travelodge_London_Waterloo_Hotel-London_England.html#REVIEWS</v>
      </c>
      <c r="D201" s="4" t="str">
        <f ca="1">IFERROR(__xludf.DUMMYFUNCTION("IMPORTXML(C201,$D$1)"),"margaretmcgeady wrote a review Jun 20181 contribution")</f>
        <v>margaretmcgeady wrote a review Jun 20181 contribution</v>
      </c>
      <c r="E201" s="4" t="str">
        <f ca="1">IFERROR(__xludf.DUMMYFUNCTION("""COMPUTED_VALUE"""),"Fantastic experienceOur trip was wonderful and would definitely go back again the location was 
great and value for money great I had taken my young nieces and we had a 
fantastic time and couldn’t have picked a better hotel the family room was 
greatRead"&amp;" moreDate of stay: June 2018HelpfulShare")</f>
        <v>Fantastic experienceOur trip was wonderful and would definitely go back again the location was 
great and value for money great I had taken my young nieces and we had a 
fantastic time and couldn’t have picked a better hotel the family room was 
greatRead moreDate of stay: June 2018HelpfulShare</v>
      </c>
      <c r="G201" s="24" t="str">
        <f ca="1">IFERROR(__xludf.DUMMYFUNCTION("IMPORTXML(C201, $G$1)"),"#N/A")</f>
        <v>#N/A</v>
      </c>
      <c r="I201" s="21"/>
      <c r="J201" s="21" t="str">
        <f ca="1">IFERROR(__xludf.DUMMYFUNCTION("IMPORTXML(C201, $J$1)"),"Ryan wrote a review Jun 2018Greater Newcastle, Australia4 contributions1 
helpful vote")</f>
        <v>Ryan wrote a review Jun 2018Greater Newcastle, Australia4 contributions1 
helpful vote</v>
      </c>
      <c r="K201" s="4" t="str">
        <f ca="1">IFERROR(__xludf.DUMMYFUNCTION("""COMPUTED_VALUE"""),"Great LocationStayed here for 4 night with a friend and was really good for what we paid! 
Short walk to many restaurants and bars and close to Waterloo station. 
Right on a main road, so was super easy to get an Uber or cab within a 
minute. Rooms clean "&amp;"with comfortable beds.Read moreDate of stay: February 
2018HelpfulShare")</f>
        <v>Great LocationStayed here for 4 night with a friend and was really good for what we paid! 
Short walk to many restaurants and bars and close to Waterloo station. 
Right on a main road, so was super easy to get an Uber or cab within a 
minute. Rooms clean with comfortable beds.Read moreDate of stay: February 
2018HelpfulShare</v>
      </c>
      <c r="L201" s="21"/>
      <c r="M201" s="21" t="str">
        <f ca="1">IFERROR(__xludf.DUMMYFUNCTION("IMPORTXML(C201, $M$1)"),"lucymhoward001 wrote a review Jun 2018Bromsgrove, United Kingdom1 
contribution")</f>
        <v>lucymhoward001 wrote a review Jun 2018Bromsgrove, United Kingdom1 
contribution</v>
      </c>
      <c r="N201" s="4" t="str">
        <f ca="1">IFERROR(__xludf.DUMMYFUNCTION("""COMPUTED_VALUE"""),"ExcellentClean and comfortable hotel, location is brilliant for sightseeing. I have 
stayed here ever since it first opened, usually visit london a couple of 
times a year. Find this hotel very convenient. Staff are always lovely and 
rooms clean and extr"&amp;"emely comfortable.Read moreReview collected in 
partnership with TravelodgeDate of stay: May 2018HelpfulShare")</f>
        <v>ExcellentClean and comfortable hotel, location is brilliant for sightseeing. I have 
stayed here ever since it first opened, usually visit london a couple of 
times a year. Find this hotel very convenient. Staff are always lovely and 
rooms clean and extremely comfortable.Read moreReview collected in 
partnership with TravelodgeDate of stay: May 2018HelpfulShare</v>
      </c>
      <c r="O201" s="21"/>
      <c r="P201" s="21" t="str">
        <f ca="1">IFERROR(__xludf.DUMMYFUNCTION("IMPORTXML(C201, $P$1)"),"Pongo67 wrote a review Jun 2018Wiltshire, United Kingdom13 contributions3 
helpful votes")</f>
        <v>Pongo67 wrote a review Jun 2018Wiltshire, United Kingdom13 contributions3 
helpful votes</v>
      </c>
      <c r="Q201" s="4" t="str">
        <f ca="1">IFERROR(__xludf.DUMMYFUNCTION("""COMPUTED_VALUE"""),"Great stay.Always stay here as it’s in a great location. A big thank you to Mel on 
reception who moved us to a different room when we checked in at noon on 
23/6. She did this without fuss and was very helpfull. Great customer 
service. Room was clean an"&amp;"d cool. Look forward to a return visit hopefully 
soon.Read moreDate of stay: June 2018HelpfulShare")</f>
        <v>Great stay.Always stay here as it’s in a great location. A big thank you to Mel on 
reception who moved us to a different room when we checked in at noon on 
23/6. She did this without fuss and was very helpfull. Great customer 
service. Room was clean and cool. Look forward to a return visit hopefully 
soon.Read moreDate of stay: June 2018HelpfulShare</v>
      </c>
      <c r="U201" s="4" t="str">
        <f ca="1">IFERROR(__xludf.DUMMYFUNCTION("IMPORTXML(C202,$U$1)"),"Loading...")</f>
        <v>Loading...</v>
      </c>
    </row>
    <row r="202" spans="1:21" ht="15">
      <c r="A202" s="25" t="s">
        <v>13617</v>
      </c>
      <c r="B202" s="17" t="s">
        <v>126</v>
      </c>
      <c r="C202" s="23" t="str">
        <f t="shared" si="0"/>
        <v>https://www.tripadvisor.co.uk/Hotel_Review-g186338-d1812157-Reviews-or1000-Travelodge_London_Waterloo_Hotel-London_England.html#REVIEWS</v>
      </c>
      <c r="D202" s="4" t="str">
        <f ca="1">IFERROR(__xludf.DUMMYFUNCTION("IMPORTXML(C202,$D$1)"),"ozzieguy65 wrote a review Jun 2018Leeds, United Kingdom31 contributions9 
helpful votes")</f>
        <v>ozzieguy65 wrote a review Jun 2018Leeds, United Kingdom31 contributions9 
helpful votes</v>
      </c>
      <c r="E202" s="4" t="str">
        <f ca="1">IFERROR(__xludf.DUMMYFUNCTION("""COMPUTED_VALUE"""),"better than everOvernight stay in a very clean updated twin room. All that you would want 
for a stay over with courteous staff. Close to Waterloo station and the Old 
Vic theatre. Nice open park close and if not eating in good food to 
find.Read moreDate"&amp;" of stay: June 2018HelpfulShare")</f>
        <v>better than everOvernight stay in a very clean updated twin room. All that you would want 
for a stay over with courteous staff. Close to Waterloo station and the Old 
Vic theatre. Nice open park close and if not eating in good food to 
find.Read moreDate of stay: June 2018HelpfulShare</v>
      </c>
      <c r="G202" s="24" t="str">
        <f ca="1">IFERROR(__xludf.DUMMYFUNCTION("IMPORTXML(C202, $G$1)"),"Jackie L wrote a review Jun 20181 contribution")</f>
        <v>Jackie L wrote a review Jun 20181 contribution</v>
      </c>
      <c r="H202" s="4" t="str">
        <f ca="1">IFERROR(__xludf.DUMMYFUNCTION("""COMPUTED_VALUE"""),"Hen weekendWe were very happy with the position of the hotel being close to Waterloo 
Station. It was bright, clean and modern. The rooms are spacious and beds 
very comfy, with tea/coffee making facilities . The staff and Calvin were 
very friendly and h"&amp;"elpful, we left our bags there all day whilst 
sightseeingRead moreDate of stay: June 2018HelpfulShare")</f>
        <v>Hen weekendWe were very happy with the position of the hotel being close to Waterloo 
Station. It was bright, clean and modern. The rooms are spacious and beds 
very comfy, with tea/coffee making facilities . The staff and Calvin were 
very friendly and helpful, we left our bags there all day whilst 
sightseeingRead moreDate of stay: June 2018HelpfulShare</v>
      </c>
      <c r="I202" s="21"/>
      <c r="J202" s="21" t="str">
        <f ca="1">IFERROR(__xludf.DUMMYFUNCTION("IMPORTXML(C202, $J$1)"),"Lauren C wrote a review Jun 20185 contributions1 helpful vote")</f>
        <v>Lauren C wrote a review Jun 20185 contributions1 helpful vote</v>
      </c>
      <c r="K202" s="4" t="str">
        <f ca="1">IFERROR(__xludf.DUMMYFUNCTION("""COMPUTED_VALUE"""),"Lovely staff would defiantly stay here againMe and my partner have just come back from a lovely weekend in London, we 
picked this hotel as we were close to Waterloo train and tube station which 
we needed to get the ascot (which was amazing) it was about"&amp;" an 8 minute 
walk, but the staff were so lovely here, very friendly and helpful, and the 
hotel room we stayed in number 23 was spotless, and great for what we 
needed for the weekend, would defiantly stay again.Read moreDate of stay: 
June 2018HelpfulSh"&amp;"are")</f>
        <v>Lovely staff would defiantly stay here againMe and my partner have just come back from a lovely weekend in London, we 
picked this hotel as we were close to Waterloo train and tube station which 
we needed to get the ascot (which was amazing) it was about an 8 minute 
walk, but the staff were so lovely here, very friendly and helpful, and the 
hotel room we stayed in number 23 was spotless, and great for what we 
needed for the weekend, would defiantly stay again.Read moreDate of stay: 
June 2018HelpfulShare</v>
      </c>
      <c r="L202" s="21"/>
      <c r="M202" s="21" t="str">
        <f ca="1">IFERROR(__xludf.DUMMYFUNCTION("IMPORTXML(C202, $M$1)"),"#N/A")</f>
        <v>#N/A</v>
      </c>
      <c r="O202" s="21"/>
      <c r="P202" s="21" t="str">
        <f ca="1">IFERROR(__xludf.DUMMYFUNCTION("IMPORTXML(C202, $P$1)"),"#N/A")</f>
        <v>#N/A</v>
      </c>
      <c r="U202" s="4" t="str">
        <f ca="1">IFERROR(__xludf.DUMMYFUNCTION("IMPORTXML(C203,$U$1)"),"Loading...")</f>
        <v>Loading...</v>
      </c>
    </row>
    <row r="203" spans="1:21" ht="15">
      <c r="A203" s="5" t="s">
        <v>13618</v>
      </c>
      <c r="B203" s="17" t="s">
        <v>126</v>
      </c>
      <c r="C203" s="23" t="str">
        <f t="shared" si="0"/>
        <v>https://www.tripadvisor.co.uk/Hotel_Review-g186338-d1812157-Reviews-or1005-Travelodge_London_Waterloo_Hotel-London_England.html#REVIEWS</v>
      </c>
      <c r="D203" s="4" t="str">
        <f ca="1">IFERROR(__xludf.DUMMYFUNCTION("IMPORTXML(C203,$D$1)"),"Gary C wrote a review Jun 2018Alresford, United Kingdom95 contributions34 
helpful votes")</f>
        <v>Gary C wrote a review Jun 2018Alresford, United Kingdom95 contributions34 
helpful votes</v>
      </c>
      <c r="E203" s="4" t="str">
        <f ca="1">IFERROR(__xludf.DUMMYFUNCTION("""COMPUTED_VALUE"""),"Great locationOK, so this is a Travelodge but it does what they do really well and it is 
in a great location and is excellent value for money compared to most 
hotels in London. The buffet breakfast is very good. Only negative is 
finding a black cab out"&amp;"side can be difficult.Read moreDate of stay: May 
2018HelpfulShare")</f>
        <v>Great locationOK, so this is a Travelodge but it does what they do really well and it is 
in a great location and is excellent value for money compared to most 
hotels in London. The buffet breakfast is very good. Only negative is 
finding a black cab outside can be difficult.Read moreDate of stay: May 
2018HelpfulShare</v>
      </c>
      <c r="G203" s="24" t="str">
        <f ca="1">IFERROR(__xludf.DUMMYFUNCTION("IMPORTXML(C203, $G$1)"),"43elizabeth wrote a review Jun 2018Glasgow, United Kingdom3 contributions1 
helpful vote")</f>
        <v>43elizabeth wrote a review Jun 2018Glasgow, United Kingdom3 contributions1 
helpful vote</v>
      </c>
      <c r="H203" s="4" t="str">
        <f ca="1">IFERROR(__xludf.DUMMYFUNCTION("""COMPUTED_VALUE"""),"Great locationClean friendly staff and great location ever thing you need in room and 
plenty of free coffee and tea in room which extras can be found at 
reception cold fruit water in jugs free round reception Could not faultRead 
moreReview collected in"&amp;" partnership with TravelodgeDate of stay: June 
2018HelpfulShare")</f>
        <v>Great locationClean friendly staff and great location ever thing you need in room and 
plenty of free coffee and tea in room which extras can be found at 
reception cold fruit water in jugs free round reception Could not faultRead 
moreReview collected in partnership with TravelodgeDate of stay: June 
2018HelpfulShare</v>
      </c>
      <c r="I203" s="21"/>
      <c r="J203" s="21" t="str">
        <f ca="1">IFERROR(__xludf.DUMMYFUNCTION("IMPORTXML(C203, $J$1)"),"Alex C wrote a review Jun 2018Liverpool, England, United Kingdom36 
contributions19 helpful votes")</f>
        <v>Alex C wrote a review Jun 2018Liverpool, England, United Kingdom36 
contributions19 helpful votes</v>
      </c>
      <c r="K203" s="4" t="str">
        <f ca="1">IFERROR(__xludf.DUMMYFUNCTION("""COMPUTED_VALUE"""),"OkishThe hotel itself is nice clean and in a good location, the staff are ok but 
you will find some aren’t helpful and can be rude and abrupt, breakfast 
doesn’t start til 8 so if u have a early train don’t pay for breakfast as 
you won’t get itRead more"&amp;"Date of stay: June 2018HelpfulShareResponse from 
TravelodgeUK, Tilly from the Social Media Team at Travelodge London 
Waterloo HotelResponded 25 Jun 2018Thank you for your comments about our 
London Waterloo Hotel. We are very sorry to hear that you were"&amp;" not given 
the best Customer Service by some of our team members, but we are very 
pleased to hear that you found the hotel to be cleaned to our high 
standards, to be in a good location and some of our team members provided 
good Customer Service. We wi"&amp;"ll be sure to pass your comments onto the hotel 
team and we hope to welcome you back again soonRead more")</f>
        <v>OkishThe hotel itself is nice clean and in a good location, the staff are ok but 
you will find some aren’t helpful and can be rude and abrupt, breakfast 
doesn’t start til 8 so if u have a early train don’t pay for breakfast as 
you won’t get itRead moreDate of stay: June 2018HelpfulShareResponse from 
TravelodgeUK, Tilly from the Social Media Team at Travelodge London 
Waterloo HotelResponded 25 Jun 2018Thank you for your comments about our 
London Waterloo Hotel. We are very sorry to hear that you were not given 
the best Customer Service by some of our team members, but we are very 
pleased to hear that you found the hotel to be cleaned to our high 
standards, to be in a good location and some of our team members provided 
good Customer Service. We will be sure to pass your comments onto the hotel 
team and we hope to welcome you back again soonRead more</v>
      </c>
      <c r="L203" s="21"/>
      <c r="M203" s="21" t="str">
        <f ca="1">IFERROR(__xludf.DUMMYFUNCTION("IMPORTXML(C203, $M$1)"),"Sarah H wrote a review Jun 2018Gillingham, United Kingdom78 contributions60 
helpful votes")</f>
        <v>Sarah H wrote a review Jun 2018Gillingham, United Kingdom78 contributions60 
helpful votes</v>
      </c>
      <c r="N203" s="4" t="str">
        <f ca="1">IFERROR(__xludf.DUMMYFUNCTION("""COMPUTED_VALUE"""),"Night staffThis is our 2nd stay at this Travelodge and sadly it will probably be our 
last. We booked to stay here again after a positive experience staying here 
on a weeknight after a concert, so we decided to book again. The hotel and 
room was very cl"&amp;"ean and the staff were all helpful and polite, but we feel 
really sorry for the night staff. Last night, the 2 poor lads working the 
night shift were rushed off their feet having to run the bar (which even at 
1am still had 30 thirsty people in) all dri"&amp;"nking and ordering food from the 
night menu. These chaps stayed polite the whole time to their customers, 
however the customers were all starting to get fed up with waiting ages to 
be served, food taking over an hour to be cooked (yes there were 4 
dif"&amp;"ferent people questioning where their…Read moreDate of stay: June 20182 
Helpful votesHelpfulShareResponse from TravelodgeUK, Niki from The Social 
Media Team at Travelodge London Waterloo HotelResponded 24 Jun 2018Thank 
you for taking the time to review"&amp;" our London Waterloo hotel. We're pleased 
that you found your room to be clean and comfortable during your stay with 
us. We are sorry to learn that the service provided at the hotel was not up 
to our usual high standard due to a shortage of staff that "&amp;"evening. We will 
be sure to pass your feedback onto the hotel manager and we hope to have 
the chance to welcome you back again soon.Read more")</f>
        <v>Night staffThis is our 2nd stay at this Travelodge and sadly it will probably be our 
last. We booked to stay here again after a positive experience staying here 
on a weeknight after a concert, so we decided to book again. The hotel and 
room was very clean and the staff were all helpful and polite, but we feel 
really sorry for the night staff. Last night, the 2 poor lads working the 
night shift were rushed off their feet having to run the bar (which even at 
1am still had 30 thirsty people in) all drinking and ordering food from the 
night menu. These chaps stayed polite the whole time to their customers, 
however the customers were all starting to get fed up with waiting ages to 
be served, food taking over an hour to be cooked (yes there were 4 
different people questioning where their…Read moreDate of stay: June 20182 
Helpful votesHelpfulShareResponse from TravelodgeUK, Niki from The Social 
Media Team at Travelodge London Waterloo HotelResponded 24 Jun 2018Thank 
you for taking the time to review our London Waterloo hotel. We're pleased 
that you found your room to be clean and comfortable during your stay with 
us. We are sorry to learn that the service provided at the hotel was not up 
to our usual high standard due to a shortage of staff that evening. We will 
be sure to pass your feedback onto the hotel manager and we hope to have 
the chance to welcome you back again soon.Read more</v>
      </c>
      <c r="O203" s="21"/>
      <c r="P203" s="21" t="str">
        <f ca="1">IFERROR(__xludf.DUMMYFUNCTION("IMPORTXML(C203, $P$1)"),"Mick H wrote a review Jun 201828 contributions10 helpful votes")</f>
        <v>Mick H wrote a review Jun 201828 contributions10 helpful votes</v>
      </c>
      <c r="Q203" s="4" t="str">
        <f ca="1">IFERROR(__xludf.DUMMYFUNCTION("""COMPUTED_VALUE"""),"Travelodge WaterlooGreat location, handy for rail and tube links. Great array of 
bars/restaurants within walking distance. Love the new super rooms, with 
waterfall showers and pod coffee machine in the good sized, nicely 
decorated rooms.Read moreDate o"&amp;"f stay: May 20181 Helpful voteHelpfulShare")</f>
        <v>Travelodge WaterlooGreat location, handy for rail and tube links. Great array of 
bars/restaurants within walking distance. Love the new super rooms, with 
waterfall showers and pod coffee machine in the good sized, nicely 
decorated rooms.Read moreDate of stay: May 20181 Helpful voteHelpfulShare</v>
      </c>
      <c r="U203" s="4" t="str">
        <f ca="1">IFERROR(__xludf.DUMMYFUNCTION("IMPORTXML(C204,$U$1)"),"Loading...")</f>
        <v>Loading...</v>
      </c>
    </row>
    <row r="204" spans="1:21" ht="15">
      <c r="A204" s="25" t="s">
        <v>13619</v>
      </c>
      <c r="B204" s="17" t="s">
        <v>126</v>
      </c>
      <c r="C204" s="23" t="str">
        <f t="shared" si="0"/>
        <v>https://www.tripadvisor.co.uk/Hotel_Review-g186338-d1812157-Reviews-or1010-Travelodge_London_Waterloo_Hotel-London_England.html#REVIEWS</v>
      </c>
      <c r="D204" s="4" t="str">
        <f ca="1">IFERROR(__xludf.DUMMYFUNCTION("IMPORTXML(C204,$D$1)"),"ash1982_9 wrote a review Jun 2018portsmouth uk29 contributions")</f>
        <v>ash1982_9 wrote a review Jun 2018portsmouth uk29 contributions</v>
      </c>
      <c r="E204" s="4" t="str">
        <f ca="1">IFERROR(__xludf.DUMMYFUNCTION("""COMPUTED_VALUE"""),"Excellent stayRoom was ready when we got there early rooms clean and done out well staff 
all helpful and friendly and they have a 24 hour bar and have lite food 
menu from midnight the breakfast was the best I’ve had in a travelodge all 
freshRead moreRe"&amp;"view collected in partnership with this hotelDate of stay: 
June 2018HelpfulShare")</f>
        <v>Excellent stayRoom was ready when we got there early rooms clean and done out well staff 
all helpful and friendly and they have a 24 hour bar and have lite food 
menu from midnight the breakfast was the best I’ve had in a travelodge all 
freshRead moreReview collected in partnership with this hotelDate of stay: 
June 2018HelpfulShare</v>
      </c>
      <c r="G204" s="24" t="str">
        <f ca="1">IFERROR(__xludf.DUMMYFUNCTION("IMPORTXML(C204, $G$1)"),"Vlismas wrote a review Jun 20184 contributions")</f>
        <v>Vlismas wrote a review Jun 20184 contributions</v>
      </c>
      <c r="H204" s="4" t="str">
        <f ca="1">IFERROR(__xludf.DUMMYFUNCTION("""COMPUTED_VALUE"""),"MsHotel recently refurbished. Very convenient location. Polite, 
accommodating, cheerful staff. Clean, comfortable rooms. Slept well. 
Unlimited breakfast was mainly tasty, except for dry', bland veggie 
sausage, and orange, coagulated, dry, (reconstitute"&amp;"d?), scrambled egg. 
Fruit salad, yoghurt and pastries were great. Reliable internet. Good 
shower. Effective air conditioning.Read moreDate of stay: June 
2018HelpfulShare")</f>
        <v>MsHotel recently refurbished. Very convenient location. Polite, 
accommodating, cheerful staff. Clean, comfortable rooms. Slept well. 
Unlimited breakfast was mainly tasty, except for dry', bland veggie 
sausage, and orange, coagulated, dry, (reconstituted?), scrambled egg. 
Fruit salad, yoghurt and pastries were great. Reliable internet. Good 
shower. Effective air conditioning.Read moreDate of stay: June 
2018HelpfulShare</v>
      </c>
      <c r="I204" s="21"/>
      <c r="J204" s="21" t="str">
        <f ca="1">IFERROR(__xludf.DUMMYFUNCTION("IMPORTXML(C204, $J$1)"),"Topsy1000 wrote a review Jun 2018Oxford, United Kingdom4 contributions1 
helpful vote")</f>
        <v>Topsy1000 wrote a review Jun 2018Oxford, United Kingdom4 contributions1 
helpful vote</v>
      </c>
      <c r="K204" s="4" t="str">
        <f ca="1">IFERROR(__xludf.DUMMYFUNCTION("""COMPUTED_VALUE"""),"Travelodge supporting business usersSpent a night in one of the recently upgraded rooms. Very comfortable, with 
USB ports by the bed for phones, sockets on desk for laptops and lighting 
that is not so dull that reading is impossible. Hotel is situated j"&amp;"ust a 
few minutes away from a number of pubs and restaurants serving great food 
and staff are very friendly. Great stopover for business or a trip to 
LondonRead moreDate of stay: June 2018HelpfulShare")</f>
        <v>Travelodge supporting business usersSpent a night in one of the recently upgraded rooms. Very comfortable, with 
USB ports by the bed for phones, sockets on desk for laptops and lighting 
that is not so dull that reading is impossible. Hotel is situated just a 
few minutes away from a number of pubs and restaurants serving great food 
and staff are very friendly. Great stopover for business or a trip to 
LondonRead moreDate of stay: June 2018HelpfulShare</v>
      </c>
      <c r="L204" s="21"/>
      <c r="M204" s="21" t="str">
        <f ca="1">IFERROR(__xludf.DUMMYFUNCTION("IMPORTXML(C204, $M$1)"),"thepostie2010 wrote a review Jun 2018Barnstaple, United Kingdom753 
contributions266 helpful votes")</f>
        <v>thepostie2010 wrote a review Jun 2018Barnstaple, United Kingdom753 
contributions266 helpful votes</v>
      </c>
      <c r="N204" s="4" t="str">
        <f ca="1">IFERROR(__xludf.DUMMYFUNCTION("""COMPUTED_VALUE"""),"The revamp really delivers.It is our regular base for London visits. My previous reviews having been 
taken down following their revamp it is worthy of a new, positive, review. 
The staff are keen to please and do just that. Polite and efficient they 
are"&amp;" a great plus for this particular location just south of Waterloo 
station. If you like walking this hotel is in easy striking distance of all 
the main central London favourites. Hyde Park is only a 35 minute stroll 
but all public transport links are al"&amp;"most on the door-stop. The rooms are 
not large but more than adequate for a couple of nights stay. Beds are 
amazing-a great nights sleep and despite its central London location the 
noise at night is at remarkably low levels. Housekeeping services are g"&amp;"ood 
and beds made every day, unless you indicate otherwise.…Read moreDate of 
stay: June 2018HelpfulShare")</f>
        <v>The revamp really delivers.It is our regular base for London visits. My previous reviews having been 
taken down following their revamp it is worthy of a new, positive, review. 
The staff are keen to please and do just that. Polite and efficient they 
are a great plus for this particular location just south of Waterloo 
station. If you like walking this hotel is in easy striking distance of all 
the main central London favourites. Hyde Park is only a 35 minute stroll 
but all public transport links are almost on the door-stop. The rooms are 
not large but more than adequate for a couple of nights stay. Beds are 
amazing-a great nights sleep and despite its central London location the 
noise at night is at remarkably low levels. Housekeeping services are good 
and beds made every day, unless you indicate otherwise.…Read moreDate of 
stay: June 2018HelpfulShare</v>
      </c>
      <c r="O204" s="21"/>
      <c r="P204" s="21" t="str">
        <f ca="1">IFERROR(__xludf.DUMMYFUNCTION("IMPORTXML(C204, $P$1)"),"mabel1348 wrote a review Jun 2018London, United Kingdom130 contributions104 
helpful votes")</f>
        <v>mabel1348 wrote a review Jun 2018London, United Kingdom130 contributions104 
helpful votes</v>
      </c>
      <c r="Q204" s="4" t="str">
        <f ca="1">IFERROR(__xludf.DUMMYFUNCTION("""COMPUTED_VALUE"""),"Very good staffStayed 2 nights in a SuperRoom over the weekend. Staff could not do enough. 
they were really helpful. Room was bit cramped for the extra money but it 
was clean and had everything it was supposed to have, Coffee machine, nice 
shower and f"&amp;"ancy lighting. Was just very small. Had an issue with very loud 
music from room next door that went on and on and on but staff dealt with 
it before we could even complain which I thought was really good. there is 
a weird smell in the corridor of the 7t"&amp;"h floor - could not work out what it 
was but it did not cause a problem in the room. Overall great location and 
clean functional room with fab staff so would stay againRead moreDate of 
stay: June 2018HelpfulShare")</f>
        <v>Very good staffStayed 2 nights in a SuperRoom over the weekend. Staff could not do enough. 
they were really helpful. Room was bit cramped for the extra money but it 
was clean and had everything it was supposed to have, Coffee machine, nice 
shower and fancy lighting. Was just very small. Had an issue with very loud 
music from room next door that went on and on and on but staff dealt with 
it before we could even complain which I thought was really good. there is 
a weird smell in the corridor of the 7th floor - could not work out what it 
was but it did not cause a problem in the room. Overall great location and 
clean functional room with fab staff so would stay againRead moreDate of 
stay: June 2018HelpfulShare</v>
      </c>
      <c r="U204" s="4" t="str">
        <f ca="1">IFERROR(__xludf.DUMMYFUNCTION("IMPORTXML(C205,$U$1)"),"Loading...")</f>
        <v>Loading...</v>
      </c>
    </row>
    <row r="205" spans="1:21" ht="15">
      <c r="A205" s="25" t="s">
        <v>13620</v>
      </c>
      <c r="B205" s="17" t="s">
        <v>126</v>
      </c>
      <c r="C205" s="23" t="str">
        <f t="shared" si="0"/>
        <v>https://www.tripadvisor.co.uk/Hotel_Review-g186338-d1812157-Reviews-or1015-Travelodge_London_Waterloo_Hotel-London_England.html#REVIEWS</v>
      </c>
      <c r="D205" s="4" t="str">
        <f ca="1">IFERROR(__xludf.DUMMYFUNCTION("IMPORTXML(C205,$D$1)"),"857Chris wrote a review Jun 2018Newton Abbot, United Kingdom31 
contributions9 helpful votes")</f>
        <v>857Chris wrote a review Jun 2018Newton Abbot, United Kingdom31 
contributions9 helpful votes</v>
      </c>
      <c r="E205" s="4" t="str">
        <f ca="1">IFERROR(__xludf.DUMMYFUNCTION("""COMPUTED_VALUE"""),"Overnight stopThis Travelodge is amazing. From the minute we arrived we were looked 
after. The manager was so lovely, he changed our room for us as we wanted a 
twin not a double. They have recently had an update and the rooms are 
fabulous. Loving the i"&amp;"ron and ironing board. Hair dryer and Coffee machine 
in the room. The only thing still missing is a phone to call reception. The 
beds were comfortable and the room was very clean. We will certainly be 
staying again.Read moreDate of stay: June 2018Helpf"&amp;"ulShare")</f>
        <v>Overnight stopThis Travelodge is amazing. From the minute we arrived we were looked 
after. The manager was so lovely, he changed our room for us as we wanted a 
twin not a double. They have recently had an update and the rooms are 
fabulous. Loving the iron and ironing board. Hair dryer and Coffee machine 
in the room. The only thing still missing is a phone to call reception. The 
beds were comfortable and the room was very clean. We will certainly be 
staying again.Read moreDate of stay: June 2018HelpfulShare</v>
      </c>
      <c r="G205" s="24" t="str">
        <f ca="1">IFERROR(__xludf.DUMMYFUNCTION("IMPORTXML(C205, $G$1)"),"RusticHedgeRow wrote a review Jun 2018Gloucestershire25 contributions9 
helpful votes")</f>
        <v>RusticHedgeRow wrote a review Jun 2018Gloucestershire25 contributions9 
helpful votes</v>
      </c>
      <c r="H205" s="4" t="str">
        <f ca="1">IFERROR(__xludf.DUMMYFUNCTION("""COMPUTED_VALUE"""),"Convenient for Waterloo and Elephant &amp; CastleThe hotel has been given a refresh and it is nice and clean. I tried one of 
the new Super rooms, which have a coffee machine, a small round table, an 
additional chair and, more importantly have air conditioni"&amp;"ng, which the 
standard rooms do not. I didn't each supper there and given the ghastly 
meal I had elsewhere I wish I had opted for their simple fare. My ratings 
are in the context of this being a Travelodge - basic but done well, with 
comfortable beds."&amp;"Read moreReview collected in partnership with 
TravelodgeDate of stay: June 2018HelpfulShare")</f>
        <v>Convenient for Waterloo and Elephant &amp; CastleThe hotel has been given a refresh and it is nice and clean. I tried one of 
the new Super rooms, which have a coffee machine, a small round table, an 
additional chair and, more importantly have air conditioning, which the 
standard rooms do not. I didn't each supper there and given the ghastly 
meal I had elsewhere I wish I had opted for their simple fare. My ratings 
are in the context of this being a Travelodge - basic but done well, with 
comfortable beds.Read moreReview collected in partnership with 
TravelodgeDate of stay: June 2018HelpfulShare</v>
      </c>
      <c r="I205" s="21"/>
      <c r="J205" s="21" t="str">
        <f ca="1">IFERROR(__xludf.DUMMYFUNCTION("IMPORTXML(C205, $J$1)"),"Nigel C wrote a review Jun 201811 contributions15 helpful votes")</f>
        <v>Nigel C wrote a review Jun 201811 contributions15 helpful votes</v>
      </c>
      <c r="K205" s="4" t="str">
        <f ca="1">IFERROR(__xludf.DUMMYFUNCTION("""COMPUTED_VALUE"""),"A welcome upgrade from previous Travelodge styleRefurbished to a high standard, spotlessly clean, very comfortable new beds 
with a choice of soft or hard pillows, air conditioning, and rooms are 
glazed to minimise external noise. This hotel is very clos"&amp;"e to rail and 
underground (Waterloo Station) , and comes with excellent, helpful and 
knowledgeable staff. Breakfast here is of a very high standard, that 
includes numerous vegetarian / vegan options.Read moreDate of stay: June 
2018HelpfulShare")</f>
        <v>A welcome upgrade from previous Travelodge styleRefurbished to a high standard, spotlessly clean, very comfortable new beds 
with a choice of soft or hard pillows, air conditioning, and rooms are 
glazed to minimise external noise. This hotel is very close to rail and 
underground (Waterloo Station) , and comes with excellent, helpful and 
knowledgeable staff. Breakfast here is of a very high standard, that 
includes numerous vegetarian / vegan options.Read moreDate of stay: June 
2018HelpfulShare</v>
      </c>
      <c r="L205" s="21"/>
      <c r="M205" s="21" t="str">
        <f ca="1">IFERROR(__xludf.DUMMYFUNCTION("IMPORTXML(C205, $M$1)"),"#N/A")</f>
        <v>#N/A</v>
      </c>
      <c r="O205" s="21"/>
      <c r="P205" s="21" t="str">
        <f ca="1">IFERROR(__xludf.DUMMYFUNCTION("IMPORTXML(C205, $P$1)"),"#N/A")</f>
        <v>#N/A</v>
      </c>
      <c r="U205" s="4" t="str">
        <f ca="1">IFERROR(__xludf.DUMMYFUNCTION("IMPORTXML(C206,$U$1)"),"Loading...")</f>
        <v>Loading...</v>
      </c>
    </row>
    <row r="206" spans="1:21" ht="15">
      <c r="A206" s="25" t="s">
        <v>13621</v>
      </c>
      <c r="B206" s="17" t="s">
        <v>126</v>
      </c>
      <c r="C206" s="23" t="str">
        <f t="shared" si="0"/>
        <v>https://www.tripadvisor.co.uk/Hotel_Review-g186338-d1812157-Reviews-or1020-Travelodge_London_Waterloo_Hotel-London_England.html#REVIEWS</v>
      </c>
      <c r="D206" s="4" t="str">
        <f ca="1">IFERROR(__xludf.DUMMYFUNCTION("IMPORTXML(C206,$D$1)"),"Denise T wrote a review Jun 201821 contributions5 helpful votes")</f>
        <v>Denise T wrote a review Jun 201821 contributions5 helpful votes</v>
      </c>
      <c r="E206" s="4" t="str">
        <f ca="1">IFERROR(__xludf.DUMMYFUNCTION("""COMPUTED_VALUE"""),"good valueThis is a nice clean, tidy hotel. Good value for money and its close to all 
amenities. surrounded by some good restaurants and south bank in easy 
walking distance. excellent breakfast can be purchased.Read moreDate of 
stay: October 2017Helpfu"&amp;"lShare")</f>
        <v>good valueThis is a nice clean, tidy hotel. Good value for money and its close to all 
amenities. surrounded by some good restaurants and south bank in easy 
walking distance. excellent breakfast can be purchased.Read moreDate of 
stay: October 2017HelpfulShare</v>
      </c>
      <c r="G206" s="24" t="str">
        <f ca="1">IFERROR(__xludf.DUMMYFUNCTION("IMPORTXML(C206, $G$1)"),"_emily_cons wrote a review Jun 2018Nottinghamshire, United Kingdom1 
contribution1 helpful vote")</f>
        <v>_emily_cons wrote a review Jun 2018Nottinghamshire, United Kingdom1 
contribution1 helpful vote</v>
      </c>
      <c r="H206" s="4" t="str">
        <f ca="1">IFERROR(__xludf.DUMMYFUNCTION("""COMPUTED_VALUE"""),"What a difference a year makesMy husband, myself and our eight friends have stayed in this hotel every 
year for the last 7 years but last year we had to make formal complaints as 
it was awful. Due to receiving a refund voucher we had to make a booking 
"&amp;"for this year but we were not looking forward to our stay. However, it was 
brilliant! The whole hotel had been refurbished and was spotless but more 
than that we could not get over the change in attitude of the staff - they 
couldn't do enough for us. I"&amp;" would not hesitate to recommend this hotel and 
will definitely be booking again for next year.Read moreDate of stay: May 
20181 Helpful voteHelpfulShare")</f>
        <v>What a difference a year makesMy husband, myself and our eight friends have stayed in this hotel every 
year for the last 7 years but last year we had to make formal complaints as 
it was awful. Due to receiving a refund voucher we had to make a booking 
for this year but we were not looking forward to our stay. However, it was 
brilliant! The whole hotel had been refurbished and was spotless but more 
than that we could not get over the change in attitude of the staff - they 
couldn't do enough for us. I would not hesitate to recommend this hotel and 
will definitely be booking again for next year.Read moreDate of stay: May 
20181 Helpful voteHelpfulShare</v>
      </c>
      <c r="I206" s="21"/>
      <c r="J206" s="21" t="str">
        <f ca="1">IFERROR(__xludf.DUMMYFUNCTION("IMPORTXML(C206, $J$1)"),"Stephen B wrote a review Jun 201813 contributions1 helpful vote")</f>
        <v>Stephen B wrote a review Jun 201813 contributions1 helpful vote</v>
      </c>
      <c r="K206" s="4" t="str">
        <f ca="1">IFERROR(__xludf.DUMMYFUNCTION("""COMPUTED_VALUE"""),"Awesome staff and great locationAll aspects of the hotel as expected. Food good, rooms clean and great 
location. What made this one that extra bit special was the staff. Malakay 
and Marco entertained and chatted with us well into the early hours and 
no"&amp;"thing was a problem for them. Thanks you all made the stay that extra bit 
special.Read moreDate of stay: June 2018HelpfulShare")</f>
        <v>Awesome staff and great locationAll aspects of the hotel as expected. Food good, rooms clean and great 
location. What made this one that extra bit special was the staff. Malakay 
and Marco entertained and chatted with us well into the early hours and 
nothing was a problem for them. Thanks you all made the stay that extra bit 
special.Read moreDate of stay: June 2018HelpfulShare</v>
      </c>
      <c r="L206" s="21"/>
      <c r="M206" s="21" t="str">
        <f ca="1">IFERROR(__xludf.DUMMYFUNCTION("IMPORTXML(C206, $M$1)"),"ahmedosman062018 wrote a review Jun 2018Portsmouth, United Kingdom1 
contribution1 helpful vote")</f>
        <v>ahmedosman062018 wrote a review Jun 2018Portsmouth, United Kingdom1 
contribution1 helpful vote</v>
      </c>
      <c r="N206" s="4" t="str">
        <f ca="1">IFERROR(__xludf.DUMMYFUNCTION("""COMPUTED_VALUE"""),"London stayExcellent hotel location, a short walk to London Waterloo station as well 
as some local bus routes to central Lond. Very friendly and helpful staff, 
clean and tidy hotel throughout. Would definitely recommend it and would go 
back to stay the"&amp;"re again.Read moreDate of stay: June 2018HelpfulShare")</f>
        <v>London stayExcellent hotel location, a short walk to London Waterloo station as well 
as some local bus routes to central Lond. Very friendly and helpful staff, 
clean and tidy hotel throughout. Would definitely recommend it and would go 
back to stay there again.Read moreDate of stay: June 2018HelpfulShare</v>
      </c>
      <c r="O206" s="21"/>
      <c r="P206" s="21" t="str">
        <f ca="1">IFERROR(__xludf.DUMMYFUNCTION("IMPORTXML(C206, $P$1)"),"TeamDavisHarris wrote a review Jun 2018Bruton, United Kingdom5 
contributions1 helpful vote")</f>
        <v>TeamDavisHarris wrote a review Jun 2018Bruton, United Kingdom5 
contributions1 helpful vote</v>
      </c>
      <c r="Q206" s="4" t="str">
        <f ca="1">IFERROR(__xludf.DUMMYFUNCTION("""COMPUTED_VALUE"""),"Pleasantly surprised!The room was booked some time ago so got a good price (for London) for 
Family Room 110 on first floor. Plenty big enough for 3 adults...toss a 
coin for the single beds but they were perfectly adequate. Spotlessly 
clean, great showe"&amp;"r, quiet, air con and nice view. Without exception the 
staff were polite,helpful and smiley! Breakfast was extra but set us up for 
the day....would definitely use again. Great location, easy 10 minute walk 
from Waterloo Station.Read moreDate of stay: J"&amp;"une 2018HelpfulShare")</f>
        <v>Pleasantly surprised!The room was booked some time ago so got a good price (for London) for 
Family Room 110 on first floor. Plenty big enough for 3 adults...toss a 
coin for the single beds but they were perfectly adequate. Spotlessly 
clean, great shower, quiet, air con and nice view. Without exception the 
staff were polite,helpful and smiley! Breakfast was extra but set us up for 
the day....would definitely use again. Great location, easy 10 minute walk 
from Waterloo Station.Read moreDate of stay: June 2018HelpfulShare</v>
      </c>
      <c r="U206" s="4" t="str">
        <f ca="1">IFERROR(__xludf.DUMMYFUNCTION("IMPORTXML(C207,$U$1)"),"Loading...")</f>
        <v>Loading...</v>
      </c>
    </row>
    <row r="207" spans="1:21" ht="15">
      <c r="A207" s="5" t="s">
        <v>13622</v>
      </c>
      <c r="B207" s="17" t="s">
        <v>126</v>
      </c>
      <c r="C207" s="23" t="str">
        <f t="shared" si="0"/>
        <v>https://www.tripadvisor.co.uk/Hotel_Review-g186338-d1812157-Reviews-or1025-Travelodge_London_Waterloo_Hotel-London_England.html#REVIEWS</v>
      </c>
      <c r="D207" s="4" t="str">
        <f ca="1">IFERROR(__xludf.DUMMYFUNCTION("IMPORTXML(C207,$D$1)"),"#N/A")</f>
        <v>#N/A</v>
      </c>
      <c r="G207" s="24" t="str">
        <f ca="1">IFERROR(__xludf.DUMMYFUNCTION("IMPORTXML(C207, $G$1)"),"LSC0760 wrote a review Jun 2018Nottinghamshire, United Kingdom1 
contribution2 helpful votes")</f>
        <v>LSC0760 wrote a review Jun 2018Nottinghamshire, United Kingdom1 
contribution2 helpful votes</v>
      </c>
      <c r="H207" s="4" t="str">
        <f ca="1">IFERROR(__xludf.DUMMYFUNCTION("""COMPUTED_VALUE"""),"Best Travelodge in LondonUsed to stay regularly on business and recently returned. Nicely 
refurbished, clean and comfortable rooms and good breakfast. Best thing 
about this hotel is the exceptionally friendly and welcoming staff - 
nothing is too much t"&amp;"rouble. A special mention to Lovely Hilina on 
reception, very helpful indeed!Read moreDate of stay: June 2018HelpfulShare")</f>
        <v>Best Travelodge in LondonUsed to stay regularly on business and recently returned. Nicely 
refurbished, clean and comfortable rooms and good breakfast. Best thing 
about this hotel is the exceptionally friendly and welcoming staff - 
nothing is too much trouble. A special mention to Lovely Hilina on 
reception, very helpful indeed!Read moreDate of stay: June 2018HelpfulShare</v>
      </c>
      <c r="I207" s="21"/>
      <c r="J207" s="21" t="str">
        <f ca="1">IFERROR(__xludf.DUMMYFUNCTION("IMPORTXML(C207, $J$1)"),"#N/A")</f>
        <v>#N/A</v>
      </c>
      <c r="L207" s="21"/>
      <c r="M207" s="21" t="str">
        <f ca="1">IFERROR(__xludf.DUMMYFUNCTION("IMPORTXML(C207, $M$1)"),"Lucy B wrote a review Jun 2018York, United Kingdom24 contributions11 
helpful votes")</f>
        <v>Lucy B wrote a review Jun 2018York, United Kingdom24 contributions11 
helpful votes</v>
      </c>
      <c r="N207" s="4" t="str">
        <f ca="1">IFERROR(__xludf.DUMMYFUNCTION("""COMPUTED_VALUE"""),"Noisy roomAs a female travelling alone (and arriving at 10.30pm) I felt uncomfortable 
with the fact the ground floor room I was given could be accessed directly 
off the bar, with no security, locks or even the reception desk between the 
public space an"&amp;"d bedrooms. However that wasn’t my biggest issue... I had a 
much bigger issue with the noisy air conditioning unit in my room which, 
despite being turned off, kept hissing and giving out the occasional 
banging noise all night!! So after a night of waki"&amp;"ng up constantly thinking 
someone has just opened my door, because the a/c unit was making weird 
noises, I ventured to breakfast which was, at best, just ok. The coffee was 
terrible and in the end I left it and headed to the nearest coffee shop on 
my "&amp;"way to the station! Ok if you’re on a…Read moreDate of stay: June 
2018HelpfulShareResponse from TravelodgeUK, Niki from The Social Media Team 
at Travelodge London Waterloo HotelResponded 18 Jun 2018Thank you for your 
feedback. We are really sorry to he"&amp;"ar of your experience. Please accept our 
sincerest apologies and we have passed your comments onto the hotel manager 
as this does not reflect Travelodge standards. Could we kindly ask you to 
contact one of our Customer Services Advisors via our website"&amp;" help form 
with a copy of your review to look into this more thoroughly. Thank you 
again for reviewing our hotel.Read more")</f>
        <v>Noisy roomAs a female travelling alone (and arriving at 10.30pm) I felt uncomfortable 
with the fact the ground floor room I was given could be accessed directly 
off the bar, with no security, locks or even the reception desk between the 
public space and bedrooms. However that wasn’t my biggest issue... I had a 
much bigger issue with the noisy air conditioning unit in my room which, 
despite being turned off, kept hissing and giving out the occasional 
banging noise all night!! So after a night of waking up constantly thinking 
someone has just opened my door, because the a/c unit was making weird 
noises, I ventured to breakfast which was, at best, just ok. The coffee was 
terrible and in the end I left it and headed to the nearest coffee shop on 
my way to the station! Ok if you’re on a…Read moreDate of stay: June 
2018HelpfulShareResponse from TravelodgeUK, Niki from The Social Media Team 
at Travelodge London Waterloo HotelResponded 18 Jun 2018Thank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v>
      </c>
      <c r="O207" s="21"/>
      <c r="P207" s="21" t="str">
        <f ca="1">IFERROR(__xludf.DUMMYFUNCTION("IMPORTXML(C207, $P$1)"),"Seppo_Antinpoika wrote a review Jun 2018Vihti, Finland170 contributions40 
helpful votes")</f>
        <v>Seppo_Antinpoika wrote a review Jun 2018Vihti, Finland170 contributions40 
helpful votes</v>
      </c>
      <c r="Q207" s="4" t="str">
        <f ca="1">IFERROR(__xludf.DUMMYFUNCTION("""COMPUTED_VALUE"""),"Nice average hotel in good neighborhood and close to the tubeStayed there for two nights to visit an exhibition. Room was clean and 
tidy. Spacious bathroom with lots of warm water. Good reception service. 
The bathroom light was lit using a rope hanging "&amp;"from the ceiling. Perhaps 
an English way.Read moreDate of stay: July 2017HelpfulShare")</f>
        <v>Nice average hotel in good neighborhood and close to the tubeStayed there for two nights to visit an exhibition. Room was clean and 
tidy. Spacious bathroom with lots of warm water. Good reception service. 
The bathroom light was lit using a rope hanging from the ceiling. Perhaps 
an English way.Read moreDate of stay: July 2017HelpfulShare</v>
      </c>
      <c r="U207" s="4" t="str">
        <f ca="1">IFERROR(__xludf.DUMMYFUNCTION("IMPORTXML(C208,$U$1)"),"Loading...")</f>
        <v>Loading...</v>
      </c>
    </row>
    <row r="208" spans="1:21" ht="15">
      <c r="A208" s="25" t="s">
        <v>13623</v>
      </c>
      <c r="B208" s="17" t="s">
        <v>126</v>
      </c>
      <c r="C208" s="23" t="str">
        <f t="shared" si="0"/>
        <v>https://www.tripadvisor.co.uk/Hotel_Review-g186338-d1812157-Reviews-or1030-Travelodge_London_Waterloo_Hotel-London_England.html#REVIEWS</v>
      </c>
      <c r="D208" s="4" t="str">
        <f ca="1">IFERROR(__xludf.DUMMYFUNCTION("IMPORTXML(C208,$D$1)"),"Gary P wrote a review Jun 2018Yeovil, United Kingdom5 contributions4 
helpful votes")</f>
        <v>Gary P wrote a review Jun 2018Yeovil, United Kingdom5 contributions4 
helpful votes</v>
      </c>
      <c r="E208" s="4" t="str">
        <f ca="1">IFERROR(__xludf.DUMMYFUNCTION("""COMPUTED_VALUE"""),"great weekend venueRight from check in, the staff are welcoming and freindly. The hotel has 
recently been renovated, so all areas are clean,modern and bright and 
everything works. Best Travelodge we've ever stayed in. Highly 
recommended.Read moreDate o"&amp;"f stay: June 2018HelpfulShare")</f>
        <v>great weekend venueRight from check in, the staff are welcoming and freindly. The hotel has 
recently been renovated, so all areas are clean,modern and bright and 
everything works. Best Travelodge we've ever stayed in. Highly 
recommended.Read moreDate of stay: June 2018HelpfulShare</v>
      </c>
      <c r="G208" s="24" t="str">
        <f ca="1">IFERROR(__xludf.DUMMYFUNCTION("IMPORTXML(C208, $G$1)"),"LowtonTravellers wrote a review Jun 2018Manchester, England129 
contributions67 helpful votes")</f>
        <v>LowtonTravellers wrote a review Jun 2018Manchester, England129 
contributions67 helpful votes</v>
      </c>
      <c r="H208" s="4" t="str">
        <f ca="1">IFERROR(__xludf.DUMMYFUNCTION("""COMPUTED_VALUE"""),"Best Travelodge Stay yetThis has to be the best Travelodge we’ve stayed at. Hotel very 
accommodating with our bags before we could check in (which other 
travelodges don’t do). The superior room very comfortable with a never 
ending supply of coffee pods"&amp;" and air conditioning. What makes this a cut 
above others are the staff. Shout outs to Bruno on the bar and the ladies 
in the restaurant for a genuinely friendly service from people who seem to 
care. Location 10 mins walk to Waterloo station and 20 min"&amp;" walk to London 
Eye means your not far from anything. Also a few nice looking pubs and 
restaurants around (and great fish and chip place next door). You cant do 
much better than here to stay in London at the price!Read moreDate of stay: 
June 20181 Hel"&amp;"pful voteHelpfulShare")</f>
        <v>Best Travelodge Stay yetThis has to be the best Travelodge we’ve stayed at. Hotel very 
accommodating with our bags before we could check in (which other 
travelodges don’t do). The superior room very comfortable with a never 
ending supply of coffee pods and air conditioning. What makes this a cut 
above others are the staff. Shout outs to Bruno on the bar and the ladies 
in the restaurant for a genuinely friendly service from people who seem to 
care. Location 10 mins walk to Waterloo station and 20 min walk to London 
Eye means your not far from anything. Also a few nice looking pubs and 
restaurants around (and great fish and chip place next door). You cant do 
much better than here to stay in London at the price!Read moreDate of stay: 
June 20181 Helpful voteHelpfulShare</v>
      </c>
      <c r="I208" s="21"/>
      <c r="J208" s="21" t="str">
        <f ca="1">IFERROR(__xludf.DUMMYFUNCTION("IMPORTXML(C208, $J$1)"),"#N/A")</f>
        <v>#N/A</v>
      </c>
      <c r="L208" s="21"/>
      <c r="M208" s="21" t="str">
        <f ca="1">IFERROR(__xludf.DUMMYFUNCTION("IMPORTXML(C208, $M$1)"),"r0bertt28 wrote a review Jun 2018Portsmouth, United Kingdom8 contributions2 
helpful votes")</f>
        <v>r0bertt28 wrote a review Jun 2018Portsmouth, United Kingdom8 contributions2 
helpful votes</v>
      </c>
      <c r="N208" s="4" t="str">
        <f ca="1">IFERROR(__xludf.DUMMYFUNCTION("""COMPUTED_VALUE"""),"Basic but clean and close to stationGood place to stay if on budget and for short trip. Rooms are basic with 
not much hanging space for people on long break. Room was clean comfort was 
fine but lacked amenities like hairdryer safe fridge Room was locate"&amp;"d away 
from lifts and noise and was fine for a couple of daysRead moreReview 
collected in partnership with TravelodgeDate of stay: June 2018HelpfulShare")</f>
        <v>Basic but clean and close to stationGood place to stay if on budget and for short trip. Rooms are basic with 
not much hanging space for people on long break. Room was clean comfort was 
fine but lacked amenities like hairdryer safe fridge Room was located away 
from lifts and noise and was fine for a couple of daysRead moreReview 
collected in partnership with TravelodgeDate of stay: June 2018HelpfulShare</v>
      </c>
      <c r="O208" s="21"/>
      <c r="P208" s="21" t="str">
        <f ca="1">IFERROR(__xludf.DUMMYFUNCTION("IMPORTXML(C208, $P$1)"),"GMT2164 wrote a review Jun 2018Dorchester, United Kingdom11 contributions4 
helpful votes")</f>
        <v>GMT2164 wrote a review Jun 2018Dorchester, United Kingdom11 contributions4 
helpful votes</v>
      </c>
      <c r="Q208" s="4" t="str">
        <f ca="1">IFERROR(__xludf.DUMMYFUNCTION("""COMPUTED_VALUE"""),"Great locationI stayed here on recommendation from colleagues and I was not disappointed. 
I did decide to pay for a 'super' room and I was on the 7th floor. It 
wasn't a great view but it is just a room to stay in and it was only for 
one night. I had te"&amp;"a making facilities and complimentary kit kat bars in my 
room. The bed was comfortable, although I did turn the air con off because 
I was unable to get to sleep. There was fresh iced drinking water at 
reception which was really welcome. The whole hotel"&amp;" was clean and well 
maintained.Read moreReview collected in partnership with TravelodgeDate of 
stay: June 2018HelpfulShare")</f>
        <v>Great locationI stayed here on recommendation from colleagues and I was not disappointed. 
I did decide to pay for a 'super' room and I was on the 7th floor. It 
wasn't a great view but it is just a room to stay in and it was only for 
one night. I had tea making facilities and complimentary kit kat bars in my 
room. The bed was comfortable, although I did turn the air con off because 
I was unable to get to sleep. There was fresh iced drinking water at 
reception which was really welcome. The whole hotel was clean and well 
maintained.Read moreReview collected in partnership with TravelodgeDate of 
stay: June 2018HelpfulShare</v>
      </c>
      <c r="U208" s="4" t="str">
        <f ca="1">IFERROR(__xludf.DUMMYFUNCTION("IMPORTXML(C209,$U$1)"),"Loading...")</f>
        <v>Loading...</v>
      </c>
    </row>
    <row r="209" spans="1:21" ht="15">
      <c r="A209" s="25" t="s">
        <v>13624</v>
      </c>
      <c r="B209" s="17" t="s">
        <v>126</v>
      </c>
      <c r="C209" s="23" t="str">
        <f t="shared" si="0"/>
        <v>https://www.tripadvisor.co.uk/Hotel_Review-g186338-d1812157-Reviews-or1035-Travelodge_London_Waterloo_Hotel-London_England.html#REVIEWS</v>
      </c>
      <c r="D209" s="4" t="str">
        <f ca="1">IFERROR(__xludf.DUMMYFUNCTION("IMPORTXML(C209,$D$1)"),"#N/A")</f>
        <v>#N/A</v>
      </c>
      <c r="G209" s="24" t="str">
        <f ca="1">IFERROR(__xludf.DUMMYFUNCTION("IMPORTXML(C209, $G$1)"),"Dave M wrote a review Jun 20181 contribution")</f>
        <v>Dave M wrote a review Jun 20181 contribution</v>
      </c>
      <c r="H209" s="4" t="str">
        <f ca="1">IFERROR(__xludf.DUMMYFUNCTION("""COMPUTED_VALUE"""),"Nice place to stay, central location for budget priceNice place to stay, very spacey and you can see it has recently had some 
money spent on it. All staff we encountered were very nice and plesant. 
Receptionist was very helpful. My only gripe was that w"&amp;"hen we split the 
beds in our twin room (712) we found a dried pool of blood on the floor 
between the beds and some old chocolate sweets. Bit disgusting really. 
Planned another visit already to a different Travel Lodge location, 
hopefully the cleanline"&amp;"ss of this one is a bit better.Read moreReview 
collected in partnership with TravelodgeDate of stay: June 
2018HelpfulShareResponse from TravelodgeUK, Niki from The Social Media Team 
at Travelodge London Waterloo HotelResponded 12 Jun 2018Thank you for "&amp;"your 
feedback. We are sorry to hear of your experience, in such instances we 
would suggest to let our reception team know so that they can reallocate 
your room or fix the issues you have. If you wish to contact us directly to 
give us more feedback, pl"&amp;"ease be aware that you can always contact our 
Customer Services team via our website. Thank you again for your 
review.Read more")</f>
        <v>Nice place to stay, central location for budget priceNice place to stay, very spacey and you can see it has recently had some 
money spent on it. All staff we encountered were very nice and plesant. 
Receptionist was very helpful. My only gripe was that when we split the 
beds in our twin room (712) we found a dried pool of blood on the floor 
between the beds and some old chocolate sweets. Bit disgusting really. 
Planned another visit already to a different Travel Lodge location, 
hopefully the cleanliness of this one is a bit better.Read moreReview 
collected in partnership with TravelodgeDate of stay: June 
2018HelpfulShareResponse from TravelodgeUK, Niki from The Social Media Team 
at Travelodge London Waterloo HotelResponded 12 Jun 2018Thank you for your 
feedback. We are sorry to hear of your experience, in such instances we 
would suggest to let our reception team know so that they can reallocate 
your room or fix the issues you have. If you wish to contact us directly to 
give us more feedback, please be aware that you can always contact our 
Customer Services team via our website. Thank you again for your 
review.Read more</v>
      </c>
      <c r="I209" s="21"/>
      <c r="J209" s="21" t="str">
        <f ca="1">IFERROR(__xludf.DUMMYFUNCTION("IMPORTXML(C209, $J$1)"),"Barry M wrote a review Jun 2018Southampton, United Kingdom11 contributions5 
helpful votes")</f>
        <v>Barry M wrote a review Jun 2018Southampton, United Kingdom11 contributions5 
helpful votes</v>
      </c>
      <c r="K209" s="4" t="str">
        <f ca="1">IFERROR(__xludf.DUMMYFUNCTION("""COMPUTED_VALUE"""),"Fantastic stayI would recommend this travel lodge to all staff very friendly great 
breakfast and the manager had time to talk to you and go out of his way to 
help if needed we arrived on the Friday and stayed until Sunday but our 
trip was made so pleas"&amp;"ant that we would have loved to have stayed longer 
what a great travel lodge best we have ever stayed at .Read moreReview 
collected in partnership with TravelodgeDate of stay: June 2018HelpfulShare")</f>
        <v>Fantastic stayI would recommend this travel lodge to all staff very friendly great 
breakfast and the manager had time to talk to you and go out of his way to 
help if needed we arrived on the Friday and stayed until Sunday but our 
trip was made so pleasant that we would have loved to have stayed longer 
what a great travel lodge best we have ever stayed at .Read moreReview 
collected in partnership with TravelodgeDate of stay: June 2018HelpfulShare</v>
      </c>
      <c r="L209" s="21"/>
      <c r="M209" s="21" t="str">
        <f ca="1">IFERROR(__xludf.DUMMYFUNCTION("IMPORTXML(C209, $M$1)"),"caroworcester wrote a review Jun 2018Worcestershire, United Kingdom65 
contributions24 helpful votes")</f>
        <v>caroworcester wrote a review Jun 2018Worcestershire, United Kingdom65 
contributions24 helpful votes</v>
      </c>
      <c r="N209" s="4" t="str">
        <f ca="1">IFERROR(__xludf.DUMMYFUNCTION("""COMPUTED_VALUE"""),"Thanks Hyacinth and all the staff for your friendliness and help...This hotel is close to the tube and well placed for the Southbank and 
Central London. It is always immaculately clean and the staff are cheery 
and friendly. We find it good value for mon"&amp;"ey. There are plenty of 
restaurants locally and the Old/Young Vic are steps away. We keep 
returning! We stayed in a super room this time but the budget rooms are 
just as good.Read moreDate of stay: June 2018HelpfulShare")</f>
        <v>Thanks Hyacinth and all the staff for your friendliness and help...This hotel is close to the tube and well placed for the Southbank and 
Central London. It is always immaculately clean and the staff are cheery 
and friendly. We find it good value for money. There are plenty of 
restaurants locally and the Old/Young Vic are steps away. We keep 
returning! We stayed in a super room this time but the budget rooms are 
just as good.Read moreDate of stay: June 2018HelpfulShare</v>
      </c>
      <c r="O209" s="21"/>
      <c r="P209" s="21" t="str">
        <f ca="1">IFERROR(__xludf.DUMMYFUNCTION("IMPORTXML(C209, $P$1)"),"Anthony2511 wrote a review Jun 2018London, United Kingdom57 contributions18 
helpful votes")</f>
        <v>Anthony2511 wrote a review Jun 2018London, United Kingdom57 contributions18 
helpful votes</v>
      </c>
      <c r="Q209" s="4" t="str">
        <f ca="1">IFERROR(__xludf.DUMMYFUNCTION("""COMPUTED_VALUE"""),"Shocking check in process and serviceFour friends and I arrived at 1.30pm but advised we were unable to check in 
until 2pm without paying a fee. We decided to leave our bags and return 
later to check in. We arrived back at the hotel at 11pm, given our r"&amp;"oom 
keys and had a few drinks at the bar. At 2am we decided to retire to our 
rooms to find that for one of the rooms for 3 people we were given a room 
key for a room with a single guy already occupying the room. He wasn't best 
pleased to be woken at 2"&amp;"am. We returned to the check in desk and offered an 
upgrade to find that when we arrived at the room it was a twin room with no 
bed for the third guest. We once again returned to the check in desk to 
finally be given 2 available rooms only after sugges"&amp;"ting the rooms were 
unavailable and having to put up with a…Read moreDate of stay: June 20181 
Helpful voteHelpfulShareResponse from TravelodgeUK, Ben from the Social 
Media Team at Travelodge London Waterloo HotelResponded 11 Jun 2018Thank 
you for your"&amp;" feedback. We are really sorry to hear of your experience. 
Please accept our sincerest apologies and we have passed your comments onto 
the hotel manager as this does not reflect Travelodge standards. Could we 
kindly ask you to contact one of our Custom"&amp;"er Services Advisors via our 
website help form with a copy of your review to look into this more 
thoroughly. Thank you again for reviewing our hotel.Read more")</f>
        <v>Shocking check in process and serviceFour friends and I arrived at 1.30pm but advised we were unable to check in 
until 2pm without paying a fee. We decided to leave our bags and return 
later to check in. We arrived back at the hotel at 11pm, given our room 
keys and had a few drinks at the bar. At 2am we decided to retire to our 
rooms to find that for one of the rooms for 3 people we were given a room 
key for a room with a single guy already occupying the room. He wasn't best 
pleased to be woken at 2am. We returned to the check in desk and offered an 
upgrade to find that when we arrived at the room it was a twin room with no 
bed for the third guest. We once again returned to the check in desk to 
finally be given 2 available rooms only after suggesting the rooms were 
unavailable and having to put up with a…Read moreDate of stay: June 20181 
Helpful voteHelpfulShareResponse from TravelodgeUK, Ben from the Social 
Media Team at Travelodge London Waterloo HotelResponded 11 Jun 2018Thank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v>
      </c>
      <c r="U209" s="4" t="str">
        <f ca="1">IFERROR(__xludf.DUMMYFUNCTION("IMPORTXML(C210,$U$1)"),"Loading...")</f>
        <v>Loading...</v>
      </c>
    </row>
    <row r="210" spans="1:21" ht="15">
      <c r="A210" s="25" t="s">
        <v>13625</v>
      </c>
      <c r="B210" s="17" t="s">
        <v>126</v>
      </c>
      <c r="C210" s="23" t="str">
        <f t="shared" si="0"/>
        <v>https://www.tripadvisor.co.uk/Hotel_Review-g186338-d1812157-Reviews-or1040-Travelodge_London_Waterloo_Hotel-London_England.html#REVIEWS</v>
      </c>
      <c r="D210" s="4" t="str">
        <f ca="1">IFERROR(__xludf.DUMMYFUNCTION("IMPORTXML(C210,$D$1)"),"cuddleybear wrote a review Jun 2018Dorking10 contributions3 helpful votes")</f>
        <v>cuddleybear wrote a review Jun 2018Dorking10 contributions3 helpful votes</v>
      </c>
      <c r="E210" s="4" t="str">
        <f ca="1">IFERROR(__xludf.DUMMYFUNCTION("""COMPUTED_VALUE"""),"Not one miserable member of staff!!!Stayed here with a friend for one night as we were going to a show. I've 
got to say I've never experienced a travelodge like this. Every single 
member of staff was friendly and welcoming. The hotel was bright and 
spo"&amp;"tless. Great service even at gone midnight. The assistant manager went 
above and beyond at breakfast to satisfy a guest. I definitely recommend a 
stay here.Read moreDate of stay: June 2018HelpfulShare")</f>
        <v>Not one miserable member of staff!!!Stayed here with a friend for one night as we were going to a show. I've 
got to say I've never experienced a travelodge like this. Every single 
member of staff was friendly and welcoming. The hotel was bright and 
spotless. Great service even at gone midnight. The assistant manager went 
above and beyond at breakfast to satisfy a guest. I definitely recommend a 
stay here.Read moreDate of stay: June 2018HelpfulShare</v>
      </c>
      <c r="G210" s="24" t="str">
        <f ca="1">IFERROR(__xludf.DUMMYFUNCTION("IMPORTXML(C210, $G$1)"),"bmcarter1994 wrote a review Jun 2018Gloucester, United Kingdom1 contribution")</f>
        <v>bmcarter1994 wrote a review Jun 2018Gloucester, United Kingdom1 contribution</v>
      </c>
      <c r="H210" s="4" t="str">
        <f ca="1">IFERROR(__xludf.DUMMYFUNCTION("""COMPUTED_VALUE"""),"Amazing5 out of 5 an amazing stay and welcome and staff was amazing. The place was 
clean and the hotel was in a perfect location for a trip to London. Would 
strongly recommend this place to anyone who wants to visit London.Read 
moreDate of stay: June 2"&amp;"018HelpfulShare")</f>
        <v>Amazing5 out of 5 an amazing stay and welcome and staff was amazing. The place was 
clean and the hotel was in a perfect location for a trip to London. Would 
strongly recommend this place to anyone who wants to visit London.Read 
moreDate of stay: June 2018HelpfulShare</v>
      </c>
      <c r="I210" s="21"/>
      <c r="J210" s="21" t="str">
        <f ca="1">IFERROR(__xludf.DUMMYFUNCTION("IMPORTXML(C210, $J$1)"),"debbiegibbens wrote a review Jun 20181 contribution")</f>
        <v>debbiegibbens wrote a review Jun 20181 contribution</v>
      </c>
      <c r="K210" s="4" t="str">
        <f ca="1">IFERROR(__xludf.DUMMYFUNCTION("""COMPUTED_VALUE"""),"7/6/18 stayThis was a very nice and clean hotel. Staff were excellent and friendly. 
Good value for money. Breakfast and evening dinners value for money and 
would recommend this to anyone needing a short stay. Very near to train and 
undergroundRead more"&amp;"Review collected in partnership with TravelodgeDate of 
stay: June 2018HelpfulShare")</f>
        <v>7/6/18 stayThis was a very nice and clean hotel. Staff were excellent and friendly. 
Good value for money. Breakfast and evening dinners value for money and 
would recommend this to anyone needing a short stay. Very near to train and 
undergroundRead moreReview collected in partnership with TravelodgeDate of 
stay: June 2018HelpfulShare</v>
      </c>
      <c r="L210" s="21"/>
      <c r="M210" s="21" t="str">
        <f ca="1">IFERROR(__xludf.DUMMYFUNCTION("IMPORTXML(C210, $M$1)"),"emutti92 wrote a review Jun 2018Norfolk, United Kingdom2 contributions")</f>
        <v>emutti92 wrote a review Jun 2018Norfolk, United Kingdom2 contributions</v>
      </c>
      <c r="N210" s="4" t="str">
        <f ca="1">IFERROR(__xludf.DUMMYFUNCTION("""COMPUTED_VALUE"""),"Stranded single femaleI'm not from London. I'm not familiar with London and after missing my last 
train home and getting stranded I genuinely started to panic a little. I 
was by myself late at night and with my dog. Google came in handy and I 
found thi"&amp;"s travel lodge and I'm not going to lie, I'm so happy I did. The 
receptionist - Amy - went above and beyond for me to make me feel safe and 
welcome. Even checking me in at 1:30am. The room was lovely, clean and 
perfect to rest in after an eventful even"&amp;"ing. The staff in the morning were 
absolutely lovely as well and I wish I'd of got their names as well to give 
them all the recognition they deserve. Plus, the breakfast was lovely. My 
dog even got to enjoy a sausage! I was so lucky to have found this "&amp;"place 
and couldn't imagine a hotel with better service…Read moreDate of stay: 
June 2018HelpfulShare")</f>
        <v>Stranded single femaleI'm not from London. I'm not familiar with London and after missing my last 
train home and getting stranded I genuinely started to panic a little. I 
was by myself late at night and with my dog. Google came in handy and I 
found this travel lodge and I'm not going to lie, I'm so happy I did. The 
receptionist - Amy - went above and beyond for me to make me feel safe and 
welcome. Even checking me in at 1:30am. The room was lovely, clean and 
perfect to rest in after an eventful evening. The staff in the morning were 
absolutely lovely as well and I wish I'd of got their names as well to give 
them all the recognition they deserve. Plus, the breakfast was lovely. My 
dog even got to enjoy a sausage! I was so lucky to have found this place 
and couldn't imagine a hotel with better service…Read moreDate of stay: 
June 2018HelpfulShare</v>
      </c>
      <c r="O210" s="21"/>
      <c r="P210" s="21" t="str">
        <f ca="1">IFERROR(__xludf.DUMMYFUNCTION("IMPORTXML(C210, $P$1)"),"Lew008 wrote a review Jun 2018West Midlands, United Kingdom134 
contributions76 helpful votes")</f>
        <v>Lew008 wrote a review Jun 2018West Midlands, United Kingdom134 
contributions76 helpful votes</v>
      </c>
      <c r="Q210" s="4" t="str">
        <f ca="1">IFERROR(__xludf.DUMMYFUNCTION("""COMPUTED_VALUE"""),"What a friendly, clean and pleasant placeSpotless rooms - highly motivated and friendly staff- nothing is too much 
trouble. They greet each guest and make them most welcome. Great place to 
stay, close to Waterloo and travel hubs. If you fancy a walk the"&amp;"n the river 
isn’t too far away!!!Read moreDate of stay: June 2018HelpfulShare")</f>
        <v>What a friendly, clean and pleasant placeSpotless rooms - highly motivated and friendly staff- nothing is too much 
trouble. They greet each guest and make them most welcome. Great place to 
stay, close to Waterloo and travel hubs. If you fancy a walk then the river 
isn’t too far away!!!Read moreDate of stay: June 2018HelpfulShare</v>
      </c>
      <c r="U210" s="4" t="str">
        <f ca="1">IFERROR(__xludf.DUMMYFUNCTION("IMPORTXML(C211,$U$1)"),"Loading...")</f>
        <v>Loading...</v>
      </c>
    </row>
    <row r="211" spans="1:21" ht="15">
      <c r="A211" s="5" t="s">
        <v>13626</v>
      </c>
      <c r="B211" s="17" t="s">
        <v>126</v>
      </c>
      <c r="C211" s="23" t="str">
        <f t="shared" si="0"/>
        <v>https://www.tripadvisor.co.uk/Hotel_Review-g186338-d1812157-Reviews-or1045-Travelodge_London_Waterloo_Hotel-London_England.html#REVIEWS</v>
      </c>
      <c r="D211" s="4" t="str">
        <f ca="1">IFERROR(__xludf.DUMMYFUNCTION("IMPORTXML(C211,$D$1)"),"Mark S wrote a review Jun 2018Staffordshire, United Kingdom21 
contributions4 helpful votes")</f>
        <v>Mark S wrote a review Jun 2018Staffordshire, United Kingdom21 
contributions4 helpful votes</v>
      </c>
      <c r="E211" s="4" t="str">
        <f ca="1">IFERROR(__xludf.DUMMYFUNCTION("""COMPUTED_VALUE"""),"stopped here for workthe hotel was definitely one of the best Travelodge's I have stayed in 
lately. The restaurant food for evening meal was of good quality (I had the 
superfood chicken salad) the breakfast was also really good....plenty of 
choice and "&amp;"again good quality. The one thing I really liked here was how 
pleasant, friendly and polite all the staff were too. (that's the reason i 
rated it excellent) nothing was too much trouble. Its also really handy for 
Waterloo station and plenty of bars res"&amp;"taurants near by if you wanted to go 
out. All in all a very good stay.Read moreDate of stay: June 
2018HelpfulShare")</f>
        <v>stopped here for workthe hotel was definitely one of the best Travelodge's I have stayed in 
lately. The restaurant food for evening meal was of good quality (I had the 
superfood chicken salad) the breakfast was also really good....plenty of 
choice and again good quality. The one thing I really liked here was how 
pleasant, friendly and polite all the staff were too. (that's the reason i 
rated it excellent) nothing was too much trouble. Its also really handy for 
Waterloo station and plenty of bars restaurants near by if you wanted to go 
out. All in all a very good stay.Read moreDate of stay: June 
2018HelpfulShare</v>
      </c>
      <c r="G211" s="24" t="str">
        <f ca="1">IFERROR(__xludf.DUMMYFUNCTION("IMPORTXML(C211, $G$1)"),"David S wrote a review Jun 2018Glasgow, United Kingdom34 contributions2 
helpful votes")</f>
        <v>David S wrote a review Jun 2018Glasgow, United Kingdom34 contributions2 
helpful votes</v>
      </c>
      <c r="H211" s="4" t="str">
        <f ca="1">IFERROR(__xludf.DUMMYFUNCTION("""COMPUTED_VALUE"""),"Excellent stay!!!!!!I had an excellent stay in Waterloo travelodge. First off the staff were 
helpful and friendly. The rooms were modern, spacious , good facilities and 
the bar/restaurant area was modern and sleek. He hotel is the perfect 
location, 5mi"&amp;"ns from Waterloo tube station and 15min walk from the London 
eye. I would recommend this hotel highly and will definitely stay here 
again. One thing i would recommend is that more hairdryers are made 
available as there was none available throughout our"&amp;" stay.Read moreDate of 
stay: June 2018HelpfulShare")</f>
        <v>Excellent stay!!!!!!I had an excellent stay in Waterloo travelodge. First off the staff were 
helpful and friendly. The rooms were modern, spacious , good facilities and 
the bar/restaurant area was modern and sleek. He hotel is the perfect 
location, 5mins from Waterloo tube station and 15min walk from the London 
eye. I would recommend this hotel highly and will definitely stay here 
again. One thing i would recommend is that more hairdryers are made 
available as there was none available throughout our stay.Read moreDate of 
stay: June 2018HelpfulShare</v>
      </c>
      <c r="I211" s="21"/>
      <c r="J211" s="21" t="str">
        <f ca="1">IFERROR(__xludf.DUMMYFUNCTION("IMPORTXML(C211, $J$1)"),"JBofStortford wrote a review Jun 2018Bishops Stortford, United Kingdom17 
contributions16 helpful votes")</f>
        <v>JBofStortford wrote a review Jun 2018Bishops Stortford, United Kingdom17 
contributions16 helpful votes</v>
      </c>
      <c r="K211" s="4" t="str">
        <f ca="1">IFERROR(__xludf.DUMMYFUNCTION("""COMPUTED_VALUE"""),"Great accommodation for a couple of nights in 'town'Travel Lodge have definitely improved their game of the years, and this 
particular one is no exception. Just up the road from Waterloo station, 
walking distance to a majority of South Bank attractions "&amp;"and venues and the 
staff extremely helpful and polite. Bed really comfy, which is a plus after 
you've been on your feet all day and evening. Well done Travel Lodge 
Waterloo!Read moreDate of stay: September 2017HelpfulShare")</f>
        <v>Great accommodation for a couple of nights in 'town'Travel Lodge have definitely improved their game of the years, and this 
particular one is no exception. Just up the road from Waterloo station, 
walking distance to a majority of South Bank attractions and venues and the 
staff extremely helpful and polite. Bed really comfy, which is a plus after 
you've been on your feet all day and evening. Well done Travel Lodge 
Waterloo!Read moreDate of stay: September 2017HelpfulShare</v>
      </c>
      <c r="L211" s="21"/>
      <c r="M211" s="21" t="str">
        <f ca="1">IFERROR(__xludf.DUMMYFUNCTION("IMPORTXML(C211, $M$1)"),"Esa P wrote a review Jun 20186 contributions")</f>
        <v>Esa P wrote a review Jun 20186 contributions</v>
      </c>
      <c r="N211" s="4" t="str">
        <f ca="1">IFERROR(__xludf.DUMMYFUNCTION("""COMPUTED_VALUE"""),"Freindly staff, clean hotelStayed 3 nights. I appreciate friendliness and cleanness, easy access to 
underground and railway. Walking distance from City Center. I asked for two 
one person blankets but got two king size blankets instead. They were far 
to"&amp;"o big for the bed. Have breakfast somewhere else unless you are British. 
I prefer having a cappuccino and sandwich/croissant somewhere else instead 
of having big tasteless breakfast at the hotel. I had booked and prepaid bf 
for 2 people for 3 mornings."&amp;" After the first one I cancelled the 2 others. 
As I had paid flexible rate I was told it was allowed, but payment was 
through PayPal. In need to contact PP for reimbursement. I recommend this 
hotel, but next time I will not have breakfast there.Read mo"&amp;"reDate of stay: 
June 2018HelpfulShare")</f>
        <v>Freindly staff, clean hotelStayed 3 nights. I appreciate friendliness and cleanness, easy access to 
underground and railway. Walking distance from City Center. I asked for two 
one person blankets but got two king size blankets instead. They were far 
too big for the bed. Have breakfast somewhere else unless you are British. 
I prefer having a cappuccino and sandwich/croissant somewhere else instead 
of having big tasteless breakfast at the hotel. I had booked and prepaid bf 
for 2 people for 3 mornings. After the first one I cancelled the 2 others. 
As I had paid flexible rate I was told it was allowed, but payment was 
through PayPal. In need to contact PP for reimbursement. I recommend this 
hotel, but next time I will not have breakfast there.Read moreDate of stay: 
June 2018HelpfulShare</v>
      </c>
      <c r="O211" s="21"/>
      <c r="P211" s="21" t="str">
        <f ca="1">IFERROR(__xludf.DUMMYFUNCTION("IMPORTXML(C211, $P$1)"),"DumnoniiNomad wrote a review Jun 2018Exeter, United Kingdom42 
contributions5 helpful votes")</f>
        <v>DumnoniiNomad wrote a review Jun 2018Exeter, United Kingdom42 
contributions5 helpful votes</v>
      </c>
      <c r="Q211" s="4" t="str">
        <f ca="1">IFERROR(__xludf.DUMMYFUNCTION("""COMPUTED_VALUE"""),"Weekend breakIf this hotel is anything to go by, Travelodge have turned a corner. In the 
past I have been disappointed by Travelodge Hotels and so booked this one 
with pretty low expectations, however I was happily surprised. We were 
cheerfully greeted"&amp;" and once checked in found that our room was at the end 
of the corridor, to the rear of the building, which really supported a 
quiet night - and so it was. I didn't hear a thing either inside or outside 
all night. Great for a hotel in the capital! We i"&amp;"ncluded a full breakfast, 
and it was very well presented. Standard fare, but tasty and being a 
buffet, plenty of it. Eggs were scrambled ... my only criticism, however as 
I didn't ask for an alternative, it's purely an observation. All in all, a 
very "&amp;"good, quiet hotel, conveniently located for the…Read moreDate of stay: 
June 2018HelpfulShare")</f>
        <v>Weekend breakIf this hotel is anything to go by, Travelodge have turned a corner. In the 
past I have been disappointed by Travelodge Hotels and so booked this one 
with pretty low expectations, however I was happily surprised. We were 
cheerfully greeted and once checked in found that our room was at the end 
of the corridor, to the rear of the building, which really supported a 
quiet night - and so it was. I didn't hear a thing either inside or outside 
all night. Great for a hotel in the capital! We included a full breakfast, 
and it was very well presented. Standard fare, but tasty and being a 
buffet, plenty of it. Eggs were scrambled ... my only criticism, however as 
I didn't ask for an alternative, it's purely an observation. All in all, a 
very good, quiet hotel, conveniently located for the…Read moreDate of stay: 
June 2018HelpfulShare</v>
      </c>
      <c r="U211" s="4" t="str">
        <f ca="1">IFERROR(__xludf.DUMMYFUNCTION("IMPORTXML(C212,$U$1)"),"Loading...")</f>
        <v>Loading...</v>
      </c>
    </row>
    <row r="212" spans="1:21" ht="15">
      <c r="A212" s="25" t="s">
        <v>13627</v>
      </c>
      <c r="B212" s="17" t="s">
        <v>126</v>
      </c>
      <c r="C212" s="23" t="str">
        <f t="shared" si="0"/>
        <v>https://www.tripadvisor.co.uk/Hotel_Review-g186338-d1812157-Reviews-or1050-Travelodge_London_Waterloo_Hotel-London_England.html#REVIEWS</v>
      </c>
      <c r="D212" s="4" t="str">
        <f ca="1">IFERROR(__xludf.DUMMYFUNCTION("IMPORTXML(C212,$D$1)"),"sevwaves wrote a review Jun 2018Weymouth, United Kingdom4 contributions2 
helpful votes")</f>
        <v>sevwaves wrote a review Jun 2018Weymouth, United Kingdom4 contributions2 
helpful votes</v>
      </c>
      <c r="E212" s="4" t="str">
        <f ca="1">IFERROR(__xludf.DUMMYFUNCTION("""COMPUTED_VALUE"""),"Perfect Central LocationOur fifth visit to this Travelodge perfect location to walk to most London 
attractions if you like to walk. Only 7 minutes walk from Waterloo station 
everything at this Travelodge is perfect for sightseeing visit . Hotel is 
clea"&amp;"n nice rooms friendly staff Paticularly Tebor on Reception nothing is 
too much trouble and he recognised us this visit, having said that always 
found the staff really helpfulRead moreDate of stay: May 2018HelpfulShare")</f>
        <v>Perfect Central LocationOur fifth visit to this Travelodge perfect location to walk to most London 
attractions if you like to walk. Only 7 minutes walk from Waterloo station 
everything at this Travelodge is perfect for sightseeing visit . Hotel is 
clean nice rooms friendly staff Paticularly Tebor on Reception nothing is 
too much trouble and he recognised us this visit, having said that always 
found the staff really helpfulRead moreDate of stay: May 2018HelpfulShare</v>
      </c>
      <c r="G212" s="24" t="str">
        <f ca="1">IFERROR(__xludf.DUMMYFUNCTION("IMPORTXML(C212, $G$1)"),"Bevegriff wrote a review Jun 2018Stratford-upon-Avon, United Kingdom47 
contributions17 helpful votes")</f>
        <v>Bevegriff wrote a review Jun 2018Stratford-upon-Avon, United Kingdom47 
contributions17 helpful votes</v>
      </c>
      <c r="H212" s="4" t="str">
        <f ca="1">IFERROR(__xludf.DUMMYFUNCTION("""COMPUTED_VALUE"""),"ExcellentStayed overnight in a superior room. Was lovely and clean. Great location. 
Breakfast was lovely. The staff were excellent from front of house to 
waiters and waitresses. I have to say i have been to lot of five star 
hotels in my time and none o"&amp;"f the staff are as welcoming friendly and 
helpful as they were at the this hotel. They need to be congratulated. 
Highly recommend staying here.Read moreDate of stay: June 2018HelpfulShare")</f>
        <v>ExcellentStayed overnight in a superior room. Was lovely and clean. Great location. 
Breakfast was lovely. The staff were excellent from front of house to 
waiters and waitresses. I have to say i have been to lot of five star 
hotels in my time and none of the staff are as welcoming friendly and 
helpful as they were at the this hotel. They need to be congratulated. 
Highly recommend staying here.Read moreDate of stay: June 2018HelpfulShare</v>
      </c>
      <c r="I212" s="21"/>
      <c r="J212" s="21" t="str">
        <f ca="1">IFERROR(__xludf.DUMMYFUNCTION("IMPORTXML(C212, $J$1)"),"Rod H wrote a review Jun 20189 contributions4 helpful votes")</f>
        <v>Rod H wrote a review Jun 20189 contributions4 helpful votes</v>
      </c>
      <c r="K212" s="4" t="str">
        <f ca="1">IFERROR(__xludf.DUMMYFUNCTION("""COMPUTED_VALUE"""),"Excellent, Waterloo.Our 3rd visit to this Travelodge and it just gets better and better,Rooms 
are lovely and clean,and what can I say about the staff, well the staff are 
wonderful. Great Breakfast,great choice. Will be back next year. My last 
words are"&amp;", a Excellent place to stay with Excellent staff.Read moreDate of 
stay: June 2018HelpfulShare")</f>
        <v>Excellent, Waterloo.Our 3rd visit to this Travelodge and it just gets better and better,Rooms 
are lovely and clean,and what can I say about the staff, well the staff are 
wonderful. Great Breakfast,great choice. Will be back next year. My last 
words are, a Excellent place to stay with Excellent staff.Read moreDate of 
stay: June 2018HelpfulShare</v>
      </c>
      <c r="L212" s="21"/>
      <c r="M212" s="21" t="str">
        <f ca="1">IFERROR(__xludf.DUMMYFUNCTION("IMPORTXML(C212, $M$1)"),"Vanda R wrote a review Jun 2018Wisborough Green, United Kingdom30 
contributions10 helpful votes")</f>
        <v>Vanda R wrote a review Jun 2018Wisborough Green, United Kingdom30 
contributions10 helpful votes</v>
      </c>
      <c r="N212" s="4" t="str">
        <f ca="1">IFERROR(__xludf.DUMMYFUNCTION("""COMPUTED_VALUE"""),"Absolutely brilliant staff, great hotel and great location!We stayed in one of the family super rooms this weekend and were hugely 
impressed with this hotel. The service, from Ori greeting us at reception 
to every single member of staff we encountered, "&amp;"was outstanding. They could 
not have been more friendly, more helpful or more efficient. The room was 
delightful and really well thought out. The bar and breakfast were both 
really great - again the staff really stood out - and the decor is lovely. 
Th"&amp;"e only teeny tiny fly in the ointment was that one of the lifts broke 
down while we were there, which meant being on the 7th was a bit of a 
drawback!! Apart from that it was really good. Well done to everyone there 
and thank you.Read moreDate of stay: "&amp;"June 2018HelpfulShare")</f>
        <v>Absolutely brilliant staff, great hotel and great location!We stayed in one of the family super rooms this weekend and were hugely 
impressed with this hotel. The service, from Ori greeting us at reception 
to every single member of staff we encountered, was outstanding. They could 
not have been more friendly, more helpful or more efficient. The room was 
delightful and really well thought out. The bar and breakfast were both 
really great - again the staff really stood out - and the decor is lovely. 
The only teeny tiny fly in the ointment was that one of the lifts broke 
down while we were there, which meant being on the 7th was a bit of a 
drawback!! Apart from that it was really good. Well done to everyone there 
and thank you.Read moreDate of stay: June 2018HelpfulShare</v>
      </c>
      <c r="O212" s="21"/>
      <c r="P212" s="21" t="str">
        <f ca="1">IFERROR(__xludf.DUMMYFUNCTION("IMPORTXML(C212, $P$1)"),"carl742 wrote a review Jun 20181 contribution")</f>
        <v>carl742 wrote a review Jun 20181 contribution</v>
      </c>
      <c r="Q212" s="4" t="str">
        <f ca="1">IFERROR(__xludf.DUMMYFUNCTION("""COMPUTED_VALUE"""),"Very clean and comfortableThe hotel was very clean and comfortable. The breakfast was good. The 
location was about 15 minute walk from Westminster, which was great and the 
bed was comfortable. I had one of their super rooms and would recommend 
it.Read "&amp;"moreReview collected in partnership with TravelodgeDate of stay: 
June 2018HelpfulShare")</f>
        <v>Very clean and comfortableThe hotel was very clean and comfortable. The breakfast was good. The 
location was about 15 minute walk from Westminster, which was great and the 
bed was comfortable. I had one of their super rooms and would recommend 
it.Read moreReview collected in partnership with TravelodgeDate of stay: 
June 2018HelpfulShare</v>
      </c>
      <c r="U212" s="4" t="str">
        <f ca="1">IFERROR(__xludf.DUMMYFUNCTION("IMPORTXML(C213,$U$1)"),"Loading...")</f>
        <v>Loading...</v>
      </c>
    </row>
    <row r="213" spans="1:21" ht="15">
      <c r="A213" s="25" t="s">
        <v>13628</v>
      </c>
      <c r="B213" s="17" t="s">
        <v>126</v>
      </c>
      <c r="C213" s="23" t="str">
        <f t="shared" si="0"/>
        <v>https://www.tripadvisor.co.uk/Hotel_Review-g186338-d1812157-Reviews-or1055-Travelodge_London_Waterloo_Hotel-London_England.html#REVIEWS</v>
      </c>
      <c r="D213" s="4" t="str">
        <f ca="1">IFERROR(__xludf.DUMMYFUNCTION("IMPORTXML(C213,$D$1)"),"stumpyBirmingham_UK wrote a review Jun 2018Birmingham, UK58 contributions22 
helpful votes")</f>
        <v>stumpyBirmingham_UK wrote a review Jun 2018Birmingham, UK58 contributions22 
helpful votes</v>
      </c>
      <c r="E213" s="4" t="str">
        <f ca="1">IFERROR(__xludf.DUMMYFUNCTION("""COMPUTED_VALUE"""),"Absolutely fineStayed here last week for the first time. Room was clean and fine and more 
importantly the air conditioning worked well. Quiet with no noise from 
outside or other rooms. Breakfast was comprehensive but nothing to write 
home about apart f"&amp;"rom the coffee which was very good. Floor of the shower 
tray was very slippy so guests should be mindful of this. All in all, 
serves the purpose and close to Waterloo Train StationRead moreDate of 
stay: May 2018HelpfulShareResponse from TravelodgeUK, S"&amp;"haf from the Social 
Media Team. at Travelodge London Waterloo HotelResponded 10 Jun 2018Many 
thanks for submitting a review about our London Waterloo Travelodge. We're 
really pleased to hear of the positive feedback and thank you for your 
comments on "&amp;"our shower tray which we will look in to. We'll be sure to pass 
your valuable feedback directly to our colleagues in our hotel as this is 
the best way for us to improve the service we offer. Thank you again for 
your review.Read more")</f>
        <v>Absolutely fineStayed here last week for the first time. Room was clean and fine and more 
importantly the air conditioning worked well. Quiet with no noise from 
outside or other rooms. Breakfast was comprehensive but nothing to write 
home about apart from the coffee which was very good. Floor of the shower 
tray was very slippy so guests should be mindful of this. All in all, 
serves the purpose and close to Waterloo Train StationRead moreDate of 
stay: May 2018HelpfulShareResponse from TravelodgeUK, Shaf from the Social 
Media Team. at Travelodge London Waterloo HotelResponded 10 Jun 2018Many 
thanks for submitting a review about our London Waterloo Travelodge. We're 
really pleased to hear of the positive feedback and thank you for your 
comments on our shower tray which we will look in to. We'll be sure to pass 
your valuable feedback directly to our colleagues in our hotel as this is 
the best way for us to improve the service we offer. Thank you again for 
your review.Read more</v>
      </c>
      <c r="G213" s="24" t="str">
        <f ca="1">IFERROR(__xludf.DUMMYFUNCTION("IMPORTXML(C213, $G$1)"),"Zena E wrote a review Jun 2018Tonbridge, United Kingdom420 contributions15 
helpful votes")</f>
        <v>Zena E wrote a review Jun 2018Tonbridge, United Kingdom420 contributions15 
helpful votes</v>
      </c>
      <c r="H213" s="4" t="str">
        <f ca="1">IFERROR(__xludf.DUMMYFUNCTION("""COMPUTED_VALUE"""),"Excellent locationIdeal for Waterloo Station only 5 minutes walk. We were impressed with all 
the staff we met. They were very helpful and extremely friendly. Jay, 
Catalina and Rae especially. Rooms were clean and comfortable and adequate 
for our two ni"&amp;"ght stay. Despite being on the ground floor we never heard 
anything from the outside so had a good nights rest. Breakfast was great 
value and plenty of choices. We have stayed here in the past and will 
defiantly stay again.Read moreDate of stay: June 2"&amp;"018HelpfulShare")</f>
        <v>Excellent locationIdeal for Waterloo Station only 5 minutes walk. We were impressed with all 
the staff we met. They were very helpful and extremely friendly. Jay, 
Catalina and Rae especially. Rooms were clean and comfortable and adequate 
for our two night stay. Despite being on the ground floor we never heard 
anything from the outside so had a good nights rest. Breakfast was great 
value and plenty of choices. We have stayed here in the past and will 
defiantly stay again.Read moreDate of stay: June 2018HelpfulShare</v>
      </c>
      <c r="I213" s="21"/>
      <c r="J213" s="21" t="str">
        <f ca="1">IFERROR(__xludf.DUMMYFUNCTION("IMPORTXML(C213, $J$1)"),"Gordondon wrote a review Jun 2018Ammanford, United Kingdom9 contributions")</f>
        <v>Gordondon wrote a review Jun 2018Ammanford, United Kingdom9 contributions</v>
      </c>
      <c r="K213" s="4" t="str">
        <f ca="1">IFERROR(__xludf.DUMMYFUNCTION("""COMPUTED_VALUE"""),"Favourite London HotelGreat location, clean and tidy rooms and friendly staff. It has become our 
default London Hotel. It’s a 5 minutes walk from Waterloo Station, so 
transport links are simple. Lots of food places nearby on the 
Southbank.Read moreDate"&amp;" of stay: June 2018HelpfulShare")</f>
        <v>Favourite London HotelGreat location, clean and tidy rooms and friendly staff. It has become our 
default London Hotel. It’s a 5 minutes walk from Waterloo Station, so 
transport links are simple. Lots of food places nearby on the 
Southbank.Read moreDate of stay: June 2018HelpfulShare</v>
      </c>
      <c r="L213" s="21"/>
      <c r="M213" s="21" t="str">
        <f ca="1">IFERROR(__xludf.DUMMYFUNCTION("IMPORTXML(C213, $M$1)"),"Jose wrote a review Jun 2018Liverpool, United Kingdom11 contributions1 
helpful vote")</f>
        <v>Jose wrote a review Jun 2018Liverpool, United Kingdom11 contributions1 
helpful vote</v>
      </c>
      <c r="N213" s="4" t="str">
        <f ca="1">IFERROR(__xludf.DUMMYFUNCTION("""COMPUTED_VALUE"""),"Waterloo!Great hotel which was very clean, modern and 10 minutes from the London 
eye. WiFi is £3 per 24 hours which should be free but overall it was a 
great stay in London, as always! Reasonable charge for room which was nice 
and big.Read moreReview c"&amp;"ollected in partnership with TravelodgeDate of 
stay: June 2018HelpfulShare")</f>
        <v>Waterloo!Great hotel which was very clean, modern and 10 minutes from the London 
eye. WiFi is £3 per 24 hours which should be free but overall it was a 
great stay in London, as always! Reasonable charge for room which was nice 
and big.Read moreReview collected in partnership with TravelodgeDate of 
stay: June 2018HelpfulShare</v>
      </c>
      <c r="O213" s="21"/>
      <c r="P213" s="21" t="str">
        <f ca="1">IFERROR(__xludf.DUMMYFUNCTION("IMPORTXML(C213, $P$1)"),"I1950JPsusanb wrote a review Jun 2018London, United Kingdom59 
contributions22 helpful votes")</f>
        <v>I1950JPsusanb wrote a review Jun 2018London, United Kingdom59 
contributions22 helpful votes</v>
      </c>
      <c r="Q213" s="4" t="str">
        <f ca="1">IFERROR(__xludf.DUMMYFUNCTION("""COMPUTED_VALUE"""),"Great standard for travelodgeStayed at travelodge Waterloo. Great location clean and comfortable hotel. 
Looks like it’s been refurbished. Breakfast a added bonus at £8.99 each 
plenty of choice for the price. Bar area really nice tooRead moreDate of 
sta"&amp;"y: June 2018HelpfulShare")</f>
        <v>Great standard for travelodgeStayed at travelodge Waterloo. Great location clean and comfortable hotel. 
Looks like it’s been refurbished. Breakfast a added bonus at £8.99 each 
plenty of choice for the price. Bar area really nice tooRead moreDate of 
stay: June 2018HelpfulShare</v>
      </c>
      <c r="U213" s="4" t="str">
        <f ca="1">IFERROR(__xludf.DUMMYFUNCTION("IMPORTXML(C214,$U$1)"),"Loading...")</f>
        <v>Loading...</v>
      </c>
    </row>
    <row r="214" spans="1:21" ht="15">
      <c r="A214" s="25" t="s">
        <v>13629</v>
      </c>
      <c r="B214" s="17" t="s">
        <v>126</v>
      </c>
      <c r="C214" s="23" t="str">
        <f t="shared" si="0"/>
        <v>https://www.tripadvisor.co.uk/Hotel_Review-g186338-d1812157-Reviews-or1060-Travelodge_London_Waterloo_Hotel-London_England.html#REVIEWS</v>
      </c>
      <c r="D214" s="4" t="str">
        <f ca="1">IFERROR(__xludf.DUMMYFUNCTION("IMPORTXML(C214,$D$1)"),"#N/A")</f>
        <v>#N/A</v>
      </c>
      <c r="G214" s="24" t="str">
        <f ca="1">IFERROR(__xludf.DUMMYFUNCTION("IMPORTXML(C214, $G$1)"),"scorchio127 wrote a review Jun 2018Nottingham, United Kingdom129 
contributions99 helpful votes")</f>
        <v>scorchio127 wrote a review Jun 2018Nottingham, United Kingdom129 
contributions99 helpful votes</v>
      </c>
      <c r="H214" s="4" t="str">
        <f ca="1">IFERROR(__xludf.DUMMYFUNCTION("""COMPUTED_VALUE"""),"Kit katsMy employer sent me here. I would not have chosen it. It was just a short 
walk from Waterloo station. The bed was comfy, breakfast adequate. USP was 
instead of ordinary biscuits with your tea and coffee in your room, you got 
two kit kats. Admit"&amp;"tedly only small ones but what more can you possibly 
want?Read moreDate of stay: June 2018HelpfulShareResponse from 
TravelodgeUK, Tilly from the Social Media Team at Travelodge London 
Waterloo HotelResponded 11 Jun 2018Thank you for your comments about"&amp;" our 
London Waterloo Travelodge We will be sure to pass them onto the hotel team 
and we hope to welcome you back to one of our hotels again soon.Read more")</f>
        <v>Kit katsMy employer sent me here. I would not have chosen it. It was just a short 
walk from Waterloo station. The bed was comfy, breakfast adequate. USP was 
instead of ordinary biscuits with your tea and coffee in your room, you got 
two kit kats. Admittedly only small ones but what more can you possibly 
want?Read moreDate of stay: June 2018HelpfulShareResponse from 
TravelodgeUK, Tilly from the Social Media Team at Travelodge London 
Waterloo HotelResponded 11 Jun 2018Thank you for your comments about our 
London Waterloo Travelodge We will be sure to pass them onto the hotel team 
and we hope to welcome you back to one of our hotels again soon.Read more</v>
      </c>
      <c r="I214" s="21"/>
      <c r="J214" s="21" t="str">
        <f ca="1">IFERROR(__xludf.DUMMYFUNCTION("IMPORTXML(C214, $J$1)"),"#N/A")</f>
        <v>#N/A</v>
      </c>
      <c r="L214" s="21"/>
      <c r="M214" s="21" t="str">
        <f ca="1">IFERROR(__xludf.DUMMYFUNCTION("IMPORTXML(C214, $M$1)"),"mmosdorn wrote a review May 2018Leicester, United Kingdom1 contribution")</f>
        <v>mmosdorn wrote a review May 2018Leicester, United Kingdom1 contribution</v>
      </c>
      <c r="N214" s="4" t="str">
        <f ca="1">IFERROR(__xludf.DUMMYFUNCTION("""COMPUTED_VALUE"""),"great value for moneyrooms were clean and bed comfortable, staff was attentive, helpful and 
nice. Hotel walking distance from London Eye as well as bus lines to other 
city destinations. I travelled with a 6 year old and could not have found a 
better pl"&amp;"aceRead moreDate of stay: May 2018HelpfulShare")</f>
        <v>great value for moneyrooms were clean and bed comfortable, staff was attentive, helpful and 
nice. Hotel walking distance from London Eye as well as bus lines to other 
city destinations. I travelled with a 6 year old and could not have found a 
better placeRead moreDate of stay: May 2018HelpfulShare</v>
      </c>
      <c r="O214" s="21"/>
      <c r="P214" s="21" t="str">
        <f ca="1">IFERROR(__xludf.DUMMYFUNCTION("IMPORTXML(C214, $P$1)"),"#N/A")</f>
        <v>#N/A</v>
      </c>
      <c r="U214" s="4" t="str">
        <f ca="1">IFERROR(__xludf.DUMMYFUNCTION("IMPORTXML(C215,$U$1)"),"Loading...")</f>
        <v>Loading...</v>
      </c>
    </row>
    <row r="215" spans="1:21" ht="15">
      <c r="A215" s="5" t="s">
        <v>13630</v>
      </c>
      <c r="B215" s="17" t="s">
        <v>126</v>
      </c>
      <c r="C215" s="23" t="str">
        <f t="shared" si="0"/>
        <v>https://www.tripadvisor.co.uk/Hotel_Review-g186338-d1812157-Reviews-or1065-Travelodge_London_Waterloo_Hotel-London_England.html#REVIEWS</v>
      </c>
      <c r="D215" s="4" t="str">
        <f ca="1">IFERROR(__xludf.DUMMYFUNCTION("IMPORTXML(C215,$D$1)"),"Jan K wrote a review May 2018Norfolk, United Kingdom7 contributions1 
helpful vote")</f>
        <v>Jan K wrote a review May 2018Norfolk, United Kingdom7 contributions1 
helpful vote</v>
      </c>
      <c r="E215" s="4" t="str">
        <f ca="1">IFERROR(__xludf.DUMMYFUNCTION("""COMPUTED_VALUE"""),"Good reasonably priced hotel in central LondonWe had a good stay at Travelodge over the Bank Holiday weekend. The staff 
were all friendly and helpful. During the first night the fan in the shower 
room made a noise, so we raised this with reception staff"&amp;" the following 
day. This was sorted out immediately and we were moved to a different room 
nearby without any bother.Read moreReview collected in partnership with 
TravelodgeDate of stay: May 2018HelpfulShare")</f>
        <v>Good reasonably priced hotel in central LondonWe had a good stay at Travelodge over the Bank Holiday weekend. The staff 
were all friendly and helpful. During the first night the fan in the shower 
room made a noise, so we raised this with reception staff the following 
day. This was sorted out immediately and we were moved to a different room 
nearby without any bother.Read moreReview collected in partnership with 
TravelodgeDate of stay: May 2018HelpfulShare</v>
      </c>
      <c r="G215" s="24" t="str">
        <f ca="1">IFERROR(__xludf.DUMMYFUNCTION("IMPORTXML(C215, $G$1)"),"#N/A")</f>
        <v>#N/A</v>
      </c>
      <c r="I215" s="21"/>
      <c r="J215" s="21" t="str">
        <f ca="1">IFERROR(__xludf.DUMMYFUNCTION("IMPORTXML(C215, $J$1)"),"Jane P wrote a review May 2018Swansea, United Kingdom122 contributions6 
helpful votes")</f>
        <v>Jane P wrote a review May 2018Swansea, United Kingdom122 contributions6 
helpful votes</v>
      </c>
      <c r="K215" s="4" t="str">
        <f ca="1">IFERROR(__xludf.DUMMYFUNCTION("""COMPUTED_VALUE"""),"Nice hotel but some issuesI stayed in this Travelodge for one night in order to take part in a 10K 
race in London. I chose it for its reasonable price and the fact that it 
was just two tube stops from the event. The hotel is newly refurbished and 
the r"&amp;"oom was clean and tidy. I did not have breakfast there or use the bar 
café so can't comment on that. However the issue I have is that only one of 
two lifts was working, there was no obvious staircase and the lift seemed 
to refuse to stop on the first f"&amp;"loor on the way down. I ended up having to 
use what appeared to be a back stairs fire escape to get to the ground 
floor. Also I had booked a late checkout at 2pm but on returning to the 
hotel at 12.30pm my key card wouldn't work and I had to return to "&amp;"reception 
to have it changed. I didn't find the staff…Read moreDate of stay: May 
2018HelpfulShare")</f>
        <v>Nice hotel but some issuesI stayed in this Travelodge for one night in order to take part in a 10K 
race in London. I chose it for its reasonable price and the fact that it 
was just two tube stops from the event. The hotel is newly refurbished and 
the room was clean and tidy. I did not have breakfast there or use the bar 
café so can't comment on that. However the issue I have is that only one of 
two lifts was working, there was no obvious staircase and the lift seemed 
to refuse to stop on the first floor on the way down. I ended up having to 
use what appeared to be a back stairs fire escape to get to the ground 
floor. Also I had booked a late checkout at 2pm but on returning to the 
hotel at 12.30pm my key card wouldn't work and I had to return to reception 
to have it changed. I didn't find the staff…Read moreDate of stay: May 
2018HelpfulShare</v>
      </c>
      <c r="L215" s="21"/>
      <c r="M215" s="21" t="str">
        <f ca="1">IFERROR(__xludf.DUMMYFUNCTION("IMPORTXML(C215, $M$1)"),"Ray C wrote a review May 2018Newbury, United Kingdom118 contributions49 
helpful votes")</f>
        <v>Ray C wrote a review May 2018Newbury, United Kingdom118 contributions49 
helpful votes</v>
      </c>
      <c r="N215" s="4" t="str">
        <f ca="1">IFERROR(__xludf.DUMMYFUNCTION("""COMPUTED_VALUE"""),"Pros and cons.On the face of it, this is a good place to stay. It’s a great location, 
it’s been recently refurbished, it’s spotlessly clean, has great beds and 
it’s good value for money. However, our stay wasn’t without (fairly minor) 
niggles. Firstly,"&amp;" not long after we arrived, one of the two lifts broke 
down and remained that way for the entire weekend. I know it’s a bank 
holiday weekend but I’d still expect Travelodge to throw money at the 
problem to get it resolved. The other gripe I had is that"&amp;" they only provide 
two bath towels for a double room, no hand towels. We had to ask for extra 
towels; we got one and that wasn’t replaced when the room was cleaned the 
next morning. I’m sorry, but it’s something so basic that there’s just no 
excuse. A"&amp;"nd finally, not something that can be…Read moreDate of stay: May 
2018HelpfulShareResponse from TravelodgeUK, Joe from the Social Media Team 
at Travelodge London Waterloo HotelResponded 30 May 2018We would like to 
thank you for taking the time to advise"&amp;" of your recent stay at our London 
Waterloo hotel. We're glad to hear that your stay was made special by the 
location and that your room was serviced to our high level standard. 
However, we're sorry about your disappointment regarding the lift and 
tow"&amp;"els provided within your room. It is only through feedback such as yours 
that we are able to maintain and indeed, where necessary improve upon the 
service that we provide to our valued guests. We were disappointed to read 
of your experience during your"&amp;" stay with us. Whilst an apology will 
regrettably not alter the outcome of your experience on this occasion, we 
do thank you for taking the time to share your experience so these issues 
can be resolved to ensure that this does not repeat for other gues"&amp;"ts. Once 
again, thank you for your review and we hope this does not deter you from 
staying with us again in the future.Read more")</f>
        <v>Pros and cons.On the face of it, this is a good place to stay. It’s a great location, 
it’s been recently refurbished, it’s spotlessly clean, has great beds and 
it’s good value for money. However, our stay wasn’t without (fairly minor) 
niggles. Firstly, not long after we arrived, one of the two lifts broke 
down and remained that way for the entire weekend. I know it’s a bank 
holiday weekend but I’d still expect Travelodge to throw money at the 
problem to get it resolved. The other gripe I had is that they only provide 
two bath towels for a double room, no hand towels. We had to ask for extra 
towels; we got one and that wasn’t replaced when the room was cleaned the 
next morning. I’m sorry, but it’s something so basic that there’s just no 
excuse. And finally, not something that can be…Read moreDate of stay: May 
2018HelpfulShareResponse from TravelodgeUK, Joe from the Social Media Team 
at Travelodge London Waterloo HotelResponded 30 May 2018We would like to 
thank you for taking the time to advise of your recent stay at our London 
Waterloo hotel. We're glad to hear that your stay was made special by the 
location and that your room was serviced to our high level standard. 
However, we're sorry about your disappointment regarding the lift and 
towels provided within your room. It is only through feedback such as yours 
that we are able to maintain and indeed, where necessary improve upon the 
service that we provide to our valued guests. We were disappointed to read 
of your experience during your stay with us. Whilst an apology will 
regrettably not alter the outcome of your experience on this occasion, we 
do thank you for taking the time to share your experience so these issues 
can be resolved to ensure that this does not repeat for other guests. Once 
again, thank you for your review and we hope this does not deter you from 
staying with us again in the future.Read more</v>
      </c>
      <c r="O215" s="21"/>
      <c r="P215" s="21" t="str">
        <f ca="1">IFERROR(__xludf.DUMMYFUNCTION("IMPORTXML(C215, $P$1)"),"#N/A")</f>
        <v>#N/A</v>
      </c>
      <c r="U215" s="4" t="str">
        <f ca="1">IFERROR(__xludf.DUMMYFUNCTION("IMPORTXML(C216,$U$1)"),"Loading...")</f>
        <v>Loading...</v>
      </c>
    </row>
    <row r="216" spans="1:21" ht="15">
      <c r="A216" s="25" t="s">
        <v>13631</v>
      </c>
      <c r="B216" s="17" t="s">
        <v>126</v>
      </c>
      <c r="C216" s="23" t="str">
        <f t="shared" si="0"/>
        <v>https://www.tripadvisor.co.uk/Hotel_Review-g186338-d1812157-Reviews-or1070-Travelodge_London_Waterloo_Hotel-London_England.html#REVIEWS</v>
      </c>
      <c r="D216" s="4" t="str">
        <f ca="1">IFERROR(__xludf.DUMMYFUNCTION("IMPORTXML(C216,$D$1)"),"rafalozanog wrote a review May 2018Madrid, Spain1 contribution")</f>
        <v>rafalozanog wrote a review May 2018Madrid, Spain1 contribution</v>
      </c>
      <c r="E216" s="4" t="str">
        <f ca="1">IFERROR(__xludf.DUMMYFUNCTION("""COMPUTED_VALUE"""),"Good location.Very good location, big clean room, very comfortable bed and pillow. 
Friendly staff even though they didn’t want to heat the leftover pizza I 
got for dinner when I returned at night. Very close to the underground and 
railway station. Near"&amp;" some bars of the area and Vauxhall’s pubs.Read 
moreReview collected in partnership with TravelodgeDate of stay: May 
2018HelpfulShare")</f>
        <v>Good location.Very good location, big clean room, very comfortable bed and pillow. 
Friendly staff even though they didn’t want to heat the leftover pizza I 
got for dinner when I returned at night. Very close to the underground and 
railway station. Near some bars of the area and Vauxhall’s pubs.Read 
moreReview collected in partnership with TravelodgeDate of stay: May 
2018HelpfulShare</v>
      </c>
      <c r="G216" s="24" t="str">
        <f ca="1">IFERROR(__xludf.DUMMYFUNCTION("IMPORTXML(C216, $G$1)"),"N9461ZLphilh wrote a review May 2018Birmingham 4 contributions1 helpful vote")</f>
        <v>N9461ZLphilh wrote a review May 2018Birmingham 4 contributions1 helpful vote</v>
      </c>
      <c r="H216" s="4" t="str">
        <f ca="1">IFERROR(__xludf.DUMMYFUNCTION("""COMPUTED_VALUE"""),"Good value for money &amp; locationStayed for 1 night, staff friendly &amp; helpful, room basic but clean, 
comfortable bed, good location close to the station, only really used the 
hotel to sleep in, out the rest of the time, breakfast was Ok, would stay 
here "&amp;"again.Read moreDate of stay: May 2018HelpfulShareResponse from 
TravelodgeUK, Niki from The Social Media Team at Travelodge London Waterloo 
HotelResponded 29 May 2018Thank you for reviewing your stay with us at our 
London Waterloo hotel. It is our aim t"&amp;"o offer our guests a comfortable and 
relaxing environment that is perfect for getting a great night’s sleep. 
That is why we’re quite thrilled to hear that the comfort of your bed and 
the high standards of cleanliness helped achieved this for your time "&amp;"with 
us. We’ll be happy to provide your comments to the hotel as this is the 
best way to help give the best service possible to our guests and we can’t 
wait to welcome you back soon.Read more")</f>
        <v>Good value for money &amp; locationStayed for 1 night, staff friendly &amp; helpful, room basic but clean, 
comfortable bed, good location close to the station, only really used the 
hotel to sleep in, out the rest of the time, breakfast was Ok, would stay 
here again.Read moreDate of stay: May 2018HelpfulShareResponse from 
TravelodgeUK, Niki from The Social Media Team at Travelodge London Waterloo 
HotelResponded 29 May 2018Thank you for reviewing your stay with us at our 
London Waterloo hotel. It is our aim to offer our guests a comfortable and 
relaxing environment that is perfect for getting a great night’s sleep. 
That is why we’re quite thrilled to hear that the comfort of your bed and 
the high standards of cleanliness helped achieved this for your time with 
us. We’ll be happy to provide your comments to the hotel as this is the 
best way to help give the best service possible to our guests and we can’t 
wait to welcome you back soon.Read more</v>
      </c>
      <c r="I216" s="21"/>
      <c r="J216" s="21" t="str">
        <f ca="1">IFERROR(__xludf.DUMMYFUNCTION("IMPORTXML(C216, $J$1)"),"lisayeomans2013 wrote a review May 2018Portsmouth, United Kingdom2 
contributions1 helpful vote")</f>
        <v>lisayeomans2013 wrote a review May 2018Portsmouth, United Kingdom2 
contributions1 helpful vote</v>
      </c>
      <c r="K216" s="4" t="str">
        <f ca="1">IFERROR(__xludf.DUMMYFUNCTION("""COMPUTED_VALUE"""),"A great place to stayThe staff were really friendly and helpful. They made us feel welcome. The 
beds were really comfortable. The food was amazing. The hotel overall was 
really nice and clean. Would recommend it to anyone to stay there when 
visiting Lo"&amp;"ndon.Read moreDate of stay: May 2018HelpfulShare")</f>
        <v>A great place to stayThe staff were really friendly and helpful. They made us feel welcome. The 
beds were really comfortable. The food was amazing. The hotel overall was 
really nice and clean. Would recommend it to anyone to stay there when 
visiting London.Read moreDate of stay: May 2018HelpfulShare</v>
      </c>
      <c r="L216" s="21"/>
      <c r="M216" s="21" t="str">
        <f ca="1">IFERROR(__xludf.DUMMYFUNCTION("IMPORTXML(C216, $M$1)"),"KevinS4242 wrote a review May 20189 contributions5 helpful votes")</f>
        <v>KevinS4242 wrote a review May 20189 contributions5 helpful votes</v>
      </c>
      <c r="N216" s="4" t="str">
        <f ca="1">IFERROR(__xludf.DUMMYFUNCTION("""COMPUTED_VALUE"""),"A wonderful stayI've stayed in a number of budget hotels in London while there on business 
and I have always been disappointed with the service but this Travelodge 
was a pleasant surprise. I read some of the reviews on Tripadvisor for it 
before hand an"&amp;"d I was tentative as to what I was in for. Walking into the 
hotel it was clean, fresh in appearance and the staff were very welcoming. 
Getting to my room I was reassured by the need to use your door key card to 
enter the floor. I have on previous occas"&amp;"ions been concerned by a lack of 
security at other hotels. Entering my room I was amazed by it. I was in a 
super room and it was more than you expect for the money. In room coffee 
maker, air conditioning, variety of pillows hard and soft for you to cho"&amp;"ose 
from and above all it was clean. The…Read moreDate of stay: May 
2018HelpfulShare")</f>
        <v>A wonderful stayI've stayed in a number of budget hotels in London while there on business 
and I have always been disappointed with the service but this Travelodge 
was a pleasant surprise. I read some of the reviews on Tripadvisor for it 
before hand and I was tentative as to what I was in for. Walking into the 
hotel it was clean, fresh in appearance and the staff were very welcoming. 
Getting to my room I was reassured by the need to use your door key card to 
enter the floor. I have on previous occasions been concerned by a lack of 
security at other hotels. Entering my room I was amazed by it. I was in a 
super room and it was more than you expect for the money. In room coffee 
maker, air conditioning, variety of pillows hard and soft for you to choose 
from and above all it was clean. The…Read moreDate of stay: May 
2018HelpfulShare</v>
      </c>
      <c r="O216" s="21"/>
      <c r="P216" s="21" t="str">
        <f ca="1">IFERROR(__xludf.DUMMYFUNCTION("IMPORTXML(C216, $P$1)"),"Deborah662014 wrote a review May 2018Harlow, United Kingdom10 
contributions5 helpful votes")</f>
        <v>Deborah662014 wrote a review May 2018Harlow, United Kingdom10 
contributions5 helpful votes</v>
      </c>
      <c r="Q216" s="4" t="str">
        <f ca="1">IFERROR(__xludf.DUMMYFUNCTION("""COMPUTED_VALUE"""),"A great place to stay!We had a lovely stay at this hotel. It was in the perfect position, close 
to the Southbank. The rooms were spotless and tastefully decorated. The 
staff were very friendly and helpful, especially Hyacinth who let us have 
breakfast,"&amp;" even though we were very late down! She was very welcoming and 
very accommodating. A huge thank you to Hyacinth and the rest of the staff 
at this hotel ��.Read moreDate of stay: May 2018HelpfulShare")</f>
        <v>A great place to stay!We had a lovely stay at this hotel. It was in the perfect position, close 
to the Southbank. The rooms were spotless and tastefully decorated. The 
staff were very friendly and helpful, especially Hyacinth who let us have 
breakfast, even though we were very late down! She was very welcoming and 
very accommodating. A huge thank you to Hyacinth and the rest of the staff 
at this hotel ��.Read moreDate of stay: May 2018HelpfulShare</v>
      </c>
      <c r="U216" s="4" t="str">
        <f ca="1">IFERROR(__xludf.DUMMYFUNCTION("IMPORTXML(C217,$U$1)"),"Loading...")</f>
        <v>Loading...</v>
      </c>
    </row>
    <row r="217" spans="1:21" ht="15">
      <c r="A217" s="25" t="s">
        <v>13632</v>
      </c>
      <c r="B217" s="17" t="s">
        <v>126</v>
      </c>
      <c r="C217" s="23" t="str">
        <f t="shared" si="0"/>
        <v>https://www.tripadvisor.co.uk/Hotel_Review-g186338-d1812157-Reviews-or1075-Travelodge_London_Waterloo_Hotel-London_England.html#REVIEWS</v>
      </c>
      <c r="D217" s="4" t="str">
        <f ca="1">IFERROR(__xludf.DUMMYFUNCTION("IMPORTXML(C217,$D$1)"),"#N/A")</f>
        <v>#N/A</v>
      </c>
      <c r="G217" s="24" t="str">
        <f ca="1">IFERROR(__xludf.DUMMYFUNCTION("IMPORTXML(C217, $G$1)"),"JadePogson wrote a review May 2018Worksop, United Kingdom27 contributions7 
helpful votes")</f>
        <v>JadePogson wrote a review May 2018Worksop, United Kingdom27 contributions7 
helpful votes</v>
      </c>
      <c r="H217" s="4" t="str">
        <f ca="1">IFERROR(__xludf.DUMMYFUNCTION("""COMPUTED_VALUE"""),"Great Bank Holiday Weekend StayI visited the Waterloo Travelodge with a friend during the first bank 
holiday weekend in May. It was my friend's first visit to London so I 
wanted somewhere with a good location so that we could go and see all of 
the sigh"&amp;"ts, this Travelodge was excellent! We arrived about an hour early 
for check in but the lady on reception took our bags with no issues so that 
we could go to our London Eye booking without having to drag our cases 
around. Once we were back and ready to "&amp;"check in we were kindly upgraded to 
one of the renovated rooms at no extra cost. The room was great, very 
modern and quite spacious. The only issues we had were that during our 
first night at around midnight when we were trying to sleep we could hear 
"&amp;"noises from the pipework when guests in other rooms were using…Read 
moreDate of stay: May 2018HelpfulShare")</f>
        <v>Great Bank Holiday Weekend StayI visited the Waterloo Travelodge with a friend during the first bank 
holiday weekend in May. It was my friend's first visit to London so I 
wanted somewhere with a good location so that we could go and see all of 
the sights, this Travelodge was excellent! We arrived about an hour early 
for check in but the lady on reception took our bags with no issues so that 
we could go to our London Eye booking without having to drag our cases 
around. Once we were back and ready to check in we were kindly upgraded to 
one of the renovated rooms at no extra cost. The room was great, very 
modern and quite spacious. The only issues we had were that during our 
first night at around midnight when we were trying to sleep we could hear 
noises from the pipework when guests in other rooms were using…Read 
moreDate of stay: May 2018HelpfulShare</v>
      </c>
      <c r="I217" s="21"/>
      <c r="J217" s="21" t="str">
        <f ca="1">IFERROR(__xludf.DUMMYFUNCTION("IMPORTXML(C217, $J$1)"),"Mutley96 wrote a review May 2018Yeovil, United Kingdom368 contributions166 
helpful votes")</f>
        <v>Mutley96 wrote a review May 2018Yeovil, United Kingdom368 contributions166 
helpful votes</v>
      </c>
      <c r="K217" s="4" t="str">
        <f ca="1">IFERROR(__xludf.DUMMYFUNCTION("""COMPUTED_VALUE"""),"Great staffWe stayed here for 2 nights. We had a room on the 8th floor and had 
fantastic views. The room had everything we needed. The bed was really 
comfortable. The location was great for what we wanted to do. The staff are 
very friendly and helpful."&amp;" We would stay here againRead moreDate of stay: 
May 2018HelpfulShare")</f>
        <v>Great staffWe stayed here for 2 nights. We had a room on the 8th floor and had 
fantastic views. The room had everything we needed. The bed was really 
comfortable. The location was great for what we wanted to do. The staff are 
very friendly and helpful. We would stay here againRead moreDate of stay: 
May 2018HelpfulShare</v>
      </c>
      <c r="L217" s="21"/>
      <c r="M217" s="21" t="str">
        <f ca="1">IFERROR(__xludf.DUMMYFUNCTION("IMPORTXML(C217, $M$1)"),"AUKTourist wrote a review May 2018Fort Lauderdale, Florida791 
contributions494 helpful votes")</f>
        <v>AUKTourist wrote a review May 2018Fort Lauderdale, Florida791 
contributions494 helpful votes</v>
      </c>
      <c r="N217" s="4" t="str">
        <f ca="1">IFERROR(__xludf.DUMMYFUNCTION("""COMPUTED_VALUE"""),"Great RenovationStayed just as the refurbishment was completed. Rooms comfortable and 
functional. Not a great lover of the breakfast, it never appears to be 
freshly cooked or hot. The boxes of cereal are ok! Good location.Read 
moreDate of stay: May 201"&amp;"8HelpfulShare")</f>
        <v>Great RenovationStayed just as the refurbishment was completed. Rooms comfortable and 
functional. Not a great lover of the breakfast, it never appears to be 
freshly cooked or hot. The boxes of cereal are ok! Good location.Read 
moreDate of stay: May 2018HelpfulShare</v>
      </c>
      <c r="O217" s="21"/>
      <c r="P217" s="21" t="str">
        <f ca="1">IFERROR(__xludf.DUMMYFUNCTION("IMPORTXML(C217, $P$1)"),"ejdiamond2016 wrote a review May 2018Peterborough, United Kingdom7 
contributions4 helpful votes")</f>
        <v>ejdiamond2016 wrote a review May 2018Peterborough, United Kingdom7 
contributions4 helpful votes</v>
      </c>
      <c r="Q217" s="4" t="str">
        <f ca="1">IFERROR(__xludf.DUMMYFUNCTION("""COMPUTED_VALUE"""),"Great locationGreat staff and service,everyone was very helpful and friendly all areas 
were clean and tidy our room was lovely great view of the shard. Dinner was 
yummy they did have a menu change so my son couldn’t have his favourite 
sausage and mash "&amp;"but still plenty of choice pizza or burgers the staff were 
very happy to create the burger my son wanted and the chicken salad was 
delicious. Breakfast is always great plenty to choose from .The old vic is 
only a 3 minute walk down the street also near"&amp;"by the London eye just cut 
through Waterloo station or walk round and it’s right there about 10/15 min 
walk.Read moreReview collected in partnership with TravelodgeDate of stay: 
May 2018HelpfulShare")</f>
        <v>Great locationGreat staff and service,everyone was very helpful and friendly all areas 
were clean and tidy our room was lovely great view of the shard. Dinner was 
yummy they did have a menu change so my son couldn’t have his favourite 
sausage and mash but still plenty of choice pizza or burgers the staff were 
very happy to create the burger my son wanted and the chicken salad was 
delicious. Breakfast is always great plenty to choose from .The old vic is 
only a 3 minute walk down the street also nearby the London eye just cut 
through Waterloo station or walk round and it’s right there about 10/15 min 
walk.Read moreReview collected in partnership with TravelodgeDate of stay: 
May 2018HelpfulShare</v>
      </c>
      <c r="U217" s="4" t="str">
        <f ca="1">IFERROR(__xludf.DUMMYFUNCTION("IMPORTXML(C218,$U$1)"),"Loading...")</f>
        <v>Loading...</v>
      </c>
    </row>
    <row r="218" spans="1:21" ht="15">
      <c r="A218" s="25" t="s">
        <v>13633</v>
      </c>
      <c r="B218" s="17" t="s">
        <v>126</v>
      </c>
      <c r="C218" s="23" t="str">
        <f t="shared" si="0"/>
        <v>https://www.tripadvisor.co.uk/Hotel_Review-g186338-d1812157-Reviews-or1080-Travelodge_London_Waterloo_Hotel-London_England.html#REVIEWS</v>
      </c>
      <c r="D218" s="4" t="str">
        <f ca="1">IFERROR(__xludf.DUMMYFUNCTION("IMPORTXML(C218,$D$1)"),"Carolyn H wrote a review May 2018Amesbury, United Kingdom3 contributions2 
helpful votes")</f>
        <v>Carolyn H wrote a review May 2018Amesbury, United Kingdom3 contributions2 
helpful votes</v>
      </c>
      <c r="E218" s="4" t="str">
        <f ca="1">IFERROR(__xludf.DUMMYFUNCTION("""COMPUTED_VALUE"""),"Wonderful staffI stayed at the Travelodge on Friday last week. On arrival the reception 
staff were very friendly. When I got back to my room later that evening I 
found my phone had gone dead.I went down to Reception to see if they had a 
charger as mine"&amp;" wasn't working. Anamaria who works in the bar was there. 
She lent me her charger and said I could keep it until I checked out the 
next morning. What a Superstar!Read moreDate of stay: May 2018HelpfulShare")</f>
        <v>Wonderful staffI stayed at the Travelodge on Friday last week. On arrival the reception 
staff were very friendly. When I got back to my room later that evening I 
found my phone had gone dead.I went down to Reception to see if they had a 
charger as mine wasn't working. Anamaria who works in the bar was there. 
She lent me her charger and said I could keep it until I checked out the 
next morning. What a Superstar!Read moreDate of stay: May 2018HelpfulShare</v>
      </c>
      <c r="G218" s="24" t="str">
        <f ca="1">IFERROR(__xludf.DUMMYFUNCTION("IMPORTXML(C218, $G$1)"),"Karen F wrote a review May 2018Angmering, United Kingdom24 contributions8 
helpful votes")</f>
        <v>Karen F wrote a review May 2018Angmering, United Kingdom24 contributions8 
helpful votes</v>
      </c>
      <c r="H218" s="4" t="str">
        <f ca="1">IFERROR(__xludf.DUMMYFUNCTION("""COMPUTED_VALUE"""),"Great location and good value for moneyLovely hotel staff very accommodating,great location close to tube, bus 
stop outside which goes into central London Food options and dining 
experience were good value and plenty of options Will be going backRead 
m"&amp;"oreReview collected in partnership with TravelodgeDate of stay: May 
2018HelpfulShare")</f>
        <v>Great location and good value for moneyLovely hotel staff very accommodating,great location close to tube, bus 
stop outside which goes into central London Food options and dining 
experience were good value and plenty of options Will be going backRead 
moreReview collected in partnership with TravelodgeDate of stay: May 
2018HelpfulShare</v>
      </c>
      <c r="I218" s="21"/>
      <c r="J218" s="21" t="str">
        <f ca="1">IFERROR(__xludf.DUMMYFUNCTION("IMPORTXML(C218, $J$1)"),"marthamparfitt wrote a review May 2018Bournemouth, United Kingdom8 
contributions1 helpful vote")</f>
        <v>marthamparfitt wrote a review May 2018Bournemouth, United Kingdom8 
contributions1 helpful vote</v>
      </c>
      <c r="K218" s="4" t="str">
        <f ca="1">IFERROR(__xludf.DUMMYFUNCTION("""COMPUTED_VALUE"""),"Daughter's birthday treatThe recent refurbishment has resulted in excellent clean and fresh rooms 
and communal areas. The hotel is in a great location to explore London by 
foot. We all enjoyed the varied help yourself breakfast, except the coffee 
which"&amp;" didn't taste like Lavazza at all. Well done for everything else 
Travelodge!Read moreReview collected in partnership with this hotelDate of 
stay: May 2018HelpfulShare")</f>
        <v>Daughter's birthday treatThe recent refurbishment has resulted in excellent clean and fresh rooms 
and communal areas. The hotel is in a great location to explore London by 
foot. We all enjoyed the varied help yourself breakfast, except the coffee 
which didn't taste like Lavazza at all. Well done for everything else 
Travelodge!Read moreReview collected in partnership with this hotelDate of 
stay: May 2018HelpfulShare</v>
      </c>
      <c r="L218" s="21"/>
      <c r="M218" s="21" t="str">
        <f ca="1">IFERROR(__xludf.DUMMYFUNCTION("IMPORTXML(C218, $M$1)"),"mcl1488 wrote a review May 2018Glasgow, United Kingdom3 contributions")</f>
        <v>mcl1488 wrote a review May 2018Glasgow, United Kingdom3 contributions</v>
      </c>
      <c r="N218" s="4" t="str">
        <f ca="1">IFERROR(__xludf.DUMMYFUNCTION("""COMPUTED_VALUE"""),"Nice stay. Banging doors were slightly annoyingThe hotel was very clean and staff were helpful. However, my headboard was 
banging for all the wrong reasons. Clattering doors woke me up from 7am 
every day. Door closets needed in cleaners rooms and toilet"&amp;"s.Read moreDate 
of stay: May 2018HelpfulShare")</f>
        <v>Nice stay. Banging doors were slightly annoyingThe hotel was very clean and staff were helpful. However, my headboard was 
banging for all the wrong reasons. Clattering doors woke me up from 7am 
every day. Door closets needed in cleaners rooms and toilets.Read moreDate 
of stay: May 2018HelpfulShare</v>
      </c>
      <c r="O218" s="21"/>
      <c r="P218" s="21" t="str">
        <f ca="1">IFERROR(__xludf.DUMMYFUNCTION("IMPORTXML(C218, $P$1)"),"HunnyBun86 wrote a review May 20186 contributions")</f>
        <v>HunnyBun86 wrote a review May 20186 contributions</v>
      </c>
      <c r="Q218" s="4" t="str">
        <f ca="1">IFERROR(__xludf.DUMMYFUNCTION("""COMPUTED_VALUE"""),"Birthday CelebrationGenerally a nice hotel however mattress was uncomfortable and there was a 
high pitched noise occasionally running through the room which was very 
unpleasant.This may have been air con/water pipes. My air con was off and 
by the time "&amp;"I went to bed it would have been too late to sort out. Staff 
very friendly and welcoming, room very clean, lovely shower.Read moreReview 
collected in partnership with TravelodgeDate of stay: May 
2018HelpfulShareResponse from TravelodgeUK, Joe from the "&amp;"Social Media Team 
at Travelodge London Waterloo HotelResponded 22 May 2018Thank you for 
taking the time to review our London Waterloo Hotel. We're glad to hear 
that our hotel team members were friendly and welcoming upon arrival and 
that your room was"&amp;" serviced to our high level standard. Yet we're sorry 
about the internal noise levels that affected your stay. We always try to 
ensure that noise levels are kept to a minimum, and our hotels have 
measures in place such as regular floor walks in the lat"&amp;"e evenings to help 
with this. Our colleagues will follow the appropriate guidelines in 
handling any disruptions inside our hotels as efficiently as possible so 
that there is as little impact on our guests. It is only through feedback 
such as yours tha"&amp;"t we are able to maintain and indeed, where necessary 
improve upon the service that we provide to our valued guests. Once again, 
thank you for your comments and we hope that you choose to stay with us 
again in the future.Read more")</f>
        <v>Birthday CelebrationGenerally a nice hotel however mattress was uncomfortable and there was a 
high pitched noise occasionally running through the room which was very 
unpleasant.This may have been air con/water pipes. My air con was off and 
by the time I went to bed it would have been too late to sort out. Staff 
very friendly and welcoming, room very clean, lovely shower.Read moreReview 
collected in partnership with TravelodgeDate of stay: May 
2018HelpfulShareResponse from TravelodgeUK, Joe from the Social Media Team 
at Travelodge London Waterloo HotelResponded 22 May 2018Thank you for 
taking the time to review our London Waterloo Hotel. We're glad to hear 
that our hotel team members were friendly and welcoming upon arrival and 
that your room was serviced to our high level standard. Yet we're sorry 
about the internal noise levels that affected your stay. We always try to 
ensure that noise levels are kept to a minimum, and our hotels have 
measures in place such as regular floor walks in the late evenings to help 
with this. Our colleagues will follow the appropriate guidelines in 
handling any disruptions inside our hotels as efficiently as possible so 
that there is as little impact on our guests. It is only through feedback 
such as yours that we are able to maintain and indeed, where necessary 
improve upon the service that we provide to our valued guests. Once again, 
thank you for your comments and we hope that you choose to stay with us 
again in the future.Read more</v>
      </c>
      <c r="U218" s="4" t="str">
        <f ca="1">IFERROR(__xludf.DUMMYFUNCTION("IMPORTXML(C219,$U$1)"),"Loading...")</f>
        <v>Loading...</v>
      </c>
    </row>
    <row r="219" spans="1:21" ht="15">
      <c r="A219" s="5" t="s">
        <v>13634</v>
      </c>
      <c r="B219" s="17" t="s">
        <v>126</v>
      </c>
      <c r="C219" s="23" t="str">
        <f t="shared" si="0"/>
        <v>https://www.tripadvisor.co.uk/Hotel_Review-g186338-d1812157-Reviews-or1085-Travelodge_London_Waterloo_Hotel-London_England.html#REVIEWS</v>
      </c>
      <c r="D219" s="4" t="str">
        <f ca="1">IFERROR(__xludf.DUMMYFUNCTION("IMPORTXML(C219,$D$1)"),"AnnMudefordDorset wrote a review May 2018Christchurch, United Kingdom137 
contributions64 helpful votes")</f>
        <v>AnnMudefordDorset wrote a review May 2018Christchurch, United Kingdom137 
contributions64 helpful votes</v>
      </c>
      <c r="E219" s="4" t="str">
        <f ca="1">IFERROR(__xludf.DUMMYFUNCTION("""COMPUTED_VALUE"""),"briiliant stay in the refusrbished hotel.I always stay here when in central London and but haven't been for a few 
months so the refurbished hotel was lovely to see. I am reluctant to say 
how good it is because it will be harder to get a room. I had a ro"&amp;"om at the 
top of the hotel it was very comfortable and now with air con. The staff 
are always so friendly and helpful.and the bar a great place for a night 
cap on returning at the end of the day. I am staying again at the end of 
the month and looking "&amp;"forward to it.Read moreReview collected in 
partnership with TravelodgeDate of stay: May 2018HelpfulShare")</f>
        <v>briiliant stay in the refusrbished hotel.I always stay here when in central London and but haven't been for a few 
months so the refurbished hotel was lovely to see. I am reluctant to say 
how good it is because it will be harder to get a room. I had a room at the 
top of the hotel it was very comfortable and now with air con. The staff 
are always so friendly and helpful.and the bar a great place for a night 
cap on returning at the end of the day. I am staying again at the end of 
the month and looking forward to it.Read moreReview collected in 
partnership with TravelodgeDate of stay: May 2018HelpfulShare</v>
      </c>
      <c r="G219" s="24" t="str">
        <f ca="1">IFERROR(__xludf.DUMMYFUNCTION("IMPORTXML(C219, $G$1)"),"Loading...")</f>
        <v>Loading...</v>
      </c>
      <c r="I219" s="21"/>
      <c r="J219" s="21" t="str">
        <f ca="1">IFERROR(__xludf.DUMMYFUNCTION("IMPORTXML(C219, $J$1)"),"TravelbyMM wrote a review May 2018Glasgow, United Kingdom45 contributions7 
helpful votes")</f>
        <v>TravelbyMM wrote a review May 2018Glasgow, United Kingdom45 contributions7 
helpful votes</v>
      </c>
      <c r="K219" s="4" t="str">
        <f ca="1">IFERROR(__xludf.DUMMYFUNCTION("""COMPUTED_VALUE"""),"Best for Tourists! Great location and room.Situated under 5 mins away from Waterloo Train and Underground this 
location was perfect. You are within walking distance to the London EYE, 
West Minster and many other top tourist destinations. On top of the g"&amp;"reat 
location; the breakfast served every morning is perfect to fill you up 
until lunch time after your packed site seeing, there was a great variety 
for all and it was all very delicious. The staff were so lovely to talk to 
and one even offered great"&amp;" bars and eateries for my friend and I to visit 
which I was very grateful for. The room we had was on the 8th floor (we 
requested as high as possible) and it had a great view of the shard which 
was lovely to see every morning. As for comfort and cleanl"&amp;"iness we couldn't 
have asked for any better!Read moreDate of stay: May 2018HelpfulShare")</f>
        <v>Best for Tourists! Great location and room.Situated under 5 mins away from Waterloo Train and Underground this 
location was perfect. You are within walking distance to the London EYE, 
West Minster and many other top tourist destinations. On top of the great 
location; the breakfast served every morning is perfect to fill you up 
until lunch time after your packed site seeing, there was a great variety 
for all and it was all very delicious. The staff were so lovely to talk to 
and one even offered great bars and eateries for my friend and I to visit 
which I was very grateful for. The room we had was on the 8th floor (we 
requested as high as possible) and it had a great view of the shard which 
was lovely to see every morning. As for comfort and cleanliness we couldn't 
have asked for any better!Read moreDate of stay: May 2018HelpfulShare</v>
      </c>
      <c r="L219" s="21"/>
      <c r="M219" s="21" t="str">
        <f ca="1">IFERROR(__xludf.DUMMYFUNCTION("IMPORTXML(C219, $M$1)"),"John &amp; Michele C wrote a review May 2018Exmouth, United Kingdom7 
contributions")</f>
        <v>John &amp; Michele C wrote a review May 2018Exmouth, United Kingdom7 
contributions</v>
      </c>
      <c r="N219" s="4" t="str">
        <f ca="1">IFERROR(__xludf.DUMMYFUNCTION("""COMPUTED_VALUE"""),"Ideal location for our purpose.Loved the new lighting system in our 7th floor superior room. Clean. Just 
the ticket! Good to have the happy hour as well. Short walk from Waterloo 
Station. Great little Italian Restaurant opposite the main stationRead 
mo"&amp;"reDate of stay: May 2018HelpfulShare")</f>
        <v>Ideal location for our purpose.Loved the new lighting system in our 7th floor superior room. Clean. Just 
the ticket! Good to have the happy hour as well. Short walk from Waterloo 
Station. Great little Italian Restaurant opposite the main stationRead 
moreDate of stay: May 2018HelpfulShare</v>
      </c>
      <c r="O219" s="21"/>
      <c r="P219" s="21" t="str">
        <f ca="1">IFERROR(__xludf.DUMMYFUNCTION("IMPORTXML(C219, $P$1)"),"wenstacey wrote a review May 20181 contribution")</f>
        <v>wenstacey wrote a review May 20181 contribution</v>
      </c>
      <c r="Q219" s="4" t="str">
        <f ca="1">IFERROR(__xludf.DUMMYFUNCTION("""COMPUTED_VALUE"""),"Travel Lodge WaterlooExcellent reception staff, made you feel a very special person. Room was 
extremely clean, tidy and had a nice fresh air smell. Very good restaurant 
and bar area was very comfortable and again such pleasant staff.Read 
moreReview col"&amp;"lected in partnership with TravelodgeDate of stay: May 
2018HelpfulShare")</f>
        <v>Travel Lodge WaterlooExcellent reception staff, made you feel a very special person. Room was 
extremely clean, tidy and had a nice fresh air smell. Very good restaurant 
and bar area was very comfortable and again such pleasant staff.Read 
moreReview collected in partnership with TravelodgeDate of stay: May 
2018HelpfulShare</v>
      </c>
      <c r="U219" s="4" t="str">
        <f ca="1">IFERROR(__xludf.DUMMYFUNCTION("IMPORTXML(C220,$U$1)"),"Loading...")</f>
        <v>Loading...</v>
      </c>
    </row>
    <row r="220" spans="1:21" ht="15">
      <c r="A220" s="25" t="s">
        <v>13635</v>
      </c>
      <c r="B220" s="17" t="s">
        <v>126</v>
      </c>
      <c r="C220" s="23" t="str">
        <f t="shared" si="0"/>
        <v>https://www.tripadvisor.co.uk/Hotel_Review-g186338-d1812157-Reviews-or1090-Travelodge_London_Waterloo_Hotel-London_England.html#REVIEWS</v>
      </c>
      <c r="D220" s="4" t="str">
        <f ca="1">IFERROR(__xludf.DUMMYFUNCTION("IMPORTXML(C220,$D$1)"),"Andy H wrote a review May 2018Exeter, United Kingdom3 contributions1 
helpful vote")</f>
        <v>Andy H wrote a review May 2018Exeter, United Kingdom3 contributions1 
helpful vote</v>
      </c>
      <c r="E220" s="4" t="str">
        <f ca="1">IFERROR(__xludf.DUMMYFUNCTION("""COMPUTED_VALUE"""),"Travelodge Waterloo, LondonI booked a 'Super Room' and, apart from fancy lighting &amp; a Lavazzo coffee 
machine, it was not better than an average budget hotel room, but more 
expensive and a smaller room! Despite it being a 'Super Room' WiFi is still 
char"&amp;"geable, ridiculous. The only thing going for this particular Travelodge 
is it's location to Waterloo station. If Travelodge are aiming to rival 
Premier Inn they still have miles to go to even become even.Read moreReview 
collected in partnership with Tr"&amp;"avelodgeDate of stay: May 
2018HelpfulShareResponse from TravelodgeUK, Ben from the Social Media Team 
at Travelodge London Waterloo HotelResponded 17 May 2018Thank you for 
taking the time to share your experience of your stay at our London 
Waterloo Tra"&amp;"velodge with us. We're pleased to learn you enjoyed the 
location of the hotel however we are sorry to learn that you did not find 
our new Super rooms to be of good value. We’re really sorry to learn of 
your disappointment with our WiFi extra. We do not"&amp;" include the cost of this 
extra in our room rates unlike some of our competitors as we believe this 
allows our guests to pay for the services they need so we can continue to 
offer competitive room rates. Feedback is invaluable and a copy of your 
comme"&amp;"nts will be forwarded to the Hotel Manager. Thank you once again and 
we do hope you will stay with us in the future.Read more")</f>
        <v>Travelodge Waterloo, LondonI booked a 'Super Room' and, apart from fancy lighting &amp; a Lavazzo coffee 
machine, it was not better than an average budget hotel room, but more 
expensive and a smaller room! Despite it being a 'Super Room' WiFi is still 
chargeable, ridiculous. The only thing going for this particular Travelodge 
is it's location to Waterloo station. If Travelodge are aiming to rival 
Premier Inn they still have miles to go to even become even.Read moreReview 
collected in partnership with TravelodgeDate of stay: May 
2018HelpfulShareResponse from TravelodgeUK, Ben from the Social Media Team 
at Travelodge London Waterloo HotelResponded 17 May 2018Thank you for 
taking the time to share your experience of your stay at our London 
Waterloo Travelodge with us. We're pleased to learn you enjoyed the 
location of the hotel however we are sorry to learn that you did not find 
our new Super rooms to be of good value. We’re really sorry to learn of 
your disappointment with our WiFi extra. We do not include the cost of this 
extra in our room rates unlike some of our competitors as we believe this 
allows our guests to pay for the services they need so we can continue to 
offer competitive room rates. Feedback is invaluable and a copy of your 
comments will be forwarded to the Hotel Manager. Thank you once again and 
we do hope you will stay with us in the future.Read more</v>
      </c>
      <c r="G220" s="24" t="str">
        <f ca="1">IFERROR(__xludf.DUMMYFUNCTION("IMPORTXML(C220, $G$1)"),"#N/A")</f>
        <v>#N/A</v>
      </c>
      <c r="I220" s="21"/>
      <c r="J220" s="21" t="str">
        <f ca="1">IFERROR(__xludf.DUMMYFUNCTION("IMPORTXML(C220, $J$1)"),"Neal M wrote a review May 2018Coventry, United Kingdom203 contributions39 
helpful votes")</f>
        <v>Neal M wrote a review May 2018Coventry, United Kingdom203 contributions39 
helpful votes</v>
      </c>
      <c r="K220" s="4" t="str">
        <f ca="1">IFERROR(__xludf.DUMMYFUNCTION("""COMPUTED_VALUE"""),"Good hotel to explore LondonVisited this hotel on a Friday night as a stopover before examiner 
training. Location was good as it was very close to a Waterloo station. 
Just make sure you come out the right exit. The room was standard with free 
view tv a"&amp;"nd walk in shower. Had a two course meal with drink for £13.55! So 
for central London was excellent. Just a short walk to IWM and London eye. 
Would love to stay again with family!!Read moreDate of stay: May 
2018HelpfulShare")</f>
        <v>Good hotel to explore LondonVisited this hotel on a Friday night as a stopover before examiner 
training. Location was good as it was very close to a Waterloo station. 
Just make sure you come out the right exit. The room was standard with free 
view tv and walk in shower. Had a two course meal with drink for £13.55! So 
for central London was excellent. Just a short walk to IWM and London eye. 
Would love to stay again with family!!Read moreDate of stay: May 
2018HelpfulShare</v>
      </c>
      <c r="L220" s="21"/>
      <c r="M220" s="21" t="str">
        <f ca="1">IFERROR(__xludf.DUMMYFUNCTION("IMPORTXML(C220, $M$1)"),"orenbob72 wrote a review May 2018Greater Manchester, United Kingdom3 
contributions")</f>
        <v>orenbob72 wrote a review May 2018Greater Manchester, United Kingdom3 
contributions</v>
      </c>
      <c r="N220" s="4" t="str">
        <f ca="1">IFERROR(__xludf.DUMMYFUNCTION("""COMPUTED_VALUE"""),"good location not good customer serviceGood location and o.k. breakfast .Not good customer service.The toilets in 
the room did not work.The second room was facing main road even that we 
asked foe quiet room.There was very little soap in the shower.We fo"&amp;"rgot the 
charger in the room but we rang few hours later to see if it been found 
still nobody had come back to usRead moreReview collected in partnership 
with TravelodgeDate of stay: May 2018HelpfulShareResponse from 
TravelodgeUK, Remy from the Social"&amp;" Media Team at Travelodge London Waterloo 
HotelResponded 13 May 2018Thank you for your review of our London Waterloo 
hotel. We apologise for the issues you experienced during your stay with us 
and we would like to look into this further for you. May we"&amp;" kindly request 
you contact us with your review via our website so our customer service 
team can investigate your comments. Thank you again for posting your 
comments and we hope to hear from you soon.Read more")</f>
        <v>good location not good customer serviceGood location and o.k. breakfast .Not good customer service.The toilets in 
the room did not work.The second room was facing main road even that we 
asked foe quiet room.There was very little soap in the shower.We forgot the 
charger in the room but we rang few hours later to see if it been found 
still nobody had come back to usRead moreReview collected in partnership 
with TravelodgeDate of stay: May 2018HelpfulShareResponse from 
TravelodgeUK, Remy from the Social Media Team at Travelodge London Waterloo 
HotelResponded 13 May 2018Thank you for your review of our London Waterloo 
hotel. We apologise for the issues you experienced during your stay with us 
and we would like to look into this further for you. May we kindly request 
you contact us with your review via our website so our customer service 
team can investigate your comments. Thank you again for posting your 
comments and we hope to hear from you soon.Read more</v>
      </c>
      <c r="O220" s="21"/>
      <c r="P220" s="21" t="str">
        <f ca="1">IFERROR(__xludf.DUMMYFUNCTION("IMPORTXML(C220, $P$1)"),"sandymercer wrote a review May 2018Yeovil, United Kingdom3 contributions")</f>
        <v>sandymercer wrote a review May 2018Yeovil, United Kingdom3 contributions</v>
      </c>
      <c r="Q220" s="4" t="str">
        <f ca="1">IFERROR(__xludf.DUMMYFUNCTION("""COMPUTED_VALUE"""),"Good location.Rooms are clean ,bed was very comfortable cannot fault the hotel good 
breakfast close to the train station and the south bank. most attractions 
are within walking distance. The Shard was an experience not to be 
missed.Read moreReview coll"&amp;"ected in partnership with TravelodgeDate of 
stay: April 2018HelpfulShare")</f>
        <v>Good location.Rooms are clean ,bed was very comfortable cannot fault the hotel good 
breakfast close to the train station and the south bank. most attractions 
are within walking distance. The Shard was an experience not to be 
missed.Read moreReview collected in partnership with TravelodgeDate of 
stay: April 2018HelpfulShare</v>
      </c>
      <c r="U220" s="4" t="str">
        <f ca="1">IFERROR(__xludf.DUMMYFUNCTION("IMPORTXML(C221,$U$1)"),"Loading...")</f>
        <v>Loading...</v>
      </c>
    </row>
    <row r="221" spans="1:21" ht="15">
      <c r="A221" s="25" t="s">
        <v>13636</v>
      </c>
      <c r="B221" s="17" t="s">
        <v>126</v>
      </c>
      <c r="C221" s="23" t="str">
        <f t="shared" si="0"/>
        <v>https://www.tripadvisor.co.uk/Hotel_Review-g186338-d1812157-Reviews-or1095-Travelodge_London_Waterloo_Hotel-London_England.html#REVIEWS</v>
      </c>
      <c r="D221" s="4" t="str">
        <f ca="1">IFERROR(__xludf.DUMMYFUNCTION("IMPORTXML(C221,$D$1)"),"#N/A")</f>
        <v>#N/A</v>
      </c>
      <c r="G221" s="24" t="str">
        <f ca="1">IFERROR(__xludf.DUMMYFUNCTION("IMPORTXML(C221, $G$1)"),"Donnas0411 wrote a review May 20184 contributions10 helpful votes")</f>
        <v>Donnas0411 wrote a review May 20184 contributions10 helpful votes</v>
      </c>
      <c r="H221" s="4" t="str">
        <f ca="1">IFERROR(__xludf.DUMMYFUNCTION("""COMPUTED_VALUE"""),"Very modern, relaxed and friendlyI’ve been coming to this hotel since January due to attending a college 
course monthly. I can honestly say I look forward to coming as it feels 
like my second home. I’ve observed the refurbishment through the months and "&amp;"
they’ve done a terrific job. I cannot fault this hotel at all. Well done to 
all the staff.Read moreDate of stay: May 2018HelpfulShare")</f>
        <v>Very modern, relaxed and friendlyI’ve been coming to this hotel since January due to attending a college 
course monthly. I can honestly say I look forward to coming as it feels 
like my second home. I’ve observed the refurbishment through the months and 
they’ve done a terrific job. I cannot fault this hotel at all. Well done to 
all the staff.Read moreDate of stay: May 2018HelpfulShare</v>
      </c>
      <c r="I221" s="21"/>
      <c r="J221" s="21" t="str">
        <f ca="1">IFERROR(__xludf.DUMMYFUNCTION("IMPORTXML(C221, $J$1)"),"Frank P wrote a review May 2018Stockport, United Kingdom3 contributions2 
helpful votes")</f>
        <v>Frank P wrote a review May 2018Stockport, United Kingdom3 contributions2 
helpful votes</v>
      </c>
      <c r="K221" s="4" t="str">
        <f ca="1">IFERROR(__xludf.DUMMYFUNCTION("""COMPUTED_VALUE"""),"Enjoyable stayReally enjoyed the stay , so easy to get anywhere either by tube or 
walking, hotel was clean and rooms quite spacious, staff were very helpful, 
breakfast was really good , with a choice of cereals and full English was 
freshRead moreReview"&amp;" collected in partnership with this hotelDate of stay: 
April 2018HelpfulShare")</f>
        <v>Enjoyable stayReally enjoyed the stay , so easy to get anywhere either by tube or 
walking, hotel was clean and rooms quite spacious, staff were very helpful, 
breakfast was really good , with a choice of cereals and full English was 
freshRead moreReview collected in partnership with this hotelDate of stay: 
April 2018HelpfulShare</v>
      </c>
      <c r="L221" s="21"/>
      <c r="M221" s="21" t="str">
        <f ca="1">IFERROR(__xludf.DUMMYFUNCTION("IMPORTXML(C221, $M$1)"),"#N/A")</f>
        <v>#N/A</v>
      </c>
      <c r="O221" s="21"/>
      <c r="P221" s="21" t="str">
        <f ca="1">IFERROR(__xludf.DUMMYFUNCTION("IMPORTXML(C221, $P$1)"),"digthegardener wrote a review May 2018cleveland9 contributions1 helpful vote")</f>
        <v>digthegardener wrote a review May 2018cleveland9 contributions1 helpful vote</v>
      </c>
      <c r="Q221" s="4" t="str">
        <f ca="1">IFERROR(__xludf.DUMMYFUNCTION("""COMPUTED_VALUE"""),"weekend breakstayed at this hotel for the fifth time and will be going back in November 
great staff nothing to much bother only thing price of drinks did not 
encourage me to stay however that is not a big issue breakfast fine 
especially when going into"&amp;" townRead moreDate of stay: May 2018HelpfulShare")</f>
        <v>weekend breakstayed at this hotel for the fifth time and will be going back in November 
great staff nothing to much bother only thing price of drinks did not 
encourage me to stay however that is not a big issue breakfast fine 
especially when going into townRead moreDate of stay: May 2018HelpfulShare</v>
      </c>
      <c r="U221" s="4" t="str">
        <f ca="1">IFERROR(__xludf.DUMMYFUNCTION("IMPORTXML(C222,$U$1)"),"Loading...")</f>
        <v>Loading...</v>
      </c>
    </row>
    <row r="222" spans="1:21" ht="15">
      <c r="A222" s="25" t="s">
        <v>13637</v>
      </c>
      <c r="B222" s="17" t="s">
        <v>126</v>
      </c>
      <c r="C222" s="23" t="str">
        <f t="shared" si="0"/>
        <v>https://www.tripadvisor.co.uk/Hotel_Review-g186338-d1812157-Reviews-or1100-Travelodge_London_Waterloo_Hotel-London_England.html#REVIEWS</v>
      </c>
      <c r="D222" s="4" t="str">
        <f ca="1">IFERROR(__xludf.DUMMYFUNCTION("IMPORTXML(C222,$D$1)"),"27richard47 wrote a review May 2018Derby, United Kingdom3 contributions1 
helpful vote")</f>
        <v>27richard47 wrote a review May 2018Derby, United Kingdom3 contributions1 
helpful vote</v>
      </c>
      <c r="E222" s="4" t="str">
        <f ca="1">IFERROR(__xludf.DUMMYFUNCTION("""COMPUTED_VALUE"""),"Good overnight stopGood location. 15 minute walk to London Eye, 25 minutes to Parliament 
square. Good price for central London. Nice room, quiet, good sleep. All 
you can eat breakfast was fine. Great for an overnight theatre trip or day 
out.Read moreRe"&amp;"view collected in partnership with this hotelDate of stay: 
May 2018HelpfulShare")</f>
        <v>Good overnight stopGood location. 15 minute walk to London Eye, 25 minutes to Parliament 
square. Good price for central London. Nice room, quiet, good sleep. All 
you can eat breakfast was fine. Great for an overnight theatre trip or day 
out.Read moreReview collected in partnership with this hotelDate of stay: 
May 2018HelpfulShare</v>
      </c>
      <c r="G222" s="24" t="str">
        <f ca="1">IFERROR(__xludf.DUMMYFUNCTION("IMPORTXML(C222, $G$1)"),"Loading...")</f>
        <v>Loading...</v>
      </c>
      <c r="I222" s="21"/>
      <c r="J222" s="21" t="str">
        <f ca="1">IFERROR(__xludf.DUMMYFUNCTION("IMPORTXML(C222, $J$1)"),"PhotoGraeme wrote a review May 20181,796 contributions102 helpful votes")</f>
        <v>PhotoGraeme wrote a review May 20181,796 contributions102 helpful votes</v>
      </c>
      <c r="K222" s="4" t="str">
        <f ca="1">IFERROR(__xludf.DUMMYFUNCTION("""COMPUTED_VALUE"""),"+1")</f>
        <v>+1</v>
      </c>
      <c r="L222" s="21" t="str">
        <f ca="1">IFERROR(__xludf.DUMMYFUNCTION("""COMPUTED_VALUE"""),"Good ChoiceI needed a hotel near the Southbank of London that wasn’t going to be too 
extortionate, yet was a known quality. This Travelodge is on a few minutes 
walk from Waterloo Station, down south past the Old Vic theatre. It’s 
convenient, easy to fi"&amp;"nd and clean. I had a room facing to the rear of the 
hotel, so did not notice any noise from the main road. The room they gave 
me (as a late booking) was one of their disabled rooms. So large and 
spacious. There is food available at the bar and the roo"&amp;"ms offer 30 minutes 
free WiFi. As a location, just on the outskirts of central London, this 
hotel couldn’t be better. It has great tube, train and bus connections. 
There are plenty of restaurants and cafes nearby if you want to eat 
out.Read moreDate o"&amp;"f stay: May 2018HelpfulShare")</f>
        <v>Good ChoiceI needed a hotel near the Southbank of London that wasn’t going to be too 
extortionate, yet was a known quality. This Travelodge is on a few minutes 
walk from Waterloo Station, down south past the Old Vic theatre. It’s 
convenient, easy to find and clean. I had a room facing to the rear of the 
hotel, so did not notice any noise from the main road. The room they gave 
me (as a late booking) was one of their disabled rooms. So large and 
spacious. There is food available at the bar and the rooms offer 30 minutes 
free WiFi. As a location, just on the outskirts of central London, this 
hotel couldn’t be better. It has great tube, train and bus connections. 
There are plenty of restaurants and cafes nearby if you want to eat 
out.Read moreDate of stay: May 2018HelpfulShare</v>
      </c>
      <c r="M222" s="21" t="str">
        <f ca="1">IFERROR(__xludf.DUMMYFUNCTION("IMPORTXML(C222, $M$1)"),"Jack N wrote a review May 2018Manchester, England, United Kingdom20 
contributions11 helpful votes")</f>
        <v>Jack N wrote a review May 2018Manchester, England, United Kingdom20 
contributions11 helpful votes</v>
      </c>
      <c r="N222" s="4" t="str">
        <f ca="1">IFERROR(__xludf.DUMMYFUNCTION("""COMPUTED_VALUE"""),"Good value, one of the nicer TravelodgesMy preferred Travelodge (if there can be such a thing) really well located, 
clean &amp; comfortable. Staff all very friendly and helpful. Food isn't bad, 
but the rooms have all been recently updated and many feature b"&amp;"ig windows 
that overlook a residential street so there is very little noise.Read 
moreDate of stay: March 2018HelpfulShare")</f>
        <v>Good value, one of the nicer TravelodgesMy preferred Travelodge (if there can be such a thing) really well located, 
clean &amp; comfortable. Staff all very friendly and helpful. Food isn't bad, 
but the rooms have all been recently updated and many feature big windows 
that overlook a residential street so there is very little noise.Read 
moreDate of stay: March 2018HelpfulShare</v>
      </c>
      <c r="O222" s="21"/>
      <c r="P222" s="21" t="str">
        <f ca="1">IFERROR(__xludf.DUMMYFUNCTION("IMPORTXML(C222, $P$1)"),"belmatts13 wrote a review May 20185 contributions1 helpful vote")</f>
        <v>belmatts13 wrote a review May 20185 contributions1 helpful vote</v>
      </c>
      <c r="Q222" s="4" t="str">
        <f ca="1">IFERROR(__xludf.DUMMYFUNCTION("""COMPUTED_VALUE"""),"Great place to stayWe love this travelodge. It is so handy for London Waterloo station and the 
Thames. Loads of great places to see close at hand. We were visiting the 
Royal Festival Hall which was in easy walking distanceRead moreReview 
collected in p"&amp;"artnership with TravelodgeDate of stay: April 2018HelpfulShare")</f>
        <v>Great place to stayWe love this travelodge. It is so handy for London Waterloo station and the 
Thames. Loads of great places to see close at hand. We were visiting the 
Royal Festival Hall which was in easy walking distanceRead moreReview 
collected in partnership with TravelodgeDate of stay: April 2018HelpfulShare</v>
      </c>
      <c r="U222" s="4" t="str">
        <f ca="1">IFERROR(__xludf.DUMMYFUNCTION("IMPORTXML(C223,$U$1)"),"Loading...")</f>
        <v>Loading...</v>
      </c>
    </row>
    <row r="223" spans="1:21" ht="15">
      <c r="A223" s="5" t="s">
        <v>13638</v>
      </c>
      <c r="B223" s="17" t="s">
        <v>126</v>
      </c>
      <c r="C223" s="23" t="str">
        <f t="shared" si="0"/>
        <v>https://www.tripadvisor.co.uk/Hotel_Review-g186338-d1812157-Reviews-or1105-Travelodge_London_Waterloo_Hotel-London_England.html#REVIEWS</v>
      </c>
      <c r="D223" s="4" t="str">
        <f ca="1">IFERROR(__xludf.DUMMYFUNCTION("IMPORTXML(C223,$D$1)"),"Nathan263 wrote a review May 2018St Ives, United Kingdom14 contributions4 
helpful votes")</f>
        <v>Nathan263 wrote a review May 2018St Ives, United Kingdom14 contributions4 
helpful votes</v>
      </c>
      <c r="E223" s="4" t="str">
        <f ca="1">IFERROR(__xludf.DUMMYFUNCTION("""COMPUTED_VALUE"""),"Great location, friendly staffEasy location, friendly and helpful staff. Wifi and everything worked well 
but as paid extra for a 'super room' was disappointed that bed was lumpy, 
there was no bath and there was a persistent funny smell in the corridor, "&amp;"
but would stay againRead moreReview collected in partnership with 
TravelodgeDate of stay: April 2018HelpfulShare")</f>
        <v>Great location, friendly staffEasy location, friendly and helpful staff. Wifi and everything worked well 
but as paid extra for a 'super room' was disappointed that bed was lumpy, 
there was no bath and there was a persistent funny smell in the corridor, 
but would stay againRead moreReview collected in partnership with 
TravelodgeDate of stay: April 2018HelpfulShare</v>
      </c>
      <c r="G223" s="24" t="str">
        <f ca="1">IFERROR(__xludf.DUMMYFUNCTION("IMPORTXML(C223, $G$1)"),"Loading...")</f>
        <v>Loading...</v>
      </c>
      <c r="I223" s="21"/>
      <c r="J223" s="21" t="str">
        <f ca="1">IFERROR(__xludf.DUMMYFUNCTION("IMPORTXML(C223, $J$1)"),"JoeM wrote a review May 2018Bournemouth65 contributions17 helpful votes")</f>
        <v>JoeM wrote a review May 2018Bournemouth65 contributions17 helpful votes</v>
      </c>
      <c r="K223" s="4" t="str">
        <f ca="1">IFERROR(__xludf.DUMMYFUNCTION("""COMPUTED_VALUE"""),"Smelly stay.We had stayed before but this time upgraded to a new super room which 
wasn't any bigger but nice to have the coffee machine. Getting out of the 
lift on the 6th floor we could smell sewage and could smell it in our room 
but the smell cleared"&amp;". Returning to our room later in the evening the smell 
returned. During the night I woke and smell had come back again so I opened 
the window but being on the front was so noisy from the road I couldnt get 
back to sleep. After breakfast we couldn't wai"&amp;"t to leave because of the 
smell. Nice hotel and great location but the sewage smell needs 
sorting.Read moreDate of stay: April 2018HelpfulShareResponse from 
TravelodgeUK, Ben from the Social Media Team at Travelodge London Waterloo 
HotelResponded 3 Ma"&amp;"y 2018Thank you for taking the time to write a review. 
We're pleased to learn you enjoyed the location of the hotel and liked the 
coffee machine in our new Super room. When servicing a room and the public 
areas of the hotel our housekeeping staff will "&amp;"ensure if any smells are 
present, that the rooms are aired and left offline if they believe the room 
to be under the standard we strive for. Thank you again for taking the time 
to provide feedback and we do hope you will choose to stay with us again in"&amp;" 
the future.Read more")</f>
        <v>Smelly stay.We had stayed before but this time upgraded to a new super room which 
wasn't any bigger but nice to have the coffee machine. Getting out of the 
lift on the 6th floor we could smell sewage and could smell it in our room 
but the smell cleared. Returning to our room later in the evening the smell 
returned. During the night I woke and smell had come back again so I opened 
the window but being on the front was so noisy from the road I couldnt get 
back to sleep. After breakfast we couldn't wait to leave because of the 
smell. Nice hotel and great location but the sewage smell needs 
sorting.Read moreDate of stay: April 2018HelpfulShareResponse from 
TravelodgeUK, Ben from the Social Media Team at Travelodge London Waterloo 
HotelResponded 3 May 2018Thank you for taking the time to write a review. 
We're pleased to learn you enjoyed the location of the hotel and liked the 
coffee machine in our new Super room. When servicing a room and the public 
areas of the hotel our housekeeping staff will ensure if any smells are 
present, that the rooms are aired and left offline if they believe the room 
to be under the standard we strive for. Thank you again for taking the time 
to provide feedback and we do hope you will choose to stay with us again in 
the future.Read more</v>
      </c>
      <c r="L223" s="21"/>
      <c r="M223" s="21" t="str">
        <f ca="1">IFERROR(__xludf.DUMMYFUNCTION("IMPORTXML(C223, $M$1)"),"Abigail S wrote a review Apr 20181 contribution")</f>
        <v>Abigail S wrote a review Apr 20181 contribution</v>
      </c>
      <c r="N223" s="4" t="str">
        <f ca="1">IFERROR(__xludf.DUMMYFUNCTION("""COMPUTED_VALUE"""),"Good value for moneyClean room, couldn't hear anyone around us. came back quite late (2am) and 
someone was able to answer the door for us quickly. Clean bathroom, no 
hairs. shower worked perfectly. Good location, close to London eye and a 
couple differ"&amp;"ent pubs that were all really packed (saturday). Chatty staff 
at desk and cleaner welcomed me good morning as I was leaving. Mugs had 
some coffee stains and were dusty though, needed to rinse.Read moreReview 
collected in partnership with TravelodgeDate"&amp;" of stay: May 2017HelpfulShare")</f>
        <v>Good value for moneyClean room, couldn't hear anyone around us. came back quite late (2am) and 
someone was able to answer the door for us quickly. Clean bathroom, no 
hairs. shower worked perfectly. Good location, close to London eye and a 
couple different pubs that were all really packed (saturday). Chatty staff 
at desk and cleaner welcomed me good morning as I was leaving. Mugs had 
some coffee stains and were dusty though, needed to rinse.Read moreReview 
collected in partnership with TravelodgeDate of stay: May 2017HelpfulShare</v>
      </c>
      <c r="O223" s="21"/>
      <c r="P223" s="21" t="str">
        <f ca="1">IFERROR(__xludf.DUMMYFUNCTION("IMPORTXML(C223, $P$1)"),"Wallows wrote a review Apr 2018Europe / Middle East34 contributions28 
helpful votes")</f>
        <v>Wallows wrote a review Apr 2018Europe / Middle East34 contributions28 
helpful votes</v>
      </c>
      <c r="Q223" s="4" t="str">
        <f ca="1">IFERROR(__xludf.DUMMYFUNCTION("""COMPUTED_VALUE"""),"Spotlessly Clean and ComfortableIt's a Travelodge! If you want valet parking and an Olympic pool go 
somewhere else but, if you are seeking a clean, comfortable place, in 
London, which is perfectly satisfactory in so many respects, serves a 
fulsome brea"&amp;"kfast early in the morning, and is fairly priced, then this 
hotel hits the spot. Well done to Sophia and her team, you are all 
delivering an excellent product which is ideal for business travellers. 
Keep doing what you are doing! It's very good!! Thank"&amp;" youRead moreDate of 
stay: April 2018HelpfulShare")</f>
        <v>Spotlessly Clean and ComfortableIt's a Travelodge! If you want valet parking and an Olympic pool go 
somewhere else but, if you are seeking a clean, comfortable place, in 
London, which is perfectly satisfactory in so many respects, serves a 
fulsome breakfast early in the morning, and is fairly priced, then this 
hotel hits the spot. Well done to Sophia and her team, you are all 
delivering an excellent product which is ideal for business travellers. 
Keep doing what you are doing! It's very good!! Thank youRead moreDate of 
stay: April 2018HelpfulShare</v>
      </c>
      <c r="U223" s="4" t="str">
        <f ca="1">IFERROR(__xludf.DUMMYFUNCTION("IMPORTXML(C224,$U$1)"),"Loading...")</f>
        <v>Loading...</v>
      </c>
    </row>
    <row r="224" spans="1:21" ht="15">
      <c r="A224" s="25" t="s">
        <v>13639</v>
      </c>
      <c r="B224" s="17" t="s">
        <v>126</v>
      </c>
      <c r="C224" s="23" t="str">
        <f t="shared" si="0"/>
        <v>https://www.tripadvisor.co.uk/Hotel_Review-g186338-d1812157-Reviews-or1110-Travelodge_London_Waterloo_Hotel-London_England.html#REVIEWS</v>
      </c>
      <c r="D224" s="4" t="str">
        <f ca="1">IFERROR(__xludf.DUMMYFUNCTION("IMPORTXML(C224,$D$1)"),"Jayne G wrote a review Apr 2018Wirral, United Kingdom4 contributions1 
helpful vote")</f>
        <v>Jayne G wrote a review Apr 2018Wirral, United Kingdom4 contributions1 
helpful vote</v>
      </c>
      <c r="E224" s="4" t="str">
        <f ca="1">IFERROR(__xludf.DUMMYFUNCTION("""COMPUTED_VALUE"""),"Waterloo TravelodgeAlways clean, comy beds, friendly helpful staff. Great location easy bus 
from Euston almost to the door.Tube short walk away, for access into London 
Perfect location for London eye &amp; south bank 10 minutes walkRead moreReview 
collecte"&amp;"d in partnership with TravelodgeDate of stay: April 2018HelpfulShare")</f>
        <v>Waterloo TravelodgeAlways clean, comy beds, friendly helpful staff. Great location easy bus 
from Euston almost to the door.Tube short walk away, for access into London 
Perfect location for London eye &amp; south bank 10 minutes walkRead moreReview 
collected in partnership with TravelodgeDate of stay: April 2018HelpfulShare</v>
      </c>
      <c r="G224" s="24" t="str">
        <f ca="1">IFERROR(__xludf.DUMMYFUNCTION("IMPORTXML(C224, $G$1)"),"#N/A")</f>
        <v>#N/A</v>
      </c>
      <c r="I224" s="21"/>
      <c r="J224" s="21" t="str">
        <f ca="1">IFERROR(__xludf.DUMMYFUNCTION("IMPORTXML(C224, $J$1)"),"Liz C wrote a review Apr 2018Bournemouth, United Kingdom2 contributions")</f>
        <v>Liz C wrote a review Apr 2018Bournemouth, United Kingdom2 contributions</v>
      </c>
      <c r="K224" s="4" t="str">
        <f ca="1">IFERROR(__xludf.DUMMYFUNCTION("""COMPUTED_VALUE"""),"Quiet location ; but minutes walk from WaterlooGood, clean modern hotel with friendly, helpful staff. Minutes walk from 
London , Waterloo station, London Eye, Thames etc yet quiet. Good variety 
of foods for breakfast : fresh &amp; lovely coffee - a treat. M"&amp;"y only criticism 
would be the poor quality of loo roll !Read moreReview collected in 
partnership with this hotelDate of stay: April 2018HelpfulShare")</f>
        <v>Quiet location ; but minutes walk from WaterlooGood, clean modern hotel with friendly, helpful staff. Minutes walk from 
London , Waterloo station, London Eye, Thames etc yet quiet. Good variety 
of foods for breakfast : fresh &amp; lovely coffee - a treat. My only criticism 
would be the poor quality of loo roll !Read moreReview collected in 
partnership with this hotelDate of stay: April 2018HelpfulShare</v>
      </c>
      <c r="L224" s="21"/>
      <c r="M224" s="21" t="str">
        <f ca="1">IFERROR(__xludf.DUMMYFUNCTION("IMPORTXML(C224, $M$1)"),"shirene40 wrote a review Apr 2018Dundee, United Kingdom14 contributions2 
helpful votes")</f>
        <v>shirene40 wrote a review Apr 2018Dundee, United Kingdom14 contributions2 
helpful votes</v>
      </c>
      <c r="N224" s="4" t="str">
        <f ca="1">IFERROR(__xludf.DUMMYFUNCTION("""COMPUTED_VALUE"""),"LION KING TRIPStayed from Friday to Sunday - great location, great hotel and all the 
staff are fantastic; my hubby has now stopped being snobby against 
Travelodge and agrees they arte definitely worth staying at in future 
:-)Read moreDate of stay: Apri"&amp;"l 2018HelpfulShare")</f>
        <v>LION KING TRIPStayed from Friday to Sunday - great location, great hotel and all the 
staff are fantastic; my hubby has now stopped being snobby against 
Travelodge and agrees they arte definitely worth staying at in future 
:-)Read moreDate of stay: April 2018HelpfulShare</v>
      </c>
      <c r="O224" s="21"/>
      <c r="P224" s="21" t="str">
        <f ca="1">IFERROR(__xludf.DUMMYFUNCTION("IMPORTXML(C224, $P$1)"),"Julie M wrote a review Apr 2018Melbourne, Australia1 contribution1 helpful 
vote")</f>
        <v>Julie M wrote a review Apr 2018Melbourne, Australia1 contribution1 helpful 
vote</v>
      </c>
      <c r="Q224" s="4" t="str">
        <f ca="1">IFERROR(__xludf.DUMMYFUNCTION("""COMPUTED_VALUE"""),"VLM tripGreat value for money. Great, convenient location. Even got an upgrade to a 
super room. Breakfast both mornings was plentiful and good value. Nice 
touch providing water and bananas for all marathon runnersRead moreReview 
collected in partnershi"&amp;"p with this hotelDate of stay: April 2018HelpfulShare")</f>
        <v>VLM tripGreat value for money. Great, convenient location. Even got an upgrade to a 
super room. Breakfast both mornings was plentiful and good value. Nice 
touch providing water and bananas for all marathon runnersRead moreReview 
collected in partnership with this hotelDate of stay: April 2018HelpfulShare</v>
      </c>
      <c r="U224" s="4" t="str">
        <f ca="1">IFERROR(__xludf.DUMMYFUNCTION("IMPORTXML(C225,$U$1)"),"Loading...")</f>
        <v>Loading...</v>
      </c>
    </row>
    <row r="225" spans="1:21" ht="15">
      <c r="A225" s="25" t="s">
        <v>13640</v>
      </c>
      <c r="B225" s="17" t="s">
        <v>126</v>
      </c>
      <c r="C225" s="23" t="str">
        <f t="shared" si="0"/>
        <v>https://www.tripadvisor.co.uk/Hotel_Review-g186338-d1812157-Reviews-or1115-Travelodge_London_Waterloo_Hotel-London_England.html#REVIEWS</v>
      </c>
      <c r="D225" s="4" t="str">
        <f ca="1">IFERROR(__xludf.DUMMYFUNCTION("IMPORTXML(C225,$D$1)"),"berniekus wrote a review Apr 2018Camberley, United Kingdom75 contributions3 
helpful votes")</f>
        <v>berniekus wrote a review Apr 2018Camberley, United Kingdom75 contributions3 
helpful votes</v>
      </c>
      <c r="E225" s="4" t="str">
        <f ca="1">IFERROR(__xludf.DUMMYFUNCTION("""COMPUTED_VALUE"""),"Good valueGood price for the location. Just ten minutes walk from Waterloo Station, 
so very convenient for us to leave luggage. Very smart, clean room. Quiet 
room at back of hotel. Really friendly and helpful reception staff. 
Overall, a great budget op"&amp;"tionRead moreDate of stay: April 20181 Helpful 
voteHelpfulShare")</f>
        <v>Good valueGood price for the location. Just ten minutes walk from Waterloo Station, 
so very convenient for us to leave luggage. Very smart, clean room. Quiet 
room at back of hotel. Really friendly and helpful reception staff. 
Overall, a great budget optionRead moreDate of stay: April 20181 Helpful 
voteHelpfulShare</v>
      </c>
      <c r="G225" s="24" t="str">
        <f ca="1">IFERROR(__xludf.DUMMYFUNCTION("IMPORTXML(C225, $G$1)"),"Marks1970 wrote a review Apr 201849 contributions7 helpful votes")</f>
        <v>Marks1970 wrote a review Apr 201849 contributions7 helpful votes</v>
      </c>
      <c r="H225" s="4" t="str">
        <f ca="1">IFERROR(__xludf.DUMMYFUNCTION("""COMPUTED_VALUE"""),"Newly Returned HotelStayed here on a Sunday night. About 10 min walk from Waterloo 
Station.Great location. Check in was quick and easy with friendly helpful 
Staff. Arrived at 2.15 but receptionist gave us our room straight away..a 
real bonus. The room "&amp;"was spotlessly clean, newly upgraded. Plenty of 
charging sockets, hairdryer next to mirror, Lavazza Coffee machine, iron 
and board in room and a local power shower. It was a superior room but was 
only £7 extra as I booked weeks before. Kingsize Bed was"&amp;" comfortable and 
fresh, crisp white linen. Bathroom again was spotless and the power shower 
was excellent. The whole hotel was clean, very well presented and the staff 
were all very helpful and extremely friendly. Can't fault this hotel at 
all. Price "&amp;"was great as well.Read moreDate of stay: April 2018HelpfulShare")</f>
        <v>Newly Returned HotelStayed here on a Sunday night. About 10 min walk from Waterloo 
Station.Great location. Check in was quick and easy with friendly helpful 
Staff. Arrived at 2.15 but receptionist gave us our room straight away..a 
real bonus. The room was spotlessly clean, newly upgraded. Plenty of 
charging sockets, hairdryer next to mirror, Lavazza Coffee machine, iron 
and board in room and a local power shower. It was a superior room but was 
only £7 extra as I booked weeks before. Kingsize Bed was comfortable and 
fresh, crisp white linen. Bathroom again was spotless and the power shower 
was excellent. The whole hotel was clean, very well presented and the staff 
were all very helpful and extremely friendly. Can't fault this hotel at 
all. Price was great as well.Read moreDate of stay: April 2018HelpfulShare</v>
      </c>
      <c r="I225" s="21"/>
      <c r="J225" s="21" t="str">
        <f ca="1">IFERROR(__xludf.DUMMYFUNCTION("IMPORTXML(C225, $J$1)"),"jantel17 wrote a review Apr 2018Southampton, United Kingdom2 contributions")</f>
        <v>jantel17 wrote a review Apr 2018Southampton, United Kingdom2 contributions</v>
      </c>
      <c r="K225" s="4" t="str">
        <f ca="1">IFERROR(__xludf.DUMMYFUNCTION("""COMPUTED_VALUE"""),"Very good stayThe hotel was in a good location being only a few minutes walk from 
Waterloo station. It was lovely and clean and fresh having just had a 
refurbishment. The choice at breakfast was excellent and the room we had on 
the third floor was quie"&amp;"t. We also found the staff to very friendly and 
helpful. Felt the price we paid was good value and we would definitely stay 
at this hotel again.Read moreReview collected in partnership with 
TravelodgeDate of stay: April 2018HelpfulShare")</f>
        <v>Very good stayThe hotel was in a good location being only a few minutes walk from 
Waterloo station. It was lovely and clean and fresh having just had a 
refurbishment. The choice at breakfast was excellent and the room we had on 
the third floor was quiet. We also found the staff to very friendly and 
helpful. Felt the price we paid was good value and we would definitely stay 
at this hotel again.Read moreReview collected in partnership with 
TravelodgeDate of stay: April 2018HelpfulShare</v>
      </c>
      <c r="L225" s="21"/>
      <c r="M225" s="21" t="str">
        <f ca="1">IFERROR(__xludf.DUMMYFUNCTION("IMPORTXML(C225, $M$1)"),"rafaelherve wrote a review Apr 2018London, United Kingdom3 contributions1 
helpful vote")</f>
        <v>rafaelherve wrote a review Apr 2018London, United Kingdom3 contributions1 
helpful vote</v>
      </c>
      <c r="N225" s="4" t="str">
        <f ca="1">IFERROR(__xludf.DUMMYFUNCTION("""COMPUTED_VALUE"""),"Best Travelodge I've seen so farNew facilities, nice design of rooms, with very modern appliances. Cleaner 
than the average. Extra niceties in the room (2 chocolate bars on top of 
the usual tea/coffee/milk) Very nice new, clean bathroom.Read moreDate of"&amp;" 
stay: November 2017HelpfulShare")</f>
        <v>Best Travelodge I've seen so farNew facilities, nice design of rooms, with very modern appliances. Cleaner 
than the average. Extra niceties in the room (2 chocolate bars on top of 
the usual tea/coffee/milk) Very nice new, clean bathroom.Read moreDate of 
stay: November 2017HelpfulShare</v>
      </c>
      <c r="O225" s="21"/>
      <c r="P225" s="21" t="str">
        <f ca="1">IFERROR(__xludf.DUMMYFUNCTION("IMPORTXML(C225, $P$1)"),"samroberts928 wrote a review Apr 2018London, United Kingdom2 contributions1 
helpful vote")</f>
        <v>samroberts928 wrote a review Apr 2018London, United Kingdom2 contributions1 
helpful vote</v>
      </c>
      <c r="Q225" s="4" t="str">
        <f ca="1">IFERROR(__xludf.DUMMYFUNCTION("""COMPUTED_VALUE"""),"never AgainFor the money I spent I am totally unsatisfied with the Hotel the floor we 
was on had a funny smell, the housekeepers woke me up at 8 am chatting very 
loudly outside my door even with a do not disturb sign on my door. The 
breakfast was dry a"&amp;"nd I couldn’t eat it. If I could rate you any less I 
would. Also I could not find any staff to speak to when I was checking 
out.Read moreReview collected in partnership with TravelodgeDate of stay: 
April 2018HelpfulShareResponse from TravelodgeUK, Ben "&amp;"from the Social Media 
Team at Travelodge London Waterloo HotelResponded 26 Apr 2018Thank you for 
your feedback. We are really sorry to hear of your experience. Please 
accept our sincerest apologies and we have passed your comments onto the 
hotel manag"&amp;"er as this does not reflect Travelodge standards. Could we 
kindly ask you to contact one of our Customer Services Advisors via our 
website help form with a copy of your review to look into this more 
thoroughly. Thank you again for reviewing our hotel.R"&amp;"ead more")</f>
        <v>never AgainFor the money I spent I am totally unsatisfied with the Hotel the floor we 
was on had a funny smell, the housekeepers woke me up at 8 am chatting very 
loudly outside my door even with a do not disturb sign on my door. The 
breakfast was dry and I couldn’t eat it. If I could rate you any less I 
would. Also I could not find any staff to speak to when I was checking 
out.Read moreReview collected in partnership with TravelodgeDate of stay: 
April 2018HelpfulShareResponse from TravelodgeUK, Ben from the Social Media 
Team at Travelodge London Waterloo HotelResponded 26 Apr 2018Thank you for 
your feedback. We are really sorry to hear of your experience. Please 
accept our sincerest apologies and we have passed your comments onto the 
hotel manager as this does not reflect Travelodge standards. Could we 
kindly ask you to contact one of our Customer Services Advisors via our 
website help form with a copy of your review to look into this more 
thoroughly. Thank you again for reviewing our hotel.Read more</v>
      </c>
      <c r="U225" s="4" t="str">
        <f ca="1">IFERROR(__xludf.DUMMYFUNCTION("IMPORTXML(C226,$U$1)"),"Loading...")</f>
        <v>Loading...</v>
      </c>
    </row>
    <row r="226" spans="1:21" ht="15">
      <c r="A226" s="25" t="s">
        <v>13641</v>
      </c>
      <c r="B226" s="17" t="s">
        <v>126</v>
      </c>
      <c r="C226" s="23" t="str">
        <f t="shared" si="0"/>
        <v>https://www.tripadvisor.co.uk/Hotel_Review-g186338-d1812157-Reviews-or1120-Travelodge_London_Waterloo_Hotel-London_England.html#REVIEWS</v>
      </c>
      <c r="D226" s="4" t="str">
        <f ca="1">IFERROR(__xludf.DUMMYFUNCTION("IMPORTXML(C226,$D$1)"),"melj44 wrote a review Apr 2018Carmarthen, United Kingdom1 contribution")</f>
        <v>melj44 wrote a review Apr 2018Carmarthen, United Kingdom1 contribution</v>
      </c>
      <c r="E226" s="4" t="str">
        <f ca="1">IFERROR(__xludf.DUMMYFUNCTION("""COMPUTED_VALUE"""),"Very good value for Central LondonClean, bright basic room with comfortable bed, coffee machine and good 
shower. Also quiet at night, considering London location. Very close to all 
forms of transport, excellent for business and sightseeing etc.Read 
mor"&amp;"eReview collected in partnership with TravelodgeDate of stay: April 
2018HelpfulShare")</f>
        <v>Very good value for Central LondonClean, bright basic room with comfortable bed, coffee machine and good 
shower. Also quiet at night, considering London location. Very close to all 
forms of transport, excellent for business and sightseeing etc.Read 
moreReview collected in partnership with TravelodgeDate of stay: April 
2018HelpfulShare</v>
      </c>
      <c r="G226" s="24" t="str">
        <f ca="1">IFERROR(__xludf.DUMMYFUNCTION("IMPORTXML(C226, $G$1)"),"19Margaret1952 wrote a review Apr 2018Port Talbot, United Kingdom13 
contributions4 helpful votes")</f>
        <v>19Margaret1952 wrote a review Apr 2018Port Talbot, United Kingdom13 
contributions4 helpful votes</v>
      </c>
      <c r="H226" s="4" t="str">
        <f ca="1">IFERROR(__xludf.DUMMYFUNCTION("""COMPUTED_VALUE"""),"Excellent place to stay ....The stay was great with Mal on reception being particularly helpful and 
friendly. Very well located for Waterloo area. Well maintained clean hotel 
and convenient to get around London. Highly recommend this Travelodge.Read 
mo"&amp;"reReview collected in partnership with TravelodgeDate of stay: April 
2018HelpfulShare")</f>
        <v>Excellent place to stay ....The stay was great with Mal on reception being particularly helpful and 
friendly. Very well located for Waterloo area. Well maintained clean hotel 
and convenient to get around London. Highly recommend this Travelodge.Read 
moreReview collected in partnership with TravelodgeDate of stay: April 
2018HelpfulShare</v>
      </c>
      <c r="I226" s="21"/>
      <c r="J226" s="21" t="str">
        <f ca="1">IFERROR(__xludf.DUMMYFUNCTION("IMPORTXML(C226, $J$1)"),"Rebecca wrote a review Apr 2018Manchester, United Kingdom3 contributions")</f>
        <v>Rebecca wrote a review Apr 2018Manchester, United Kingdom3 contributions</v>
      </c>
      <c r="K226" s="4" t="str">
        <f ca="1">IFERROR(__xludf.DUMMYFUNCTION("""COMPUTED_VALUE"""),"Very GoodCentral location for getting around London, room was clean and fresh and 
staff very friendly and helpful. We were visiting for the London Marathon, 
they put us on a floor with other runners to try and prevent being 
disturbed.Read moreReview co"&amp;"llected in partnership with TravelodgeDate of 
stay: April 2018HelpfulShare")</f>
        <v>Very GoodCentral location for getting around London, room was clean and fresh and 
staff very friendly and helpful. We were visiting for the London Marathon, 
they put us on a floor with other runners to try and prevent being 
disturbed.Read moreReview collected in partnership with TravelodgeDate of 
stay: April 2018HelpfulShare</v>
      </c>
      <c r="L226" s="21"/>
      <c r="M226" s="21" t="str">
        <f ca="1">IFERROR(__xludf.DUMMYFUNCTION("IMPORTXML(C226, $M$1)"),"l0ubaldwin wrote a review Apr 20181 contribution1 helpful vote")</f>
        <v>l0ubaldwin wrote a review Apr 20181 contribution1 helpful vote</v>
      </c>
      <c r="N226" s="4" t="str">
        <f ca="1">IFERROR(__xludf.DUMMYFUNCTION("""COMPUTED_VALUE"""),"Fantastic StayThis hotel is convenient, clean, well equipped and comfortable. The staff 
are friendly and helpful. I stayed here when running the marathon and the 
staff were all encouraging and looked after my belongings after i checked 
out. The bed was"&amp;" very comfortable and the shower was great. I love the 
addition of Air Con and coffee machines to the rooms. Very enjoyable 
stay-thank youRead moreReview collected in partnership with TravelodgeDate 
of stay: April 2018HelpfulShare")</f>
        <v>Fantastic StayThis hotel is convenient, clean, well equipped and comfortable. The staff 
are friendly and helpful. I stayed here when running the marathon and the 
staff were all encouraging and looked after my belongings after i checked 
out. The bed was very comfortable and the shower was great. I love the 
addition of Air Con and coffee machines to the rooms. Very enjoyable 
stay-thank youRead moreReview collected in partnership with TravelodgeDate 
of stay: April 2018HelpfulShare</v>
      </c>
      <c r="O226" s="21"/>
      <c r="P226" s="21" t="str">
        <f ca="1">IFERROR(__xludf.DUMMYFUNCTION("IMPORTXML(C226, $P$1)"),"#N/A")</f>
        <v>#N/A</v>
      </c>
      <c r="U226" s="4" t="str">
        <f ca="1">IFERROR(__xludf.DUMMYFUNCTION("IMPORTXML(C227,$U$1)"),"Loading...")</f>
        <v>Loading...</v>
      </c>
    </row>
    <row r="227" spans="1:21" ht="15">
      <c r="A227" s="5" t="s">
        <v>13642</v>
      </c>
      <c r="B227" s="17" t="s">
        <v>126</v>
      </c>
      <c r="C227" s="23" t="str">
        <f t="shared" si="0"/>
        <v>https://www.tripadvisor.co.uk/Hotel_Review-g186338-d1812157-Reviews-or1125-Travelodge_London_Waterloo_Hotel-London_England.html#REVIEWS</v>
      </c>
      <c r="D227" s="4" t="str">
        <f ca="1">IFERROR(__xludf.DUMMYFUNCTION("IMPORTXML(C227,$D$1)"),"MrsTodt wrote a review Apr 2018Chester, United Kingdom40 contributions13 
helpful votes")</f>
        <v>MrsTodt wrote a review Apr 2018Chester, United Kingdom40 contributions13 
helpful votes</v>
      </c>
      <c r="E227" s="4" t="str">
        <f ca="1">IFERROR(__xludf.DUMMYFUNCTION("""COMPUTED_VALUE"""),"Brand new and great staffI stayed here for a work function as was very pleasantly surprised to find 
a brand new or very recently refurbished hotel with fantastic staff. Would 
highly recommend as the room was huge with a great shower and new fluffy 
whit"&amp;"e towels.Read moreDate of stay: April 2018HelpfulShare")</f>
        <v>Brand new and great staffI stayed here for a work function as was very pleasantly surprised to find 
a brand new or very recently refurbished hotel with fantastic staff. Would 
highly recommend as the room was huge with a great shower and new fluffy 
white towels.Read moreDate of stay: April 2018HelpfulShare</v>
      </c>
      <c r="G227" s="24" t="str">
        <f ca="1">IFERROR(__xludf.DUMMYFUNCTION("IMPORTXML(C227, $G$1)"),"631winnie wrote a review Apr 2018London, United Kingdom2 contributions1 
helpful vote")</f>
        <v>631winnie wrote a review Apr 2018London, United Kingdom2 contributions1 
helpful vote</v>
      </c>
      <c r="H227" s="4" t="str">
        <f ca="1">IFERROR(__xludf.DUMMYFUNCTION("""COMPUTED_VALUE"""),"First stay at Travelodge WaterlooGreat location and very good value for money if booked in advance. Great 
customer service. Comfortable rooms with all the right amenities that were 
needed. Good night's sleep in comfortable beds. Air temperature could be"&amp;" 
adjusted easily..Read moreReview collected in partnership with 
TravelodgeDate of stay: April 2018HelpfulShare")</f>
        <v>First stay at Travelodge WaterlooGreat location and very good value for money if booked in advance. Great 
customer service. Comfortable rooms with all the right amenities that were 
needed. Good night's sleep in comfortable beds. Air temperature could be 
adjusted easily..Read moreReview collected in partnership with 
TravelodgeDate of stay: April 2018HelpfulShare</v>
      </c>
      <c r="I227" s="21"/>
      <c r="J227" s="21" t="str">
        <f ca="1">IFERROR(__xludf.DUMMYFUNCTION("IMPORTXML(C227, $J$1)"),"Pamela R wrote a review Apr 2018Glasgow, United Kingdom3 contributions")</f>
        <v>Pamela R wrote a review Apr 2018Glasgow, United Kingdom3 contributions</v>
      </c>
      <c r="K227" s="4" t="str">
        <f ca="1">IFERROR(__xludf.DUMMYFUNCTION("""COMPUTED_VALUE"""),"Short BreakSome refurbishment work was being carried out during our stay as part of an 
upgrade scheme. Other than one lift being closed for one evening this did 
not impact upon us at all. Friendly staff, great location. Would use 
again,Read moreReview "&amp;"collected in partnership with TravelodgeDate of stay: 
April 2018HelpfulShare")</f>
        <v>Short BreakSome refurbishment work was being carried out during our stay as part of an 
upgrade scheme. Other than one lift being closed for one evening this did 
not impact upon us at all. Friendly staff, great location. Would use 
again,Read moreReview collected in partnership with TravelodgeDate of stay: 
April 2018HelpfulShare</v>
      </c>
      <c r="L227" s="21"/>
      <c r="M227" s="21" t="str">
        <f ca="1">IFERROR(__xludf.DUMMYFUNCTION("IMPORTXML(C227, $M$1)"),"mandydavies wrote a review Apr 2018swansea15 contributions15 helpful votes")</f>
        <v>mandydavies wrote a review Apr 2018swansea15 contributions15 helpful votes</v>
      </c>
      <c r="N227" s="4" t="str">
        <f ca="1">IFERROR(__xludf.DUMMYFUNCTION("""COMPUTED_VALUE"""),"LocationGreat location for underground, nice clean hotel with plenty of bars &amp; 
places to eat close to hotel. Also Tesco express &amp; Sainsbury's near hotel. 
Walk across Waterloo bridge and your in Convent garden, which will take 
20-30 mins from hotel.Read"&amp;" moreReview collected in partnership with 
TravelodgeDate of stay: April 2018HelpfulShare")</f>
        <v>LocationGreat location for underground, nice clean hotel with plenty of bars &amp; 
places to eat close to hotel. Also Tesco express &amp; Sainsbury's near hotel. 
Walk across Waterloo bridge and your in Convent garden, which will take 
20-30 mins from hotel.Read moreReview collected in partnership with 
TravelodgeDate of stay: April 2018HelpfulShare</v>
      </c>
      <c r="O227" s="21"/>
      <c r="P227" s="21" t="str">
        <f ca="1">IFERROR(__xludf.DUMMYFUNCTION("IMPORTXML(C227, $P$1)"),"ThePatersonGang wrote a review Apr 2018Fareham, United Kingdom141 
contributions109 helpful votes")</f>
        <v>ThePatersonGang wrote a review Apr 2018Fareham, United Kingdom141 
contributions109 helpful votes</v>
      </c>
      <c r="Q227" s="4" t="str">
        <f ca="1">IFERROR(__xludf.DUMMYFUNCTION("""COMPUTED_VALUE"""),"PerfectA two day one night stay at the Travelodge London Waterloo. Firstly, hotel 
reception was superb, Tibor especially was very welcoming. We arrived early 
and they were extremely helpful in ensuring we could leave our cases and 
bags and get into Lon"&amp;"don. Double rooms were relatively small, but 
spotlessly clean. No bath, but a shower, but the bathroom was also 
spotless. Breakfast was fantastic, plentiful whether you wanted full 
English or continental and all very, very fresh - one of the better 
br"&amp;"eakfasts I've had in London. Again, I will comment on the friendliness of 
the staff during breakfast, they couldn't be more helpful. Great weekend in 
a great wee hotel.Read moreDate of stay: April 2018HelpfulShare")</f>
        <v>PerfectA two day one night stay at the Travelodge London Waterloo. Firstly, hotel 
reception was superb, Tibor especially was very welcoming. We arrived early 
and they were extremely helpful in ensuring we could leave our cases and 
bags and get into London. Double rooms were relatively small, but 
spotlessly clean. No bath, but a shower, but the bathroom was also 
spotless. Breakfast was fantastic, plentiful whether you wanted full 
English or continental and all very, very fresh - one of the better 
breakfasts I've had in London. Again, I will comment on the friendliness of 
the staff during breakfast, they couldn't be more helpful. Great weekend in 
a great wee hotel.Read moreDate of stay: April 2018HelpfulShare</v>
      </c>
      <c r="U227" s="4" t="str">
        <f ca="1">IFERROR(__xludf.DUMMYFUNCTION("IMPORTXML(C228,$U$1)"),"Loading...")</f>
        <v>Loading...</v>
      </c>
    </row>
    <row r="228" spans="1:21" ht="15">
      <c r="A228" s="25" t="s">
        <v>13643</v>
      </c>
      <c r="B228" s="17" t="s">
        <v>126</v>
      </c>
      <c r="C228" s="23" t="str">
        <f t="shared" si="0"/>
        <v>https://www.tripadvisor.co.uk/Hotel_Review-g186338-d1812157-Reviews-or1130-Travelodge_London_Waterloo_Hotel-London_England.html#REVIEWS</v>
      </c>
      <c r="D228" s="4" t="str">
        <f ca="1">IFERROR(__xludf.DUMMYFUNCTION("IMPORTXML(C228,$D$1)"),"#N/A")</f>
        <v>#N/A</v>
      </c>
      <c r="G228" s="24" t="str">
        <f ca="1">IFERROR(__xludf.DUMMYFUNCTION("IMPORTXML(C228, $G$1)"),"Sally C wrote a review Apr 201812 contributions")</f>
        <v>Sally C wrote a review Apr 201812 contributions</v>
      </c>
      <c r="H228" s="4" t="str">
        <f ca="1">IFERROR(__xludf.DUMMYFUNCTION("""COMPUTED_VALUE"""),"Travelodge WaterlooThis was a fantastic bargain at £34.00 on a Sunday night. I was given a 
superior double room. Very please with the hotel. It’s in a great location 
with many restaurants and fast food eateries near by.Read moreDate of stay: 
April 2018"&amp;"HelpfulShare")</f>
        <v>Travelodge WaterlooThis was a fantastic bargain at £34.00 on a Sunday night. I was given a 
superior double room. Very please with the hotel. It’s in a great location 
with many restaurants and fast food eateries near by.Read moreDate of stay: 
April 2018HelpfulShare</v>
      </c>
      <c r="I228" s="21"/>
      <c r="J228" s="21" t="str">
        <f ca="1">IFERROR(__xludf.DUMMYFUNCTION("IMPORTXML(C228, $J$1)"),"Bullimorepyne86 wrote a review Apr 2018Durham, United Kingdom107 
contributions14 helpful votes")</f>
        <v>Bullimorepyne86 wrote a review Apr 2018Durham, United Kingdom107 
contributions14 helpful votes</v>
      </c>
      <c r="K228" s="4" t="str">
        <f ca="1">IFERROR(__xludf.DUMMYFUNCTION("""COMPUTED_VALUE"""),"+1")</f>
        <v>+1</v>
      </c>
      <c r="L228" s="21" t="str">
        <f ca="1">IFERROR(__xludf.DUMMYFUNCTION("""COMPUTED_VALUE"""),"Fantastic 2 night stayFantastic 2 night stay this week for a trip to London, the hotel was under 
going a refurbishment however this did not affect our stay at all. All the 
staff were friendly, chatty, polite and helpful. We arrived before check in 
time"&amp;" and were able to drop our luggage off for the day (I did pre call and 
check this before booking). We didn't check in till 11pm but it was easy 
and quick. There were 3 of us (adults) and we booked a family room which 
was HUGE and refurbished to a high "&amp;"standard. Honestly couldn't believe how 
modern and lovely the room was for the price. We left bags for the day on 
check out day and again easy to do and so handy being able to do that. This 
hotel is less than a 5 minute walk from Waterloo, its central,"&amp;" clean, 
modern and an excellent hotel. This…Read moreDate of stay: April 
2018HelpfulShare")</f>
        <v>Fantastic 2 night stayFantastic 2 night stay this week for a trip to London, the hotel was under 
going a refurbishment however this did not affect our stay at all. All the 
staff were friendly, chatty, polite and helpful. We arrived before check in 
time and were able to drop our luggage off for the day (I did pre call and 
check this before booking). We didn't check in till 11pm but it was easy 
and quick. There were 3 of us (adults) and we booked a family room which 
was HUGE and refurbished to a high standard. Honestly couldn't believe how 
modern and lovely the room was for the price. We left bags for the day on 
check out day and again easy to do and so handy being able to do that. This 
hotel is less than a 5 minute walk from Waterloo, its central, clean, 
modern and an excellent hotel. This…Read moreDate of stay: April 
2018HelpfulShare</v>
      </c>
      <c r="M228" s="21" t="str">
        <f ca="1">IFERROR(__xludf.DUMMYFUNCTION("IMPORTXML(C228, $M$1)"),"joelong26 wrote a review Apr 2018Folkestone, United Kingdom1 contribution")</f>
        <v>joelong26 wrote a review Apr 2018Folkestone, United Kingdom1 contribution</v>
      </c>
      <c r="N228" s="4" t="str">
        <f ca="1">IFERROR(__xludf.DUMMYFUNCTION("""COMPUTED_VALUE"""),"Great stayNice hotel and room, what a shower oh my god it's like a tropical 
waterfall, lush! Food was delicious and tasty and filling because of the 
big portions and the bar was well stocked. Deborah and Aliyah made us feel 
right at home. Nice one trav"&amp;"elodge ��Read moreDate of stay: April 
2018HelpfulShare")</f>
        <v>Great stayNice hotel and room, what a shower oh my god it's like a tropical 
waterfall, lush! Food was delicious and tasty and filling because of the 
big portions and the bar was well stocked. Deborah and Aliyah made us feel 
right at home. Nice one travelodge ��Read moreDate of stay: April 
2018HelpfulShare</v>
      </c>
      <c r="O228" s="21"/>
      <c r="P228" s="21" t="str">
        <f ca="1">IFERROR(__xludf.DUMMYFUNCTION("IMPORTXML(C228, $P$1)"),"PreviousNext1…222223224225226227")</f>
        <v>PreviousNext1…222223224225226227</v>
      </c>
      <c r="U228" s="4" t="str">
        <f ca="1">IFERROR(__xludf.DUMMYFUNCTION("IMPORTXML(C229,$U$1)"),"#VALUE!")</f>
        <v>#VALUE!</v>
      </c>
    </row>
    <row r="229" spans="1:21" ht="13">
      <c r="A229" s="26">
        <f ca="1">SUM(C229:R229)</f>
        <v>921</v>
      </c>
      <c r="E229" s="4">
        <f t="shared" ref="E229:F229" ca="1" si="1">COUNTA(E2:E228)</f>
        <v>176</v>
      </c>
      <c r="F229" s="4">
        <f t="shared" ca="1" si="1"/>
        <v>1</v>
      </c>
      <c r="H229" s="4">
        <f t="shared" ref="H229:I229" ca="1" si="2">COUNTA(H2:H228)</f>
        <v>177</v>
      </c>
      <c r="I229" s="4">
        <f t="shared" ca="1" si="2"/>
        <v>1</v>
      </c>
      <c r="K229" s="4">
        <f t="shared" ref="K229:L229" ca="1" si="3">COUNTA(K2:K228)</f>
        <v>186</v>
      </c>
      <c r="L229" s="4">
        <f t="shared" ca="1" si="3"/>
        <v>5</v>
      </c>
      <c r="N229" s="4">
        <f t="shared" ref="N229:O229" ca="1" si="4">COUNTA(N2:N228)</f>
        <v>186</v>
      </c>
      <c r="O229" s="4">
        <f t="shared" ca="1" si="4"/>
        <v>2</v>
      </c>
      <c r="Q229" s="4">
        <f t="shared" ref="Q229:R229" ca="1" si="5">COUNTA(Q2:Q228)</f>
        <v>183</v>
      </c>
      <c r="R229" s="4">
        <f t="shared" ca="1" si="5"/>
        <v>4</v>
      </c>
      <c r="U229" s="4" t="str">
        <f ca="1">IFERROR(__xludf.DUMMYFUNCTION("IMPORTXML(C230,$U$1)"),"#VALUE!")</f>
        <v>#VALUE!</v>
      </c>
    </row>
    <row r="230" spans="1:21" ht="13">
      <c r="A230" s="27">
        <f ca="1">A229/1130</f>
        <v>0.81504424778761064</v>
      </c>
    </row>
    <row r="231" spans="1:21" ht="15">
      <c r="B231" s="17"/>
      <c r="G231" s="24"/>
      <c r="I231" s="21"/>
      <c r="J231" s="21"/>
      <c r="L231" s="21"/>
      <c r="M231" s="21"/>
      <c r="O231" s="21"/>
      <c r="P231" s="21"/>
    </row>
    <row r="232" spans="1:21" ht="15">
      <c r="A232" s="25"/>
      <c r="B232" s="17"/>
      <c r="G232" s="24"/>
      <c r="I232" s="21"/>
      <c r="J232" s="21"/>
      <c r="L232" s="21"/>
      <c r="M232" s="21"/>
      <c r="O232" s="21"/>
      <c r="P232" s="21"/>
    </row>
    <row r="233" spans="1:21" ht="15">
      <c r="A233" s="25"/>
      <c r="B233" s="17"/>
      <c r="G233" s="24"/>
      <c r="I233" s="21"/>
      <c r="J233" s="21"/>
      <c r="L233" s="21"/>
      <c r="M233" s="21"/>
      <c r="O233" s="21"/>
      <c r="P233" s="21"/>
    </row>
    <row r="234" spans="1:21" ht="15">
      <c r="B234" s="17"/>
      <c r="G234" s="24"/>
      <c r="I234" s="21"/>
      <c r="J234" s="21"/>
      <c r="L234" s="21"/>
      <c r="M234" s="21"/>
      <c r="O234" s="21"/>
      <c r="P234" s="21"/>
    </row>
    <row r="235" spans="1:21" ht="15">
      <c r="A235" s="25"/>
      <c r="B235" s="17"/>
      <c r="G235" s="24"/>
      <c r="I235" s="21"/>
      <c r="J235" s="21"/>
      <c r="L235" s="21"/>
      <c r="M235" s="21"/>
      <c r="O235" s="21"/>
      <c r="P235" s="21"/>
    </row>
    <row r="236" spans="1:21" ht="15">
      <c r="A236" s="25"/>
      <c r="B236" s="17"/>
      <c r="G236" s="24"/>
      <c r="I236" s="21"/>
      <c r="J236" s="21"/>
      <c r="L236" s="21"/>
      <c r="M236" s="21"/>
      <c r="O236" s="21"/>
      <c r="P236" s="21"/>
    </row>
    <row r="237" spans="1:21" ht="15">
      <c r="B237" s="17"/>
      <c r="G237" s="24"/>
      <c r="I237" s="21"/>
      <c r="J237" s="21"/>
      <c r="L237" s="21"/>
      <c r="M237" s="21"/>
      <c r="O237" s="21"/>
      <c r="P237" s="21"/>
    </row>
    <row r="238" spans="1:21" ht="15">
      <c r="A238" s="25"/>
      <c r="B238" s="17"/>
      <c r="G238" s="24"/>
      <c r="I238" s="21"/>
      <c r="J238" s="21"/>
      <c r="L238" s="21"/>
      <c r="M238" s="21"/>
      <c r="O238" s="21"/>
      <c r="P238" s="21"/>
    </row>
    <row r="239" spans="1:21" ht="15">
      <c r="A239" s="25"/>
      <c r="B239" s="17"/>
      <c r="G239" s="24"/>
      <c r="I239" s="21"/>
      <c r="J239" s="21"/>
      <c r="L239" s="21"/>
      <c r="M239" s="21"/>
      <c r="O239" s="21"/>
      <c r="P239" s="21"/>
    </row>
    <row r="240" spans="1:21" ht="15">
      <c r="B240" s="17"/>
      <c r="G240" s="24"/>
      <c r="I240" s="21"/>
      <c r="J240" s="21"/>
      <c r="L240" s="21"/>
      <c r="M240" s="21"/>
      <c r="O240" s="21"/>
      <c r="P240" s="21"/>
    </row>
    <row r="241" spans="1:16" ht="15">
      <c r="A241" s="25"/>
      <c r="B241" s="17"/>
      <c r="G241" s="24"/>
      <c r="I241" s="21"/>
      <c r="J241" s="21"/>
      <c r="L241" s="21"/>
      <c r="M241" s="21"/>
      <c r="O241" s="21"/>
      <c r="P241" s="21"/>
    </row>
    <row r="242" spans="1:16" ht="15">
      <c r="A242" s="25"/>
      <c r="B242" s="17"/>
      <c r="G242" s="24"/>
      <c r="I242" s="21"/>
      <c r="J242" s="21"/>
      <c r="L242" s="21"/>
      <c r="M242" s="21"/>
      <c r="O242" s="21"/>
      <c r="P242" s="21"/>
    </row>
    <row r="243" spans="1:16" ht="15">
      <c r="B243" s="17"/>
      <c r="G243" s="24"/>
      <c r="I243" s="21"/>
      <c r="J243" s="21"/>
      <c r="L243" s="21"/>
      <c r="M243" s="21"/>
      <c r="O243" s="21"/>
      <c r="P243" s="21"/>
    </row>
    <row r="244" spans="1:16" ht="15">
      <c r="A244" s="25"/>
      <c r="B244" s="17"/>
      <c r="G244" s="24"/>
      <c r="I244" s="21"/>
      <c r="J244" s="21"/>
      <c r="L244" s="21"/>
      <c r="M244" s="21"/>
      <c r="O244" s="21"/>
      <c r="P244" s="21"/>
    </row>
    <row r="245" spans="1:16" ht="15">
      <c r="A245" s="25"/>
      <c r="B245" s="17"/>
      <c r="G245" s="24"/>
      <c r="I245" s="21"/>
      <c r="J245" s="21"/>
      <c r="L245" s="21"/>
      <c r="M245" s="21"/>
      <c r="O245" s="21"/>
      <c r="P245" s="21"/>
    </row>
    <row r="246" spans="1:16" ht="15">
      <c r="B246" s="17"/>
      <c r="G246" s="24"/>
      <c r="I246" s="21"/>
      <c r="J246" s="21"/>
      <c r="L246" s="21"/>
      <c r="M246" s="21"/>
      <c r="O246" s="21"/>
      <c r="P246" s="21"/>
    </row>
    <row r="247" spans="1:16" ht="15">
      <c r="A247" s="25"/>
      <c r="B247" s="17"/>
      <c r="G247" s="24"/>
      <c r="I247" s="21"/>
      <c r="J247" s="21"/>
      <c r="L247" s="21"/>
      <c r="M247" s="21"/>
      <c r="O247" s="21"/>
      <c r="P247" s="21"/>
    </row>
    <row r="248" spans="1:16" ht="15">
      <c r="A248" s="25"/>
      <c r="B248" s="17"/>
      <c r="G248" s="24"/>
      <c r="I248" s="21"/>
      <c r="J248" s="21"/>
      <c r="L248" s="21"/>
      <c r="M248" s="21"/>
      <c r="O248" s="21"/>
      <c r="P248" s="21"/>
    </row>
    <row r="249" spans="1:16" ht="15">
      <c r="B249" s="17"/>
      <c r="G249" s="24"/>
      <c r="I249" s="21"/>
      <c r="J249" s="21"/>
      <c r="L249" s="21"/>
      <c r="M249" s="21"/>
      <c r="O249" s="21"/>
      <c r="P249" s="21"/>
    </row>
    <row r="250" spans="1:16" ht="15">
      <c r="A250" s="25"/>
      <c r="B250" s="17"/>
      <c r="G250" s="24"/>
      <c r="I250" s="21"/>
      <c r="J250" s="21"/>
      <c r="L250" s="21"/>
      <c r="M250" s="21"/>
      <c r="O250" s="21"/>
      <c r="P250" s="21"/>
    </row>
    <row r="251" spans="1:16" ht="15">
      <c r="A251" s="25"/>
      <c r="B251" s="17"/>
      <c r="G251" s="24"/>
      <c r="I251" s="21"/>
      <c r="J251" s="21"/>
      <c r="L251" s="21"/>
      <c r="M251" s="21"/>
      <c r="O251" s="21"/>
      <c r="P251" s="21"/>
    </row>
    <row r="252" spans="1:16" ht="15">
      <c r="B252" s="17"/>
      <c r="G252" s="24"/>
      <c r="I252" s="21"/>
      <c r="J252" s="21"/>
      <c r="L252" s="21"/>
      <c r="M252" s="21"/>
      <c r="O252" s="21"/>
      <c r="P252" s="21"/>
    </row>
    <row r="253" spans="1:16" ht="15">
      <c r="A253" s="25"/>
      <c r="B253" s="17"/>
      <c r="G253" s="24"/>
      <c r="I253" s="21"/>
      <c r="J253" s="21"/>
      <c r="L253" s="21"/>
      <c r="M253" s="21"/>
      <c r="O253" s="21"/>
      <c r="P253" s="21"/>
    </row>
    <row r="254" spans="1:16" ht="15">
      <c r="A254" s="25"/>
      <c r="B254" s="17"/>
      <c r="G254" s="24"/>
      <c r="I254" s="21"/>
      <c r="J254" s="21"/>
      <c r="L254" s="21"/>
      <c r="M254" s="21"/>
      <c r="O254" s="21"/>
      <c r="P254" s="21"/>
    </row>
    <row r="255" spans="1:16" ht="15">
      <c r="B255" s="17"/>
      <c r="G255" s="24"/>
      <c r="I255" s="21"/>
      <c r="J255" s="21"/>
      <c r="L255" s="21"/>
      <c r="M255" s="21"/>
      <c r="O255" s="21"/>
      <c r="P255" s="21"/>
    </row>
    <row r="256" spans="1:16" ht="15">
      <c r="A256" s="25"/>
      <c r="B256" s="17"/>
      <c r="G256" s="24"/>
      <c r="I256" s="21"/>
      <c r="J256" s="21"/>
      <c r="L256" s="21"/>
      <c r="M256" s="21"/>
      <c r="O256" s="21"/>
      <c r="P256" s="21"/>
    </row>
    <row r="257" spans="1:16" ht="15">
      <c r="A257" s="25"/>
      <c r="B257" s="17"/>
      <c r="G257" s="24"/>
      <c r="I257" s="21"/>
      <c r="J257" s="21"/>
      <c r="L257" s="21"/>
      <c r="M257" s="21"/>
      <c r="O257" s="21"/>
      <c r="P257" s="21"/>
    </row>
    <row r="258" spans="1:16" ht="15">
      <c r="B258" s="17"/>
      <c r="G258" s="24"/>
      <c r="I258" s="21"/>
      <c r="J258" s="21"/>
      <c r="L258" s="21"/>
      <c r="M258" s="21"/>
      <c r="O258" s="21"/>
      <c r="P258" s="21"/>
    </row>
    <row r="259" spans="1:16" ht="15">
      <c r="A259" s="25"/>
      <c r="B259" s="17"/>
      <c r="G259" s="24"/>
      <c r="I259" s="21"/>
      <c r="J259" s="21"/>
      <c r="L259" s="21"/>
      <c r="M259" s="21"/>
      <c r="O259" s="21"/>
      <c r="P259" s="21"/>
    </row>
    <row r="260" spans="1:16" ht="15">
      <c r="A260" s="25"/>
      <c r="B260" s="17"/>
      <c r="G260" s="24"/>
      <c r="I260" s="21"/>
      <c r="J260" s="21"/>
      <c r="L260" s="21"/>
      <c r="M260" s="21"/>
      <c r="O260" s="21"/>
      <c r="P260" s="21"/>
    </row>
    <row r="261" spans="1:16" ht="15">
      <c r="B261" s="17"/>
      <c r="G261" s="24"/>
      <c r="I261" s="21"/>
      <c r="J261" s="21"/>
      <c r="L261" s="21"/>
      <c r="M261" s="21"/>
      <c r="O261" s="21"/>
      <c r="P261" s="21"/>
    </row>
    <row r="262" spans="1:16" ht="15">
      <c r="A262" s="25"/>
      <c r="B262" s="17"/>
      <c r="G262" s="24"/>
      <c r="I262" s="21"/>
      <c r="J262" s="21"/>
      <c r="L262" s="21"/>
      <c r="M262" s="21"/>
      <c r="O262" s="21"/>
      <c r="P262" s="21"/>
    </row>
    <row r="263" spans="1:16" ht="15">
      <c r="A263" s="25"/>
      <c r="B263" s="17"/>
      <c r="G263" s="24"/>
      <c r="I263" s="21"/>
      <c r="J263" s="21"/>
      <c r="L263" s="21"/>
      <c r="M263" s="21"/>
      <c r="O263" s="21"/>
      <c r="P263" s="21"/>
    </row>
    <row r="264" spans="1:16" ht="15">
      <c r="B264" s="17"/>
      <c r="G264" s="24"/>
      <c r="I264" s="21"/>
      <c r="J264" s="21"/>
      <c r="L264" s="21"/>
      <c r="M264" s="21"/>
      <c r="O264" s="21"/>
      <c r="P264" s="21"/>
    </row>
    <row r="265" spans="1:16" ht="15">
      <c r="A265" s="25"/>
      <c r="B265" s="17"/>
      <c r="G265" s="24"/>
      <c r="I265" s="21"/>
      <c r="J265" s="21"/>
      <c r="L265" s="21"/>
      <c r="M265" s="21"/>
      <c r="O265" s="21"/>
      <c r="P265" s="21"/>
    </row>
    <row r="266" spans="1:16" ht="15">
      <c r="A266" s="25"/>
      <c r="B266" s="17"/>
      <c r="G266" s="24"/>
      <c r="I266" s="21"/>
      <c r="J266" s="21"/>
      <c r="L266" s="21"/>
      <c r="M266" s="21"/>
      <c r="O266" s="21"/>
      <c r="P266" s="21"/>
    </row>
    <row r="267" spans="1:16" ht="15">
      <c r="B267" s="17"/>
      <c r="G267" s="24"/>
      <c r="I267" s="21"/>
      <c r="J267" s="21"/>
      <c r="L267" s="21"/>
      <c r="M267" s="21"/>
      <c r="O267" s="21"/>
      <c r="P267" s="21"/>
    </row>
    <row r="268" spans="1:16" ht="15">
      <c r="A268" s="25"/>
      <c r="B268" s="17"/>
      <c r="G268" s="24"/>
      <c r="I268" s="21"/>
      <c r="J268" s="21"/>
      <c r="L268" s="21"/>
      <c r="M268" s="21"/>
      <c r="O268" s="21"/>
      <c r="P268" s="21"/>
    </row>
    <row r="269" spans="1:16" ht="15">
      <c r="A269" s="25"/>
      <c r="B269" s="17"/>
      <c r="G269" s="24"/>
      <c r="I269" s="21"/>
      <c r="J269" s="21"/>
      <c r="L269" s="21"/>
      <c r="M269" s="21"/>
      <c r="O269" s="21"/>
      <c r="P269" s="21"/>
    </row>
    <row r="270" spans="1:16" ht="15">
      <c r="B270" s="17"/>
      <c r="G270" s="24"/>
      <c r="I270" s="21"/>
      <c r="J270" s="21"/>
      <c r="L270" s="21"/>
      <c r="M270" s="21"/>
      <c r="O270" s="21"/>
      <c r="P270" s="21"/>
    </row>
    <row r="271" spans="1:16" ht="15">
      <c r="A271" s="25"/>
      <c r="B271" s="17"/>
      <c r="G271" s="24"/>
      <c r="I271" s="21"/>
      <c r="J271" s="21"/>
      <c r="L271" s="21"/>
      <c r="M271" s="21"/>
      <c r="O271" s="21"/>
      <c r="P271" s="21"/>
    </row>
    <row r="272" spans="1:16" ht="15">
      <c r="A272" s="25"/>
      <c r="B272" s="17"/>
      <c r="G272" s="24"/>
      <c r="I272" s="21"/>
      <c r="J272" s="21"/>
      <c r="L272" s="21"/>
      <c r="M272" s="21"/>
      <c r="O272" s="21"/>
      <c r="P272" s="21"/>
    </row>
    <row r="273" spans="1:16" ht="15">
      <c r="B273" s="17"/>
      <c r="G273" s="24"/>
      <c r="I273" s="21"/>
      <c r="J273" s="21"/>
      <c r="L273" s="21"/>
      <c r="M273" s="21"/>
      <c r="O273" s="21"/>
      <c r="P273" s="21"/>
    </row>
    <row r="274" spans="1:16" ht="15">
      <c r="A274" s="25"/>
      <c r="B274" s="17"/>
      <c r="G274" s="24"/>
      <c r="I274" s="21"/>
      <c r="J274" s="21"/>
      <c r="L274" s="21"/>
      <c r="M274" s="21"/>
      <c r="O274" s="21"/>
      <c r="P274" s="21"/>
    </row>
    <row r="275" spans="1:16" ht="15">
      <c r="A275" s="25"/>
      <c r="B275" s="17"/>
      <c r="G275" s="24"/>
      <c r="I275" s="21"/>
      <c r="J275" s="21"/>
      <c r="L275" s="21"/>
      <c r="M275" s="21"/>
      <c r="O275" s="21"/>
      <c r="P275" s="21"/>
    </row>
    <row r="276" spans="1:16" ht="15">
      <c r="B276" s="17"/>
      <c r="G276" s="24"/>
      <c r="I276" s="21"/>
      <c r="J276" s="21"/>
      <c r="L276" s="21"/>
      <c r="M276" s="21"/>
      <c r="O276" s="21"/>
      <c r="P276" s="21"/>
    </row>
    <row r="277" spans="1:16" ht="15">
      <c r="A277" s="25"/>
      <c r="B277" s="17"/>
      <c r="G277" s="24"/>
      <c r="I277" s="21"/>
      <c r="J277" s="21"/>
      <c r="L277" s="21"/>
      <c r="M277" s="21"/>
      <c r="O277" s="21"/>
      <c r="P277" s="21"/>
    </row>
    <row r="278" spans="1:16" ht="15">
      <c r="A278" s="25"/>
      <c r="B278" s="17"/>
      <c r="G278" s="24"/>
      <c r="I278" s="21"/>
      <c r="J278" s="21"/>
      <c r="L278" s="21"/>
      <c r="M278" s="21"/>
      <c r="O278" s="21"/>
      <c r="P278" s="21"/>
    </row>
    <row r="279" spans="1:16" ht="15">
      <c r="B279" s="17"/>
      <c r="G279" s="24"/>
      <c r="I279" s="21"/>
      <c r="J279" s="21"/>
      <c r="L279" s="21"/>
      <c r="M279" s="21"/>
      <c r="O279" s="21"/>
      <c r="P279" s="21"/>
    </row>
    <row r="280" spans="1:16" ht="15">
      <c r="A280" s="25"/>
      <c r="B280" s="17"/>
      <c r="G280" s="24"/>
      <c r="I280" s="21"/>
      <c r="J280" s="21"/>
      <c r="L280" s="21"/>
      <c r="M280" s="21"/>
      <c r="O280" s="21"/>
      <c r="P280" s="21"/>
    </row>
    <row r="281" spans="1:16" ht="15">
      <c r="A281" s="25"/>
      <c r="B281" s="17"/>
      <c r="G281" s="24"/>
      <c r="I281" s="21"/>
      <c r="J281" s="21"/>
      <c r="L281" s="21"/>
      <c r="M281" s="21"/>
      <c r="O281" s="21"/>
      <c r="P281" s="21"/>
    </row>
    <row r="282" spans="1:16" ht="15">
      <c r="B282" s="17"/>
      <c r="G282" s="24"/>
      <c r="I282" s="21"/>
      <c r="J282" s="21"/>
      <c r="L282" s="21"/>
      <c r="M282" s="21"/>
      <c r="O282" s="21"/>
      <c r="P282" s="21"/>
    </row>
    <row r="283" spans="1:16" ht="15">
      <c r="A283" s="25"/>
      <c r="B283" s="17"/>
      <c r="G283" s="24"/>
      <c r="I283" s="21"/>
      <c r="J283" s="21"/>
      <c r="L283" s="21"/>
      <c r="M283" s="21"/>
      <c r="O283" s="21"/>
      <c r="P283" s="21"/>
    </row>
    <row r="284" spans="1:16" ht="15">
      <c r="A284" s="25"/>
      <c r="B284" s="17"/>
      <c r="G284" s="24"/>
      <c r="I284" s="21"/>
      <c r="J284" s="21"/>
      <c r="L284" s="21"/>
      <c r="M284" s="21"/>
      <c r="O284" s="21"/>
      <c r="P284" s="21"/>
    </row>
    <row r="285" spans="1:16" ht="15">
      <c r="B285" s="17"/>
      <c r="G285" s="24"/>
      <c r="I285" s="21"/>
      <c r="J285" s="21"/>
      <c r="L285" s="21"/>
      <c r="M285" s="21"/>
      <c r="O285" s="21"/>
      <c r="P285" s="21"/>
    </row>
    <row r="286" spans="1:16" ht="15">
      <c r="A286" s="25"/>
      <c r="B286" s="17"/>
      <c r="G286" s="24"/>
      <c r="I286" s="21"/>
      <c r="J286" s="21"/>
      <c r="L286" s="21"/>
      <c r="M286" s="21"/>
      <c r="O286" s="21"/>
      <c r="P286" s="21"/>
    </row>
    <row r="287" spans="1:16" ht="15">
      <c r="A287" s="25"/>
      <c r="B287" s="17"/>
      <c r="G287" s="24"/>
      <c r="I287" s="21"/>
      <c r="J287" s="21"/>
      <c r="L287" s="21"/>
      <c r="M287" s="21"/>
      <c r="O287" s="21"/>
      <c r="P287" s="21"/>
    </row>
    <row r="288" spans="1:16" ht="15">
      <c r="B288" s="17"/>
      <c r="G288" s="24"/>
      <c r="I288" s="21"/>
      <c r="J288" s="21"/>
      <c r="L288" s="21"/>
      <c r="M288" s="21"/>
      <c r="O288" s="21"/>
      <c r="P288" s="21"/>
    </row>
    <row r="289" spans="1:16" ht="15">
      <c r="A289" s="25"/>
      <c r="B289" s="17"/>
      <c r="G289" s="24"/>
      <c r="I289" s="21"/>
      <c r="J289" s="21"/>
      <c r="L289" s="21"/>
      <c r="M289" s="21"/>
      <c r="O289" s="21"/>
      <c r="P289" s="21"/>
    </row>
    <row r="290" spans="1:16" ht="15">
      <c r="A290" s="25"/>
      <c r="B290" s="17"/>
      <c r="G290" s="24"/>
      <c r="I290" s="21"/>
      <c r="J290" s="21"/>
      <c r="L290" s="21"/>
      <c r="M290" s="21"/>
      <c r="O290" s="21"/>
      <c r="P290" s="21"/>
    </row>
    <row r="291" spans="1:16" ht="15">
      <c r="B291" s="17"/>
      <c r="G291" s="24"/>
      <c r="I291" s="21"/>
      <c r="J291" s="21"/>
      <c r="L291" s="21"/>
      <c r="M291" s="21"/>
      <c r="O291" s="21"/>
      <c r="P291" s="21"/>
    </row>
    <row r="292" spans="1:16" ht="15">
      <c r="A292" s="25"/>
      <c r="B292" s="17"/>
      <c r="G292" s="24"/>
      <c r="I292" s="21"/>
      <c r="J292" s="21"/>
      <c r="L292" s="21"/>
      <c r="M292" s="21"/>
      <c r="O292" s="21"/>
      <c r="P292" s="21"/>
    </row>
    <row r="293" spans="1:16" ht="15">
      <c r="A293" s="25"/>
      <c r="B293" s="17"/>
      <c r="G293" s="24"/>
      <c r="I293" s="21"/>
      <c r="J293" s="21"/>
      <c r="L293" s="21"/>
      <c r="M293" s="21"/>
      <c r="O293" s="21"/>
      <c r="P293" s="21"/>
    </row>
    <row r="294" spans="1:16" ht="15">
      <c r="A294" s="25"/>
      <c r="B294" s="17"/>
      <c r="G294" s="24"/>
      <c r="I294" s="21"/>
      <c r="J294" s="21"/>
      <c r="L294" s="21"/>
      <c r="M294" s="21"/>
      <c r="O294" s="21"/>
      <c r="P294" s="21"/>
    </row>
    <row r="295" spans="1:16" ht="15">
      <c r="A295" s="25"/>
      <c r="B295" s="17"/>
      <c r="G295" s="24"/>
      <c r="I295" s="21"/>
      <c r="J295" s="21"/>
      <c r="L295" s="21"/>
      <c r="M295" s="21"/>
      <c r="O295" s="21"/>
      <c r="P295" s="21"/>
    </row>
    <row r="296" spans="1:16" ht="15">
      <c r="A296" s="25"/>
      <c r="B296" s="17"/>
      <c r="G296" s="24"/>
      <c r="I296" s="21"/>
      <c r="J296" s="21"/>
      <c r="L296" s="21"/>
      <c r="M296" s="21"/>
      <c r="O296" s="21"/>
      <c r="P296" s="21"/>
    </row>
    <row r="297" spans="1:16" ht="15">
      <c r="B297" s="17"/>
      <c r="G297" s="24"/>
      <c r="I297" s="21"/>
      <c r="J297" s="21"/>
      <c r="L297" s="21"/>
      <c r="M297" s="21"/>
      <c r="O297" s="21"/>
      <c r="P297" s="21"/>
    </row>
    <row r="298" spans="1:16" ht="15">
      <c r="A298" s="25"/>
      <c r="B298" s="17"/>
      <c r="G298" s="24"/>
      <c r="I298" s="21"/>
      <c r="J298" s="21"/>
      <c r="L298" s="21"/>
      <c r="M298" s="21"/>
      <c r="O298" s="21"/>
      <c r="P298" s="21"/>
    </row>
    <row r="299" spans="1:16" ht="15">
      <c r="A299" s="25"/>
      <c r="B299" s="17"/>
      <c r="G299" s="24"/>
      <c r="I299" s="21"/>
      <c r="J299" s="21"/>
      <c r="L299" s="21"/>
      <c r="M299" s="21"/>
      <c r="O299" s="21"/>
      <c r="P299" s="21"/>
    </row>
    <row r="300" spans="1:16" ht="15">
      <c r="B300" s="17"/>
      <c r="G300" s="24"/>
      <c r="I300" s="21"/>
      <c r="J300" s="21"/>
      <c r="L300" s="21"/>
      <c r="M300" s="21"/>
      <c r="O300" s="21"/>
      <c r="P300" s="21"/>
    </row>
    <row r="301" spans="1:16" ht="15">
      <c r="A301" s="25"/>
      <c r="B301" s="17"/>
      <c r="G301" s="24"/>
      <c r="I301" s="21"/>
      <c r="J301" s="21"/>
      <c r="L301" s="21"/>
      <c r="M301" s="21"/>
      <c r="O301" s="21"/>
      <c r="P301" s="21"/>
    </row>
    <row r="302" spans="1:16" ht="15">
      <c r="A302" s="25"/>
      <c r="B302" s="17"/>
      <c r="G302" s="24"/>
      <c r="I302" s="21"/>
      <c r="J302" s="21"/>
      <c r="L302" s="21"/>
      <c r="M302" s="21"/>
      <c r="O302" s="21"/>
      <c r="P302" s="21"/>
    </row>
    <row r="303" spans="1:16" ht="15">
      <c r="B303" s="17"/>
      <c r="G303" s="24"/>
      <c r="I303" s="21"/>
      <c r="J303" s="21"/>
      <c r="L303" s="21"/>
      <c r="M303" s="21"/>
      <c r="O303" s="21"/>
      <c r="P303" s="21"/>
    </row>
    <row r="304" spans="1:16" ht="15">
      <c r="A304" s="25"/>
      <c r="B304" s="17"/>
      <c r="G304" s="24"/>
      <c r="I304" s="21"/>
      <c r="J304" s="21"/>
      <c r="L304" s="21"/>
      <c r="M304" s="21"/>
      <c r="O304" s="21"/>
      <c r="P304" s="21"/>
    </row>
    <row r="305" spans="1:16" ht="15">
      <c r="A305" s="25"/>
      <c r="B305" s="17"/>
      <c r="G305" s="24"/>
      <c r="I305" s="21"/>
      <c r="J305" s="21"/>
      <c r="L305" s="21"/>
      <c r="M305" s="21"/>
      <c r="O305" s="21"/>
      <c r="P305" s="21"/>
    </row>
    <row r="306" spans="1:16" ht="15">
      <c r="B306" s="17"/>
      <c r="G306" s="24"/>
      <c r="I306" s="21"/>
      <c r="J306" s="21"/>
      <c r="L306" s="21"/>
      <c r="M306" s="21"/>
      <c r="O306" s="21"/>
      <c r="P306" s="21"/>
    </row>
    <row r="307" spans="1:16" ht="15">
      <c r="A307" s="25"/>
      <c r="B307" s="17"/>
      <c r="G307" s="24"/>
      <c r="I307" s="21"/>
      <c r="J307" s="21"/>
      <c r="L307" s="21"/>
      <c r="M307" s="21"/>
      <c r="O307" s="21"/>
      <c r="P307" s="21"/>
    </row>
    <row r="308" spans="1:16" ht="15">
      <c r="A308" s="25"/>
      <c r="B308" s="17"/>
      <c r="G308" s="24"/>
      <c r="I308" s="21"/>
      <c r="J308" s="21"/>
      <c r="L308" s="21"/>
      <c r="M308" s="21"/>
      <c r="O308" s="21"/>
      <c r="P308" s="21"/>
    </row>
    <row r="309" spans="1:16" ht="15">
      <c r="B309" s="17"/>
      <c r="G309" s="24"/>
      <c r="I309" s="21"/>
      <c r="J309" s="21"/>
      <c r="L309" s="21"/>
      <c r="M309" s="21"/>
      <c r="O309" s="21"/>
      <c r="P309" s="21"/>
    </row>
    <row r="310" spans="1:16" ht="15">
      <c r="A310" s="25"/>
      <c r="B310" s="17"/>
      <c r="G310" s="24"/>
      <c r="I310" s="21"/>
      <c r="J310" s="21"/>
      <c r="L310" s="21"/>
      <c r="M310" s="21"/>
      <c r="O310" s="21"/>
      <c r="P310" s="21"/>
    </row>
    <row r="311" spans="1:16" ht="15">
      <c r="A311" s="25"/>
      <c r="B311" s="17"/>
      <c r="G311" s="24"/>
      <c r="I311" s="21"/>
      <c r="J311" s="21"/>
      <c r="L311" s="21"/>
      <c r="M311" s="21"/>
      <c r="O311" s="21"/>
      <c r="P311" s="21"/>
    </row>
    <row r="312" spans="1:16" ht="15">
      <c r="B312" s="17"/>
      <c r="G312" s="24"/>
      <c r="I312" s="21"/>
      <c r="J312" s="21"/>
      <c r="L312" s="21"/>
      <c r="M312" s="21"/>
      <c r="O312" s="21"/>
      <c r="P312" s="21"/>
    </row>
    <row r="313" spans="1:16" ht="15">
      <c r="A313" s="25"/>
      <c r="B313" s="17"/>
      <c r="G313" s="24"/>
      <c r="I313" s="21"/>
      <c r="J313" s="21"/>
      <c r="L313" s="21"/>
      <c r="M313" s="21"/>
      <c r="O313" s="21"/>
      <c r="P313" s="21"/>
    </row>
    <row r="314" spans="1:16" ht="15">
      <c r="A314" s="25"/>
      <c r="B314" s="17"/>
      <c r="G314" s="24"/>
      <c r="I314" s="21"/>
      <c r="J314" s="21"/>
      <c r="L314" s="21"/>
      <c r="M314" s="21"/>
      <c r="O314" s="21"/>
      <c r="P314" s="21"/>
    </row>
    <row r="315" spans="1:16" ht="15">
      <c r="B315" s="17"/>
      <c r="G315" s="24"/>
      <c r="I315" s="21"/>
      <c r="J315" s="21"/>
      <c r="L315" s="21"/>
      <c r="M315" s="21"/>
      <c r="O315" s="21"/>
      <c r="P315" s="21"/>
    </row>
    <row r="316" spans="1:16" ht="15">
      <c r="A316" s="25"/>
      <c r="B316" s="17"/>
      <c r="G316" s="24"/>
      <c r="I316" s="21"/>
      <c r="J316" s="21"/>
      <c r="L316" s="21"/>
      <c r="M316" s="21"/>
      <c r="O316" s="21"/>
      <c r="P316" s="21"/>
    </row>
    <row r="317" spans="1:16" ht="13">
      <c r="A317" s="25"/>
      <c r="B317" s="17"/>
      <c r="C317" s="1">
        <f>SUM(E317:Q317)</f>
        <v>0</v>
      </c>
    </row>
    <row r="318" spans="1:16" ht="15">
      <c r="B318" s="17"/>
      <c r="C318" s="1"/>
      <c r="G318" s="24"/>
      <c r="I318" s="21"/>
      <c r="J318" s="21"/>
      <c r="L318" s="21"/>
      <c r="M318" s="21"/>
      <c r="O318" s="21"/>
      <c r="P318" s="21"/>
    </row>
    <row r="319" spans="1:16" ht="15">
      <c r="A319" s="25"/>
      <c r="B319" s="17"/>
      <c r="C319" s="32">
        <f>C317/1795</f>
        <v>0</v>
      </c>
      <c r="G319" s="24"/>
      <c r="I319" s="21"/>
      <c r="J319" s="21"/>
      <c r="L319" s="21"/>
      <c r="M319" s="21"/>
      <c r="O319" s="21"/>
      <c r="P319" s="21"/>
    </row>
    <row r="320" spans="1:16" ht="13">
      <c r="A320" s="25"/>
      <c r="B320" s="17"/>
    </row>
    <row r="321" spans="1:16" ht="15">
      <c r="B321" s="17"/>
      <c r="C321" s="28"/>
      <c r="G321" s="24"/>
      <c r="I321" s="21"/>
      <c r="J321" s="21"/>
      <c r="L321" s="21"/>
      <c r="M321" s="21"/>
      <c r="O321" s="21"/>
      <c r="P321" s="21"/>
    </row>
    <row r="322" spans="1:16" ht="15">
      <c r="A322" s="25"/>
      <c r="B322" s="17"/>
      <c r="G322" s="24"/>
      <c r="I322" s="21"/>
      <c r="J322" s="21"/>
      <c r="L322" s="21"/>
      <c r="M322" s="21"/>
      <c r="O322" s="21"/>
      <c r="P322" s="21"/>
    </row>
    <row r="323" spans="1:16" ht="15">
      <c r="A323" s="25"/>
      <c r="B323" s="17"/>
      <c r="G323" s="24"/>
      <c r="I323" s="21"/>
      <c r="J323" s="21"/>
      <c r="L323" s="21"/>
      <c r="M323" s="21"/>
      <c r="O323" s="21"/>
      <c r="P323" s="21"/>
    </row>
    <row r="324" spans="1:16" ht="15">
      <c r="B324" s="17"/>
      <c r="G324" s="24"/>
      <c r="I324" s="21"/>
      <c r="J324" s="21"/>
      <c r="L324" s="21"/>
      <c r="M324" s="21"/>
      <c r="O324" s="21"/>
      <c r="P324" s="21"/>
    </row>
    <row r="325" spans="1:16" ht="15">
      <c r="A325" s="25"/>
      <c r="B325" s="17"/>
      <c r="G325" s="24"/>
      <c r="I325" s="21"/>
      <c r="J325" s="21"/>
      <c r="L325" s="21"/>
      <c r="M325" s="21"/>
      <c r="O325" s="21"/>
      <c r="P325" s="21"/>
    </row>
    <row r="326" spans="1:16" ht="15">
      <c r="A326" s="25"/>
      <c r="B326" s="17"/>
      <c r="G326" s="24"/>
      <c r="I326" s="21"/>
      <c r="J326" s="21"/>
      <c r="L326" s="21"/>
      <c r="M326" s="21"/>
      <c r="O326" s="21"/>
      <c r="P326" s="21"/>
    </row>
    <row r="327" spans="1:16" ht="15">
      <c r="B327" s="17"/>
      <c r="G327" s="24"/>
      <c r="I327" s="21"/>
      <c r="J327" s="21"/>
      <c r="L327" s="21"/>
      <c r="M327" s="21"/>
      <c r="O327" s="21"/>
      <c r="P327" s="21"/>
    </row>
    <row r="328" spans="1:16" ht="15">
      <c r="A328" s="25"/>
      <c r="B328" s="17"/>
      <c r="G328" s="24"/>
      <c r="I328" s="21"/>
      <c r="J328" s="21"/>
      <c r="L328" s="21"/>
      <c r="M328" s="21"/>
      <c r="O328" s="21"/>
      <c r="P328" s="21"/>
    </row>
    <row r="329" spans="1:16" ht="15">
      <c r="A329" s="25"/>
      <c r="B329" s="17"/>
      <c r="G329" s="24"/>
      <c r="I329" s="21"/>
      <c r="J329" s="21"/>
      <c r="L329" s="21"/>
      <c r="M329" s="21"/>
      <c r="O329" s="21"/>
      <c r="P329" s="21"/>
    </row>
    <row r="330" spans="1:16" ht="15">
      <c r="B330" s="17"/>
      <c r="G330" s="24"/>
      <c r="I330" s="21"/>
      <c r="J330" s="21"/>
      <c r="L330" s="21"/>
      <c r="M330" s="21"/>
      <c r="O330" s="21"/>
      <c r="P330" s="21"/>
    </row>
    <row r="331" spans="1:16" ht="15">
      <c r="A331" s="25"/>
      <c r="B331" s="17"/>
      <c r="G331" s="24"/>
      <c r="I331" s="21"/>
      <c r="J331" s="21"/>
      <c r="L331" s="21"/>
      <c r="M331" s="21"/>
      <c r="O331" s="21"/>
      <c r="P331" s="21"/>
    </row>
    <row r="332" spans="1:16" ht="15">
      <c r="A332" s="25"/>
      <c r="B332" s="17"/>
      <c r="G332" s="24"/>
      <c r="I332" s="21"/>
      <c r="J332" s="21"/>
      <c r="L332" s="21"/>
      <c r="M332" s="21"/>
      <c r="O332" s="21"/>
      <c r="P332" s="21"/>
    </row>
    <row r="333" spans="1:16" ht="15">
      <c r="B333" s="17"/>
      <c r="G333" s="24"/>
      <c r="I333" s="21"/>
      <c r="J333" s="21"/>
      <c r="L333" s="21"/>
      <c r="M333" s="21"/>
      <c r="O333" s="21"/>
      <c r="P333" s="21"/>
    </row>
    <row r="334" spans="1:16" ht="15">
      <c r="A334" s="25"/>
      <c r="B334" s="17"/>
      <c r="G334" s="24"/>
      <c r="I334" s="21"/>
      <c r="J334" s="21"/>
      <c r="L334" s="21"/>
      <c r="M334" s="21"/>
      <c r="O334" s="21"/>
      <c r="P334" s="21"/>
    </row>
    <row r="335" spans="1:16" ht="15">
      <c r="A335" s="25"/>
      <c r="B335" s="17"/>
      <c r="G335" s="24"/>
      <c r="I335" s="21"/>
      <c r="J335" s="21"/>
      <c r="L335" s="21"/>
      <c r="M335" s="21"/>
      <c r="O335" s="21"/>
      <c r="P335" s="21"/>
    </row>
    <row r="336" spans="1:16" ht="15">
      <c r="B336" s="17"/>
      <c r="G336" s="24"/>
      <c r="I336" s="21"/>
      <c r="J336" s="21"/>
      <c r="L336" s="21"/>
      <c r="M336" s="21"/>
      <c r="O336" s="21"/>
      <c r="P336" s="21"/>
    </row>
    <row r="337" spans="1:16" ht="15">
      <c r="A337" s="25"/>
      <c r="B337" s="17"/>
      <c r="G337" s="24"/>
      <c r="I337" s="21"/>
      <c r="J337" s="21"/>
      <c r="L337" s="21"/>
      <c r="M337" s="21"/>
      <c r="O337" s="21"/>
      <c r="P337" s="21"/>
    </row>
    <row r="338" spans="1:16" ht="15">
      <c r="A338" s="25"/>
      <c r="B338" s="17"/>
      <c r="G338" s="24"/>
      <c r="I338" s="21"/>
      <c r="J338" s="21"/>
      <c r="L338" s="21"/>
      <c r="M338" s="21"/>
      <c r="O338" s="21"/>
      <c r="P338" s="21"/>
    </row>
    <row r="339" spans="1:16" ht="15">
      <c r="B339" s="17"/>
      <c r="G339" s="24"/>
      <c r="I339" s="21"/>
      <c r="J339" s="21"/>
      <c r="L339" s="21"/>
      <c r="M339" s="21"/>
      <c r="O339" s="21"/>
      <c r="P339" s="21"/>
    </row>
    <row r="340" spans="1:16" ht="15">
      <c r="A340" s="25"/>
      <c r="B340" s="17"/>
      <c r="G340" s="24"/>
      <c r="I340" s="21"/>
      <c r="J340" s="21"/>
      <c r="L340" s="21"/>
      <c r="M340" s="21"/>
      <c r="O340" s="21"/>
      <c r="P340" s="21"/>
    </row>
    <row r="341" spans="1:16" ht="15">
      <c r="A341" s="17"/>
      <c r="B341" s="17"/>
      <c r="G341" s="24"/>
      <c r="I341" s="21"/>
      <c r="J341" s="21"/>
      <c r="L341" s="21"/>
      <c r="M341" s="21"/>
      <c r="O341" s="21"/>
      <c r="P341" s="21"/>
    </row>
    <row r="342" spans="1:16" ht="15">
      <c r="A342" s="17"/>
      <c r="B342" s="17"/>
      <c r="G342" s="24"/>
      <c r="I342" s="21"/>
      <c r="J342" s="21"/>
      <c r="L342" s="21"/>
      <c r="M342" s="21"/>
      <c r="O342" s="21"/>
      <c r="P342" s="21"/>
    </row>
    <row r="343" spans="1:16" ht="15">
      <c r="A343" s="17"/>
      <c r="B343" s="17"/>
      <c r="G343" s="24"/>
      <c r="I343" s="21"/>
      <c r="J343" s="21"/>
      <c r="L343" s="21"/>
      <c r="M343" s="21"/>
      <c r="O343" s="21"/>
      <c r="P343" s="21"/>
    </row>
    <row r="344" spans="1:16" ht="15">
      <c r="A344" s="17"/>
      <c r="B344" s="17"/>
      <c r="G344" s="24"/>
      <c r="I344" s="21"/>
      <c r="J344" s="21"/>
      <c r="L344" s="21"/>
      <c r="M344" s="21"/>
      <c r="O344" s="21"/>
      <c r="P344" s="21"/>
    </row>
    <row r="345" spans="1:16" ht="15">
      <c r="A345" s="17"/>
      <c r="B345" s="17"/>
      <c r="G345" s="24"/>
      <c r="I345" s="21"/>
      <c r="J345" s="21"/>
      <c r="L345" s="21"/>
      <c r="M345" s="21"/>
      <c r="O345" s="21"/>
      <c r="P345" s="21"/>
    </row>
    <row r="346" spans="1:16" ht="15">
      <c r="A346" s="17"/>
      <c r="B346" s="17"/>
      <c r="G346" s="24"/>
      <c r="I346" s="21"/>
      <c r="J346" s="21"/>
      <c r="L346" s="21"/>
      <c r="M346" s="21"/>
      <c r="O346" s="21"/>
      <c r="P346" s="21"/>
    </row>
    <row r="347" spans="1:16" ht="15">
      <c r="A347" s="17"/>
      <c r="B347" s="17"/>
      <c r="G347" s="24"/>
      <c r="I347" s="21"/>
      <c r="J347" s="21"/>
      <c r="L347" s="21"/>
      <c r="M347" s="21"/>
      <c r="O347" s="21"/>
      <c r="P347" s="21"/>
    </row>
    <row r="348" spans="1:16" ht="15">
      <c r="A348" s="17"/>
      <c r="B348" s="17"/>
      <c r="G348" s="24"/>
      <c r="I348" s="21"/>
      <c r="J348" s="21"/>
      <c r="L348" s="21"/>
      <c r="M348" s="21"/>
      <c r="O348" s="21"/>
      <c r="P348" s="21"/>
    </row>
    <row r="349" spans="1:16" ht="15">
      <c r="A349" s="17"/>
      <c r="B349" s="17"/>
      <c r="G349" s="24"/>
      <c r="I349" s="21"/>
      <c r="J349" s="21"/>
      <c r="L349" s="21"/>
      <c r="M349" s="21"/>
      <c r="O349" s="21"/>
      <c r="P349" s="21"/>
    </row>
    <row r="350" spans="1:16" ht="15">
      <c r="A350" s="17"/>
      <c r="B350" s="17"/>
      <c r="G350" s="24"/>
      <c r="I350" s="21"/>
      <c r="J350" s="21"/>
      <c r="L350" s="21"/>
      <c r="M350" s="21"/>
      <c r="O350" s="21"/>
      <c r="P350" s="21"/>
    </row>
    <row r="351" spans="1:16" ht="15">
      <c r="A351" s="17"/>
      <c r="B351" s="17"/>
      <c r="G351" s="24"/>
      <c r="I351" s="21"/>
      <c r="J351" s="21"/>
      <c r="L351" s="21"/>
      <c r="M351" s="21"/>
      <c r="O351" s="21"/>
      <c r="P351" s="21"/>
    </row>
    <row r="352" spans="1:16" ht="15">
      <c r="A352" s="17"/>
      <c r="B352" s="17"/>
      <c r="G352" s="24"/>
      <c r="I352" s="21"/>
      <c r="J352" s="21"/>
      <c r="L352" s="21"/>
      <c r="M352" s="21"/>
      <c r="O352" s="21"/>
      <c r="P352" s="21"/>
    </row>
    <row r="353" spans="1:16" ht="15">
      <c r="A353" s="17"/>
      <c r="B353" s="17"/>
      <c r="G353" s="24"/>
      <c r="I353" s="21"/>
      <c r="J353" s="21"/>
      <c r="L353" s="21"/>
      <c r="M353" s="21"/>
      <c r="O353" s="21"/>
      <c r="P353" s="21"/>
    </row>
    <row r="354" spans="1:16" ht="15">
      <c r="A354" s="17"/>
      <c r="B354" s="17"/>
      <c r="G354" s="24"/>
      <c r="I354" s="21"/>
      <c r="J354" s="21"/>
      <c r="L354" s="21"/>
      <c r="M354" s="21"/>
      <c r="O354" s="21"/>
      <c r="P354" s="21"/>
    </row>
    <row r="355" spans="1:16" ht="15">
      <c r="A355" s="17"/>
      <c r="B355" s="17"/>
      <c r="G355" s="24"/>
      <c r="I355" s="21"/>
      <c r="J355" s="21"/>
      <c r="L355" s="21"/>
      <c r="M355" s="21"/>
      <c r="O355" s="21"/>
      <c r="P355" s="21"/>
    </row>
    <row r="356" spans="1:16" ht="15">
      <c r="A356" s="17"/>
      <c r="B356" s="17"/>
      <c r="G356" s="24"/>
      <c r="I356" s="21"/>
      <c r="J356" s="21"/>
      <c r="L356" s="21"/>
      <c r="M356" s="21"/>
      <c r="O356" s="21"/>
      <c r="P356" s="21"/>
    </row>
    <row r="357" spans="1:16" ht="15">
      <c r="A357" s="17"/>
      <c r="B357" s="17"/>
      <c r="G357" s="24"/>
      <c r="I357" s="21"/>
      <c r="J357" s="21"/>
      <c r="L357" s="21"/>
      <c r="M357" s="21"/>
      <c r="O357" s="21"/>
      <c r="P357" s="21"/>
    </row>
    <row r="358" spans="1:16" ht="15">
      <c r="A358" s="17"/>
      <c r="B358" s="17"/>
      <c r="G358" s="24"/>
      <c r="I358" s="21"/>
      <c r="J358" s="21"/>
      <c r="L358" s="21"/>
      <c r="M358" s="21"/>
      <c r="O358" s="21"/>
      <c r="P358" s="21"/>
    </row>
    <row r="359" spans="1:16" ht="15">
      <c r="A359" s="17"/>
      <c r="B359" s="17"/>
      <c r="G359" s="24"/>
      <c r="I359" s="21"/>
      <c r="J359" s="21"/>
      <c r="L359" s="21"/>
      <c r="M359" s="21"/>
      <c r="O359" s="21"/>
      <c r="P359" s="21"/>
    </row>
    <row r="360" spans="1:16" ht="15">
      <c r="A360" s="17"/>
      <c r="B360" s="17"/>
      <c r="G360" s="24"/>
      <c r="I360" s="21"/>
      <c r="J360" s="21"/>
      <c r="L360" s="21"/>
      <c r="M360" s="21"/>
      <c r="O360" s="21"/>
      <c r="P360" s="21"/>
    </row>
    <row r="361" spans="1:16" ht="15">
      <c r="A361" s="17"/>
      <c r="B361" s="17"/>
      <c r="G361" s="24"/>
      <c r="I361" s="21"/>
      <c r="J361" s="21"/>
      <c r="L361" s="21"/>
      <c r="M361" s="21"/>
      <c r="O361" s="21"/>
      <c r="P361" s="21"/>
    </row>
    <row r="362" spans="1:16" ht="15">
      <c r="A362" s="17"/>
      <c r="B362" s="17"/>
      <c r="G362" s="24"/>
      <c r="I362" s="21"/>
      <c r="J362" s="21"/>
      <c r="L362" s="21"/>
      <c r="M362" s="21"/>
      <c r="O362" s="21"/>
      <c r="P362" s="21"/>
    </row>
    <row r="363" spans="1:16" ht="15">
      <c r="A363" s="17"/>
      <c r="B363" s="17"/>
      <c r="G363" s="24"/>
      <c r="I363" s="21"/>
      <c r="J363" s="21"/>
      <c r="L363" s="21"/>
      <c r="M363" s="21"/>
      <c r="O363" s="21"/>
      <c r="P363" s="21"/>
    </row>
    <row r="364" spans="1:16" ht="15">
      <c r="A364" s="17"/>
      <c r="B364" s="17"/>
      <c r="G364" s="24"/>
      <c r="I364" s="21"/>
      <c r="J364" s="21"/>
      <c r="L364" s="21"/>
      <c r="M364" s="21"/>
      <c r="O364" s="21"/>
      <c r="P364" s="21"/>
    </row>
    <row r="365" spans="1:16" ht="15">
      <c r="A365" s="17"/>
      <c r="B365" s="17"/>
      <c r="G365" s="24"/>
      <c r="I365" s="21"/>
      <c r="J365" s="21"/>
      <c r="L365" s="21"/>
      <c r="M365" s="21"/>
      <c r="O365" s="21"/>
      <c r="P365" s="21"/>
    </row>
    <row r="366" spans="1:16" ht="15">
      <c r="A366" s="17"/>
      <c r="B366" s="17"/>
      <c r="G366" s="24"/>
      <c r="I366" s="21"/>
      <c r="J366" s="21"/>
      <c r="L366" s="21"/>
      <c r="M366" s="21"/>
      <c r="O366" s="21"/>
      <c r="P366" s="21"/>
    </row>
    <row r="367" spans="1:16" ht="15">
      <c r="A367" s="17"/>
      <c r="B367" s="17"/>
      <c r="G367" s="24"/>
      <c r="I367" s="21"/>
      <c r="J367" s="21"/>
      <c r="L367" s="21"/>
      <c r="M367" s="21"/>
      <c r="O367" s="21"/>
      <c r="P367" s="21"/>
    </row>
    <row r="368" spans="1:16" ht="15">
      <c r="A368" s="17"/>
      <c r="B368" s="17"/>
      <c r="G368" s="24"/>
      <c r="I368" s="21"/>
      <c r="J368" s="21"/>
      <c r="L368" s="21"/>
      <c r="M368" s="21"/>
      <c r="O368" s="21"/>
      <c r="P368" s="21"/>
    </row>
    <row r="369" spans="1:16" ht="15">
      <c r="A369" s="17"/>
      <c r="B369" s="17"/>
      <c r="G369" s="24"/>
      <c r="I369" s="21"/>
      <c r="J369" s="21"/>
      <c r="L369" s="21"/>
      <c r="M369" s="21"/>
      <c r="O369" s="21"/>
      <c r="P369" s="21"/>
    </row>
    <row r="370" spans="1:16" ht="15">
      <c r="A370" s="17"/>
      <c r="B370" s="17"/>
      <c r="G370" s="24"/>
      <c r="I370" s="21"/>
      <c r="J370" s="21"/>
      <c r="L370" s="21"/>
      <c r="M370" s="21"/>
      <c r="O370" s="21"/>
      <c r="P370" s="21"/>
    </row>
    <row r="371" spans="1:16" ht="15">
      <c r="A371" s="17"/>
      <c r="B371" s="17"/>
      <c r="G371" s="24"/>
      <c r="I371" s="21"/>
      <c r="J371" s="21"/>
      <c r="L371" s="21"/>
      <c r="M371" s="21"/>
      <c r="O371" s="21"/>
      <c r="P371" s="21"/>
    </row>
    <row r="372" spans="1:16" ht="15">
      <c r="A372" s="17"/>
      <c r="B372" s="17"/>
      <c r="G372" s="24"/>
      <c r="I372" s="21"/>
      <c r="J372" s="21"/>
      <c r="L372" s="21"/>
      <c r="M372" s="21"/>
      <c r="O372" s="21"/>
      <c r="P372" s="21"/>
    </row>
    <row r="373" spans="1:16" ht="15">
      <c r="A373" s="17"/>
      <c r="B373" s="17"/>
      <c r="G373" s="24"/>
      <c r="I373" s="21"/>
      <c r="J373" s="21"/>
      <c r="L373" s="21"/>
      <c r="M373" s="21"/>
      <c r="O373" s="21"/>
      <c r="P373" s="21"/>
    </row>
    <row r="374" spans="1:16" ht="15">
      <c r="A374" s="17"/>
      <c r="B374" s="17"/>
      <c r="G374" s="24"/>
      <c r="I374" s="21"/>
      <c r="J374" s="21"/>
      <c r="L374" s="21"/>
      <c r="M374" s="21"/>
      <c r="O374" s="21"/>
      <c r="P374" s="21"/>
    </row>
    <row r="375" spans="1:16" ht="15">
      <c r="A375" s="17"/>
      <c r="B375" s="17"/>
      <c r="G375" s="24"/>
      <c r="I375" s="21"/>
      <c r="J375" s="21"/>
      <c r="L375" s="21"/>
      <c r="M375" s="21"/>
      <c r="O375" s="21"/>
      <c r="P375" s="21"/>
    </row>
    <row r="376" spans="1:16" ht="15">
      <c r="A376" s="17"/>
      <c r="B376" s="17"/>
      <c r="G376" s="24"/>
      <c r="I376" s="21"/>
      <c r="J376" s="21"/>
      <c r="L376" s="21"/>
      <c r="M376" s="21"/>
      <c r="O376" s="21"/>
      <c r="P376" s="21"/>
    </row>
    <row r="377" spans="1:16" ht="15">
      <c r="A377" s="17"/>
      <c r="B377" s="17"/>
      <c r="G377" s="24"/>
      <c r="I377" s="21"/>
      <c r="J377" s="21"/>
      <c r="L377" s="21"/>
      <c r="M377" s="21"/>
      <c r="O377" s="21"/>
      <c r="P377" s="21"/>
    </row>
    <row r="378" spans="1:16" ht="15">
      <c r="A378" s="17"/>
      <c r="B378" s="17"/>
      <c r="G378" s="24"/>
      <c r="I378" s="21"/>
      <c r="J378" s="21"/>
      <c r="L378" s="21"/>
      <c r="M378" s="21"/>
      <c r="O378" s="21"/>
      <c r="P378" s="21"/>
    </row>
    <row r="379" spans="1:16" ht="15">
      <c r="A379" s="17"/>
      <c r="B379" s="17"/>
      <c r="G379" s="24"/>
      <c r="I379" s="21"/>
      <c r="J379" s="21"/>
      <c r="L379" s="21"/>
      <c r="M379" s="21"/>
      <c r="O379" s="21"/>
      <c r="P379" s="21"/>
    </row>
    <row r="380" spans="1:16" ht="15">
      <c r="A380" s="17"/>
      <c r="B380" s="17"/>
      <c r="G380" s="24"/>
      <c r="I380" s="21"/>
      <c r="J380" s="21"/>
      <c r="L380" s="21"/>
      <c r="M380" s="21"/>
      <c r="O380" s="21"/>
      <c r="P380" s="21"/>
    </row>
    <row r="381" spans="1:16" ht="15">
      <c r="A381" s="17"/>
      <c r="B381" s="17"/>
      <c r="G381" s="24"/>
      <c r="I381" s="21"/>
      <c r="J381" s="21"/>
      <c r="L381" s="21"/>
      <c r="M381" s="21"/>
      <c r="O381" s="21"/>
      <c r="P381" s="21"/>
    </row>
    <row r="382" spans="1:16" ht="15">
      <c r="A382" s="17"/>
      <c r="B382" s="17"/>
      <c r="G382" s="24"/>
      <c r="I382" s="21"/>
      <c r="J382" s="21"/>
      <c r="L382" s="21"/>
      <c r="M382" s="21"/>
      <c r="O382" s="21"/>
      <c r="P382" s="21"/>
    </row>
    <row r="383" spans="1:16" ht="15">
      <c r="A383" s="17"/>
      <c r="B383" s="17"/>
      <c r="G383" s="24"/>
      <c r="I383" s="21"/>
      <c r="J383" s="21"/>
      <c r="L383" s="21"/>
      <c r="M383" s="21"/>
      <c r="O383" s="21"/>
      <c r="P383" s="21"/>
    </row>
    <row r="384" spans="1:16" ht="15">
      <c r="A384" s="17"/>
      <c r="B384" s="17"/>
      <c r="G384" s="24"/>
      <c r="I384" s="21"/>
      <c r="J384" s="21"/>
      <c r="L384" s="21"/>
      <c r="M384" s="21"/>
      <c r="O384" s="21"/>
      <c r="P384" s="21"/>
    </row>
    <row r="385" spans="1:16" ht="15">
      <c r="A385" s="17"/>
      <c r="B385" s="17"/>
      <c r="G385" s="24"/>
      <c r="I385" s="21"/>
      <c r="J385" s="21"/>
      <c r="L385" s="21"/>
      <c r="M385" s="21"/>
      <c r="O385" s="21"/>
      <c r="P385" s="21"/>
    </row>
    <row r="386" spans="1:16" ht="15">
      <c r="A386" s="17"/>
      <c r="B386" s="17"/>
      <c r="G386" s="24"/>
      <c r="I386" s="21"/>
      <c r="J386" s="21"/>
      <c r="L386" s="21"/>
      <c r="M386" s="21"/>
      <c r="O386" s="21"/>
      <c r="P386" s="21"/>
    </row>
    <row r="387" spans="1:16" ht="15">
      <c r="A387" s="17"/>
      <c r="B387" s="17"/>
      <c r="G387" s="24"/>
      <c r="I387" s="21"/>
      <c r="J387" s="21"/>
      <c r="L387" s="21"/>
      <c r="M387" s="21"/>
      <c r="O387" s="21"/>
      <c r="P387" s="21"/>
    </row>
    <row r="388" spans="1:16" ht="15">
      <c r="A388" s="17"/>
      <c r="B388" s="17"/>
      <c r="G388" s="24"/>
      <c r="I388" s="21"/>
      <c r="J388" s="21"/>
      <c r="L388" s="21"/>
      <c r="M388" s="21"/>
      <c r="O388" s="21"/>
      <c r="P388" s="21"/>
    </row>
    <row r="389" spans="1:16" ht="15">
      <c r="A389" s="17"/>
      <c r="B389" s="17"/>
      <c r="G389" s="24"/>
      <c r="I389" s="21"/>
      <c r="J389" s="21"/>
      <c r="L389" s="21"/>
      <c r="M389" s="21"/>
      <c r="O389" s="21"/>
      <c r="P389" s="21"/>
    </row>
    <row r="390" spans="1:16" ht="15">
      <c r="A390" s="17"/>
      <c r="B390" s="17"/>
      <c r="G390" s="24"/>
      <c r="I390" s="21"/>
      <c r="J390" s="21"/>
      <c r="L390" s="21"/>
      <c r="M390" s="21"/>
      <c r="O390" s="21"/>
      <c r="P390" s="21"/>
    </row>
    <row r="391" spans="1:16" ht="15">
      <c r="A391" s="17"/>
      <c r="B391" s="17"/>
      <c r="G391" s="24"/>
      <c r="I391" s="21"/>
      <c r="J391" s="21"/>
      <c r="L391" s="21"/>
      <c r="M391" s="21"/>
      <c r="O391" s="21"/>
      <c r="P391" s="21"/>
    </row>
    <row r="396" spans="1:16" ht="13">
      <c r="A396" s="5" t="s">
        <v>13644</v>
      </c>
    </row>
  </sheetData>
  <autoFilter ref="A1:AE889" xr:uid="{00000000-0009-0000-0000-000001000000}"/>
  <hyperlinks>
    <hyperlink ref="C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96"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432"/>
  <sheetViews>
    <sheetView tabSelected="1" workbookViewId="0">
      <selection activeCell="K1" sqref="K1"/>
    </sheetView>
  </sheetViews>
  <sheetFormatPr baseColWidth="10" defaultColWidth="14.5" defaultRowHeight="15.75" customHeight="1"/>
  <cols>
    <col min="1" max="1" width="30.6640625" customWidth="1"/>
    <col min="2" max="2" width="20.5" customWidth="1"/>
    <col min="3" max="3" width="16.83203125" customWidth="1"/>
    <col min="4" max="4" width="19.83203125" customWidth="1"/>
    <col min="5" max="5" width="17.33203125" customWidth="1"/>
    <col min="6" max="6" width="27.6640625" customWidth="1"/>
    <col min="7" max="7" width="16" customWidth="1"/>
    <col min="8" max="8" width="25" customWidth="1"/>
    <col min="9" max="9" width="14.5" customWidth="1"/>
    <col min="10" max="11" width="16.5" customWidth="1"/>
  </cols>
  <sheetData>
    <row r="1" spans="1:11" ht="15.75" customHeight="1">
      <c r="A1" s="1" t="s">
        <v>13645</v>
      </c>
      <c r="B1" s="6" t="s">
        <v>13646</v>
      </c>
      <c r="C1" s="8" t="s">
        <v>13647</v>
      </c>
      <c r="D1" s="8" t="s">
        <v>13648</v>
      </c>
      <c r="E1" s="8" t="s">
        <v>13649</v>
      </c>
      <c r="F1" s="8" t="s">
        <v>13650</v>
      </c>
      <c r="G1" s="8" t="s">
        <v>13651</v>
      </c>
      <c r="H1" s="8" t="s">
        <v>13652</v>
      </c>
      <c r="I1" s="8" t="s">
        <v>13653</v>
      </c>
      <c r="J1" s="8" t="s">
        <v>13654</v>
      </c>
      <c r="K1" s="8" t="s">
        <v>13655</v>
      </c>
    </row>
    <row r="2" spans="1:11" ht="15.75" customHeight="1">
      <c r="A2" s="11" t="s">
        <v>12</v>
      </c>
      <c r="B2" s="5" t="s">
        <v>13</v>
      </c>
      <c r="C2" s="4" t="s">
        <v>14</v>
      </c>
      <c r="D2" s="4" t="e">
        <v>#N/A</v>
      </c>
      <c r="F2" s="4" t="e">
        <v>#N/A</v>
      </c>
      <c r="H2" s="4" t="e">
        <v>#N/A</v>
      </c>
      <c r="J2" s="4" t="e">
        <v>#N/A</v>
      </c>
    </row>
    <row r="3" spans="1:11" ht="15.75" customHeight="1">
      <c r="A3" s="4" t="s">
        <v>17</v>
      </c>
      <c r="B3" s="4" t="s">
        <v>18</v>
      </c>
      <c r="C3" s="5" t="s">
        <v>19</v>
      </c>
      <c r="D3" s="4" t="e">
        <v>#N/A</v>
      </c>
      <c r="F3" s="4" t="e">
        <v>#N/A</v>
      </c>
      <c r="H3" s="4" t="s">
        <v>21</v>
      </c>
      <c r="I3" s="4" t="s">
        <v>22</v>
      </c>
      <c r="J3" s="4" t="e">
        <v>#N/A</v>
      </c>
    </row>
    <row r="4" spans="1:11" ht="15.75" customHeight="1">
      <c r="A4" s="4" t="s">
        <v>23</v>
      </c>
      <c r="B4" s="4" t="e">
        <v>#N/A</v>
      </c>
      <c r="D4" s="4" t="s">
        <v>24</v>
      </c>
      <c r="E4" s="4" t="s">
        <v>25</v>
      </c>
      <c r="F4" s="4" t="s">
        <v>26</v>
      </c>
      <c r="G4" s="4" t="s">
        <v>28</v>
      </c>
      <c r="H4" s="4" t="s">
        <v>30</v>
      </c>
      <c r="I4" s="4" t="s">
        <v>31</v>
      </c>
      <c r="J4" s="4" t="s">
        <v>32</v>
      </c>
      <c r="K4" s="4" t="s">
        <v>33</v>
      </c>
    </row>
    <row r="5" spans="1:11" ht="15.75" customHeight="1">
      <c r="A5" s="4" t="s">
        <v>34</v>
      </c>
      <c r="B5" s="4" t="s">
        <v>35</v>
      </c>
      <c r="C5" s="4" t="s">
        <v>36</v>
      </c>
      <c r="D5" s="4" t="e">
        <v>#N/A</v>
      </c>
      <c r="F5" s="4" t="s">
        <v>37</v>
      </c>
      <c r="G5" s="4" t="s">
        <v>38</v>
      </c>
      <c r="H5" s="4" t="s">
        <v>39</v>
      </c>
      <c r="I5" s="4" t="s">
        <v>40</v>
      </c>
      <c r="J5" s="4" t="s">
        <v>42</v>
      </c>
      <c r="K5" s="4" t="s">
        <v>43</v>
      </c>
    </row>
    <row r="6" spans="1:11" ht="15.75" customHeight="1">
      <c r="A6" s="4" t="s">
        <v>44</v>
      </c>
      <c r="B6" s="4" t="s">
        <v>45</v>
      </c>
      <c r="C6" s="4" t="s">
        <v>46</v>
      </c>
      <c r="D6" s="4" t="e">
        <v>#N/A</v>
      </c>
      <c r="F6" s="4" t="s">
        <v>47</v>
      </c>
      <c r="G6" s="4" t="s">
        <v>48</v>
      </c>
      <c r="H6" s="4" t="s">
        <v>49</v>
      </c>
      <c r="I6" s="4" t="s">
        <v>50</v>
      </c>
      <c r="J6" s="4" t="s">
        <v>51</v>
      </c>
      <c r="K6" s="4" t="s">
        <v>52</v>
      </c>
    </row>
    <row r="7" spans="1:11" ht="15.75" customHeight="1">
      <c r="A7" s="4" t="s">
        <v>53</v>
      </c>
      <c r="B7" s="4" t="s">
        <v>54</v>
      </c>
      <c r="C7" s="4" t="s">
        <v>55</v>
      </c>
      <c r="D7" s="4" t="s">
        <v>56</v>
      </c>
      <c r="E7" s="4" t="s">
        <v>57</v>
      </c>
      <c r="F7" s="4" t="s">
        <v>58</v>
      </c>
      <c r="G7" s="4" t="s">
        <v>59</v>
      </c>
      <c r="H7" s="4" t="s">
        <v>60</v>
      </c>
      <c r="I7" s="4" t="s">
        <v>61</v>
      </c>
      <c r="J7" s="4" t="s">
        <v>62</v>
      </c>
      <c r="K7" s="4" t="s">
        <v>63</v>
      </c>
    </row>
    <row r="8" spans="1:11" ht="15.75" customHeight="1">
      <c r="A8" s="4" t="s">
        <v>64</v>
      </c>
      <c r="B8" s="4" t="e">
        <v>#N/A</v>
      </c>
      <c r="D8" s="4" t="s">
        <v>65</v>
      </c>
      <c r="E8" s="4" t="s">
        <v>66</v>
      </c>
      <c r="F8" s="4" t="s">
        <v>67</v>
      </c>
      <c r="G8" s="4" t="s">
        <v>68</v>
      </c>
      <c r="H8" s="4" t="s">
        <v>69</v>
      </c>
      <c r="I8" s="4" t="s">
        <v>70</v>
      </c>
      <c r="J8" s="4" t="s">
        <v>71</v>
      </c>
      <c r="K8" s="4" t="s">
        <v>72</v>
      </c>
    </row>
    <row r="9" spans="1:11" ht="15.75" customHeight="1">
      <c r="A9" s="4" t="s">
        <v>73</v>
      </c>
      <c r="B9" s="4" t="s">
        <v>74</v>
      </c>
      <c r="C9" s="4" t="s">
        <v>75</v>
      </c>
      <c r="D9" s="4" t="s">
        <v>76</v>
      </c>
      <c r="E9" s="4" t="s">
        <v>77</v>
      </c>
      <c r="F9" s="4" t="s">
        <v>78</v>
      </c>
      <c r="G9" s="4" t="s">
        <v>79</v>
      </c>
      <c r="H9" s="4" t="s">
        <v>80</v>
      </c>
      <c r="I9" s="4" t="s">
        <v>81</v>
      </c>
      <c r="J9" s="4" t="s">
        <v>82</v>
      </c>
      <c r="K9" s="4" t="s">
        <v>83</v>
      </c>
    </row>
    <row r="10" spans="1:11" ht="15.75" customHeight="1">
      <c r="A10" s="4" t="s">
        <v>84</v>
      </c>
      <c r="B10" s="4" t="s">
        <v>85</v>
      </c>
      <c r="C10" s="4" t="s">
        <v>86</v>
      </c>
      <c r="D10" s="4" t="s">
        <v>87</v>
      </c>
      <c r="E10" s="4" t="s">
        <v>88</v>
      </c>
      <c r="F10" s="4" t="e">
        <v>#N/A</v>
      </c>
      <c r="H10" s="4" t="s">
        <v>89</v>
      </c>
      <c r="I10" s="4" t="s">
        <v>90</v>
      </c>
      <c r="J10" s="4" t="s">
        <v>91</v>
      </c>
      <c r="K10" s="4" t="s">
        <v>92</v>
      </c>
    </row>
    <row r="11" spans="1:11" ht="15.75" customHeight="1">
      <c r="A11" s="4" t="s">
        <v>93</v>
      </c>
      <c r="B11" s="4" t="e">
        <v>#N/A</v>
      </c>
      <c r="D11" s="4" t="e">
        <v>#N/A</v>
      </c>
      <c r="F11" s="4" t="s">
        <v>94</v>
      </c>
      <c r="G11" s="4" t="s">
        <v>95</v>
      </c>
      <c r="H11" s="4" t="s">
        <v>96</v>
      </c>
      <c r="I11" s="4" t="s">
        <v>97</v>
      </c>
      <c r="J11" s="4" t="e">
        <v>#N/A</v>
      </c>
    </row>
    <row r="12" spans="1:11" ht="15.75" customHeight="1">
      <c r="A12" s="4" t="s">
        <v>98</v>
      </c>
      <c r="B12" s="4" t="s">
        <v>99</v>
      </c>
      <c r="C12" s="4" t="s">
        <v>100</v>
      </c>
      <c r="D12" s="4" t="s">
        <v>101</v>
      </c>
      <c r="E12" s="4" t="s">
        <v>102</v>
      </c>
      <c r="F12" s="4" t="e">
        <v>#N/A</v>
      </c>
      <c r="H12" s="4" t="s">
        <v>103</v>
      </c>
      <c r="I12" s="4" t="s">
        <v>104</v>
      </c>
      <c r="J12" s="4" t="s">
        <v>105</v>
      </c>
      <c r="K12" s="4" t="s">
        <v>106</v>
      </c>
    </row>
    <row r="13" spans="1:11" ht="15.75" customHeight="1">
      <c r="A13" s="4" t="s">
        <v>107</v>
      </c>
      <c r="B13" s="4" t="s">
        <v>108</v>
      </c>
      <c r="C13" s="4" t="s">
        <v>109</v>
      </c>
      <c r="D13" s="4" t="s">
        <v>110</v>
      </c>
      <c r="E13" s="4" t="s">
        <v>112</v>
      </c>
      <c r="F13" s="4" t="s">
        <v>113</v>
      </c>
      <c r="G13" s="4" t="s">
        <v>114</v>
      </c>
      <c r="H13" s="4" t="s">
        <v>115</v>
      </c>
      <c r="I13" s="4" t="s">
        <v>116</v>
      </c>
      <c r="J13" s="4" t="s">
        <v>117</v>
      </c>
      <c r="K13" s="4" t="s">
        <v>118</v>
      </c>
    </row>
    <row r="14" spans="1:11" ht="15.75" customHeight="1">
      <c r="A14" s="4" t="s">
        <v>119</v>
      </c>
      <c r="B14" s="4" t="e">
        <v>#N/A</v>
      </c>
      <c r="D14" s="4" t="s">
        <v>120</v>
      </c>
      <c r="E14" s="4" t="s">
        <v>121</v>
      </c>
      <c r="F14" s="4" t="e">
        <v>#N/A</v>
      </c>
      <c r="H14" s="4" t="s">
        <v>122</v>
      </c>
      <c r="I14" s="4" t="s">
        <v>123</v>
      </c>
      <c r="J14" s="4" t="s">
        <v>124</v>
      </c>
      <c r="K14" s="4" t="s">
        <v>125</v>
      </c>
    </row>
    <row r="15" spans="1:11" ht="15.75" customHeight="1">
      <c r="A15" s="4" t="s">
        <v>127</v>
      </c>
      <c r="B15" s="4" t="s">
        <v>128</v>
      </c>
      <c r="C15" s="4" t="s">
        <v>129</v>
      </c>
      <c r="D15" s="4" t="s">
        <v>130</v>
      </c>
      <c r="E15" s="4" t="s">
        <v>131</v>
      </c>
      <c r="F15" s="4" t="s">
        <v>132</v>
      </c>
      <c r="G15" s="4" t="s">
        <v>133</v>
      </c>
      <c r="H15" s="4" t="s">
        <v>134</v>
      </c>
      <c r="I15" s="4" t="s">
        <v>135</v>
      </c>
      <c r="J15" s="4" t="s">
        <v>136</v>
      </c>
      <c r="K15" s="4" t="s">
        <v>137</v>
      </c>
    </row>
    <row r="16" spans="1:11" ht="15.75" customHeight="1">
      <c r="A16" s="4" t="s">
        <v>138</v>
      </c>
      <c r="B16" s="4" t="s">
        <v>139</v>
      </c>
      <c r="C16" s="4" t="s">
        <v>140</v>
      </c>
      <c r="D16" s="4" t="e">
        <v>#N/A</v>
      </c>
      <c r="F16" s="4" t="e">
        <v>#N/A</v>
      </c>
      <c r="H16" s="4" t="s">
        <v>141</v>
      </c>
      <c r="I16" s="4" t="s">
        <v>142</v>
      </c>
      <c r="J16" s="4" t="e">
        <v>#N/A</v>
      </c>
    </row>
    <row r="17" spans="1:11" ht="15.75" customHeight="1">
      <c r="A17" s="4" t="s">
        <v>143</v>
      </c>
      <c r="B17" s="4" t="s">
        <v>144</v>
      </c>
      <c r="C17" s="4" t="s">
        <v>145</v>
      </c>
      <c r="D17" s="4" t="s">
        <v>146</v>
      </c>
      <c r="E17" s="4" t="s">
        <v>147</v>
      </c>
      <c r="F17" s="4" t="e">
        <v>#N/A</v>
      </c>
      <c r="H17" s="4" t="e">
        <v>#N/A</v>
      </c>
      <c r="J17" s="4" t="s">
        <v>148</v>
      </c>
      <c r="K17" s="4" t="s">
        <v>149</v>
      </c>
    </row>
    <row r="18" spans="1:11" ht="15.75" customHeight="1">
      <c r="A18" s="4" t="s">
        <v>150</v>
      </c>
      <c r="B18" s="4" t="s">
        <v>151</v>
      </c>
      <c r="C18" s="4" t="s">
        <v>152</v>
      </c>
      <c r="D18" s="4" t="e">
        <v>#N/A</v>
      </c>
      <c r="F18" s="4" t="s">
        <v>153</v>
      </c>
      <c r="G18" s="4" t="s">
        <v>154</v>
      </c>
      <c r="H18" s="4" t="s">
        <v>155</v>
      </c>
      <c r="I18" s="4" t="s">
        <v>156</v>
      </c>
      <c r="J18" s="4" t="s">
        <v>157</v>
      </c>
      <c r="K18" s="4" t="s">
        <v>159</v>
      </c>
    </row>
    <row r="19" spans="1:11" ht="15.75" customHeight="1">
      <c r="A19" s="4" t="s">
        <v>160</v>
      </c>
      <c r="B19" s="4" t="s">
        <v>161</v>
      </c>
      <c r="C19" s="4" t="s">
        <v>162</v>
      </c>
      <c r="D19" s="4" t="s">
        <v>163</v>
      </c>
      <c r="E19" s="4" t="s">
        <v>164</v>
      </c>
      <c r="F19" s="4" t="e">
        <v>#N/A</v>
      </c>
      <c r="H19" s="4" t="e">
        <v>#N/A</v>
      </c>
      <c r="J19" s="4" t="e">
        <v>#N/A</v>
      </c>
    </row>
    <row r="20" spans="1:11" ht="15.75" customHeight="1">
      <c r="A20" s="4" t="s">
        <v>165</v>
      </c>
      <c r="B20" s="4" t="e">
        <v>#N/A</v>
      </c>
      <c r="D20" s="4" t="s">
        <v>166</v>
      </c>
      <c r="E20" s="4" t="s">
        <v>167</v>
      </c>
      <c r="F20" s="4" t="e">
        <v>#N/A</v>
      </c>
      <c r="H20" s="4" t="e">
        <v>#N/A</v>
      </c>
      <c r="J20" s="4" t="s">
        <v>168</v>
      </c>
      <c r="K20" s="4" t="s">
        <v>169</v>
      </c>
    </row>
    <row r="21" spans="1:11" ht="15.75" customHeight="1">
      <c r="A21" s="4" t="s">
        <v>170</v>
      </c>
      <c r="B21" s="4"/>
      <c r="D21" s="4" t="s">
        <v>171</v>
      </c>
      <c r="E21" s="4" t="s">
        <v>172</v>
      </c>
      <c r="F21" s="4"/>
      <c r="H21" s="4" t="e">
        <v>#N/A</v>
      </c>
      <c r="J21" s="4" t="s">
        <v>173</v>
      </c>
      <c r="K21" s="4" t="s">
        <v>174</v>
      </c>
    </row>
    <row r="22" spans="1:11" ht="15.75" customHeight="1">
      <c r="A22" s="4" t="s">
        <v>175</v>
      </c>
      <c r="B22" s="4" t="s">
        <v>176</v>
      </c>
      <c r="C22" s="4" t="s">
        <v>177</v>
      </c>
      <c r="D22" s="4" t="s">
        <v>178</v>
      </c>
      <c r="E22" s="4" t="s">
        <v>179</v>
      </c>
      <c r="F22" s="4"/>
      <c r="H22" s="4"/>
      <c r="J22" s="4" t="s">
        <v>180</v>
      </c>
      <c r="K22" s="4" t="s">
        <v>181</v>
      </c>
    </row>
    <row r="23" spans="1:11" ht="15.75" customHeight="1">
      <c r="A23" s="4" t="s">
        <v>182</v>
      </c>
      <c r="B23" s="4" t="s">
        <v>183</v>
      </c>
      <c r="C23" s="4" t="s">
        <v>184</v>
      </c>
      <c r="D23" s="4" t="s">
        <v>185</v>
      </c>
      <c r="E23" s="4" t="s">
        <v>186</v>
      </c>
      <c r="F23" s="4" t="e">
        <v>#N/A</v>
      </c>
      <c r="H23" s="4"/>
      <c r="J23" s="4" t="s">
        <v>187</v>
      </c>
      <c r="K23" s="4" t="s">
        <v>188</v>
      </c>
    </row>
    <row r="24" spans="1:11" ht="15.75" customHeight="1">
      <c r="A24" s="4" t="s">
        <v>189</v>
      </c>
      <c r="B24" s="4" t="s">
        <v>190</v>
      </c>
      <c r="C24" s="4" t="s">
        <v>191</v>
      </c>
      <c r="D24" s="4" t="s">
        <v>192</v>
      </c>
      <c r="E24" s="4" t="s">
        <v>193</v>
      </c>
      <c r="F24" s="4" t="e">
        <v>#N/A</v>
      </c>
      <c r="H24" s="4" t="s">
        <v>194</v>
      </c>
      <c r="I24" s="4" t="s">
        <v>195</v>
      </c>
      <c r="J24" s="4" t="s">
        <v>196</v>
      </c>
      <c r="K24" s="4" t="s">
        <v>197</v>
      </c>
    </row>
    <row r="25" spans="1:11" ht="15.75" customHeight="1">
      <c r="A25" s="4" t="s">
        <v>198</v>
      </c>
      <c r="B25" s="4" t="s">
        <v>199</v>
      </c>
      <c r="C25" s="4" t="s">
        <v>200</v>
      </c>
      <c r="D25" s="4" t="e">
        <v>#N/A</v>
      </c>
      <c r="F25" s="4" t="s">
        <v>201</v>
      </c>
      <c r="G25" s="4" t="s">
        <v>202</v>
      </c>
      <c r="H25" s="4" t="s">
        <v>204</v>
      </c>
      <c r="I25" s="4" t="s">
        <v>205</v>
      </c>
      <c r="J25" s="4" t="s">
        <v>206</v>
      </c>
      <c r="K25" s="4" t="s">
        <v>207</v>
      </c>
    </row>
    <row r="26" spans="1:11" ht="15.75" customHeight="1">
      <c r="A26" s="4" t="s">
        <v>208</v>
      </c>
      <c r="B26" s="4" t="s">
        <v>209</v>
      </c>
      <c r="C26" s="4" t="s">
        <v>210</v>
      </c>
      <c r="D26" s="4" t="s">
        <v>211</v>
      </c>
      <c r="E26" s="4" t="s">
        <v>212</v>
      </c>
      <c r="F26" s="4" t="s">
        <v>213</v>
      </c>
      <c r="G26" s="4" t="s">
        <v>214</v>
      </c>
      <c r="H26" s="4" t="s">
        <v>215</v>
      </c>
      <c r="I26" s="4" t="s">
        <v>216</v>
      </c>
      <c r="J26" s="4" t="e">
        <v>#N/A</v>
      </c>
    </row>
    <row r="27" spans="1:11" ht="15.75" customHeight="1">
      <c r="A27" s="4" t="s">
        <v>217</v>
      </c>
      <c r="B27" s="4" t="s">
        <v>218</v>
      </c>
      <c r="C27" s="4" t="s">
        <v>219</v>
      </c>
      <c r="D27" s="4" t="s">
        <v>220</v>
      </c>
      <c r="E27" s="4" t="s">
        <v>221</v>
      </c>
      <c r="F27" s="4" t="s">
        <v>222</v>
      </c>
      <c r="G27" s="4" t="s">
        <v>223</v>
      </c>
      <c r="H27" s="4" t="s">
        <v>224</v>
      </c>
      <c r="I27" s="4" t="s">
        <v>225</v>
      </c>
      <c r="J27" s="4" t="e">
        <v>#N/A</v>
      </c>
    </row>
    <row r="28" spans="1:11" ht="15.75" customHeight="1">
      <c r="A28" s="4" t="s">
        <v>227</v>
      </c>
      <c r="B28" s="4" t="s">
        <v>229</v>
      </c>
      <c r="C28" s="4" t="s">
        <v>231</v>
      </c>
      <c r="D28" s="4" t="s">
        <v>232</v>
      </c>
      <c r="E28" s="4" t="s">
        <v>234</v>
      </c>
      <c r="F28" s="4" t="e">
        <v>#N/A</v>
      </c>
      <c r="H28" s="4" t="e">
        <v>#N/A</v>
      </c>
      <c r="J28" s="4" t="s">
        <v>239</v>
      </c>
      <c r="K28" s="4" t="s">
        <v>242</v>
      </c>
    </row>
    <row r="29" spans="1:11" ht="15.75" customHeight="1">
      <c r="A29" s="4" t="s">
        <v>244</v>
      </c>
      <c r="B29" s="4" t="s">
        <v>246</v>
      </c>
      <c r="C29" s="4" t="s">
        <v>248</v>
      </c>
      <c r="D29" s="4" t="s">
        <v>249</v>
      </c>
      <c r="E29" s="4" t="s">
        <v>251</v>
      </c>
      <c r="F29" s="4" t="s">
        <v>252</v>
      </c>
      <c r="G29" s="4" t="s">
        <v>255</v>
      </c>
      <c r="H29" s="4" t="s">
        <v>257</v>
      </c>
      <c r="I29" s="4" t="s">
        <v>258</v>
      </c>
      <c r="J29" s="4" t="e">
        <v>#N/A</v>
      </c>
    </row>
    <row r="30" spans="1:11" ht="15.75" customHeight="1">
      <c r="A30" s="4" t="s">
        <v>260</v>
      </c>
      <c r="B30" s="4" t="s">
        <v>262</v>
      </c>
      <c r="C30" s="4" t="s">
        <v>264</v>
      </c>
      <c r="D30" s="4" t="s">
        <v>265</v>
      </c>
      <c r="E30" s="4" t="s">
        <v>266</v>
      </c>
      <c r="F30" s="4" t="e">
        <v>#N/A</v>
      </c>
      <c r="H30" s="4" t="e">
        <v>#N/A</v>
      </c>
      <c r="J30" s="4" t="s">
        <v>269</v>
      </c>
      <c r="K30" s="4" t="s">
        <v>270</v>
      </c>
    </row>
    <row r="31" spans="1:11" ht="15.75" customHeight="1">
      <c r="A31" s="4" t="s">
        <v>273</v>
      </c>
      <c r="B31" s="4" t="s">
        <v>274</v>
      </c>
      <c r="C31" s="4" t="s">
        <v>277</v>
      </c>
      <c r="D31" s="4" t="e">
        <v>#N/A</v>
      </c>
      <c r="F31" s="4" t="s">
        <v>280</v>
      </c>
      <c r="G31" s="4" t="s">
        <v>282</v>
      </c>
      <c r="H31" s="4" t="s">
        <v>287</v>
      </c>
      <c r="I31" s="4" t="s">
        <v>289</v>
      </c>
      <c r="J31" s="4" t="s">
        <v>290</v>
      </c>
      <c r="K31" s="4" t="s">
        <v>292</v>
      </c>
    </row>
    <row r="32" spans="1:11" ht="15.75" customHeight="1">
      <c r="A32" s="4" t="s">
        <v>299</v>
      </c>
      <c r="B32" s="4" t="s">
        <v>301</v>
      </c>
      <c r="C32" s="4" t="s">
        <v>303</v>
      </c>
      <c r="D32" s="4" t="s">
        <v>305</v>
      </c>
      <c r="E32" s="4" t="s">
        <v>308</v>
      </c>
      <c r="F32" s="4" t="e">
        <v>#N/A</v>
      </c>
      <c r="H32" s="4" t="s">
        <v>311</v>
      </c>
      <c r="I32" s="4" t="s">
        <v>312</v>
      </c>
      <c r="J32" s="4" t="s">
        <v>314</v>
      </c>
      <c r="K32" s="4" t="s">
        <v>318</v>
      </c>
    </row>
    <row r="33" spans="1:11" ht="15.75" customHeight="1">
      <c r="A33" s="4" t="s">
        <v>320</v>
      </c>
      <c r="B33" s="4" t="e">
        <v>#N/A</v>
      </c>
      <c r="D33" s="4" t="s">
        <v>323</v>
      </c>
      <c r="E33" s="4" t="s">
        <v>326</v>
      </c>
      <c r="F33" s="4" t="s">
        <v>328</v>
      </c>
      <c r="G33" s="4" t="s">
        <v>331</v>
      </c>
      <c r="H33" s="4" t="e">
        <v>#N/A</v>
      </c>
      <c r="J33" s="4" t="s">
        <v>333</v>
      </c>
      <c r="K33" s="4" t="s">
        <v>335</v>
      </c>
    </row>
    <row r="34" spans="1:11" ht="15.75" customHeight="1">
      <c r="A34" s="4" t="s">
        <v>338</v>
      </c>
      <c r="B34" s="4" t="s">
        <v>339</v>
      </c>
      <c r="C34" s="4" t="s">
        <v>342</v>
      </c>
      <c r="D34" s="4" t="s">
        <v>344</v>
      </c>
      <c r="E34" s="4" t="s">
        <v>346</v>
      </c>
      <c r="F34" s="4" t="e">
        <v>#N/A</v>
      </c>
      <c r="H34" s="4" t="s">
        <v>349</v>
      </c>
      <c r="I34" s="4" t="s">
        <v>352</v>
      </c>
      <c r="J34" s="4" t="s">
        <v>354</v>
      </c>
      <c r="K34" s="4" t="s">
        <v>356</v>
      </c>
    </row>
    <row r="35" spans="1:11" ht="15.75" customHeight="1">
      <c r="A35" s="4" t="s">
        <v>359</v>
      </c>
      <c r="B35" s="4" t="s">
        <v>361</v>
      </c>
      <c r="C35" s="4" t="s">
        <v>362</v>
      </c>
      <c r="D35" s="4" t="s">
        <v>364</v>
      </c>
      <c r="E35" s="4" t="s">
        <v>367</v>
      </c>
      <c r="F35" s="4" t="s">
        <v>368</v>
      </c>
      <c r="G35" s="4" t="s">
        <v>370</v>
      </c>
      <c r="H35" s="4" t="e">
        <v>#N/A</v>
      </c>
      <c r="J35" s="4" t="s">
        <v>373</v>
      </c>
      <c r="K35" s="4" t="s">
        <v>375</v>
      </c>
    </row>
    <row r="36" spans="1:11" ht="15.75" customHeight="1">
      <c r="A36" s="4" t="s">
        <v>377</v>
      </c>
      <c r="B36" s="4" t="s">
        <v>379</v>
      </c>
      <c r="C36" s="4" t="s">
        <v>380</v>
      </c>
      <c r="D36" s="4" t="s">
        <v>381</v>
      </c>
      <c r="E36" s="4" t="s">
        <v>384</v>
      </c>
      <c r="F36" s="4" t="s">
        <v>385</v>
      </c>
      <c r="G36" s="4" t="s">
        <v>386</v>
      </c>
      <c r="H36" s="4" t="s">
        <v>388</v>
      </c>
      <c r="I36" s="4" t="s">
        <v>390</v>
      </c>
      <c r="J36" s="4" t="s">
        <v>392</v>
      </c>
      <c r="K36" s="4" t="s">
        <v>395</v>
      </c>
    </row>
    <row r="37" spans="1:11" ht="15.75" customHeight="1">
      <c r="A37" s="4" t="s">
        <v>397</v>
      </c>
      <c r="B37" s="4" t="s">
        <v>399</v>
      </c>
      <c r="C37" s="4" t="s">
        <v>402</v>
      </c>
      <c r="D37" s="4" t="s">
        <v>404</v>
      </c>
      <c r="E37" s="4" t="s">
        <v>406</v>
      </c>
      <c r="F37" s="4" t="s">
        <v>408</v>
      </c>
      <c r="G37" s="4" t="s">
        <v>409</v>
      </c>
      <c r="H37" s="4" t="s">
        <v>411</v>
      </c>
      <c r="I37" s="4" t="s">
        <v>413</v>
      </c>
      <c r="J37" s="4" t="s">
        <v>414</v>
      </c>
      <c r="K37" s="4" t="s">
        <v>417</v>
      </c>
    </row>
    <row r="38" spans="1:11" ht="15.75" customHeight="1">
      <c r="A38" s="4" t="s">
        <v>418</v>
      </c>
      <c r="B38" s="4" t="s">
        <v>419</v>
      </c>
      <c r="C38" s="4" t="s">
        <v>422</v>
      </c>
      <c r="D38" s="4" t="e">
        <v>#N/A</v>
      </c>
      <c r="F38" s="4" t="s">
        <v>425</v>
      </c>
      <c r="G38" s="4" t="s">
        <v>426</v>
      </c>
      <c r="H38" s="4" t="s">
        <v>428</v>
      </c>
      <c r="I38" s="4" t="s">
        <v>430</v>
      </c>
      <c r="J38" s="4" t="s">
        <v>432</v>
      </c>
      <c r="K38" s="4" t="s">
        <v>434</v>
      </c>
    </row>
    <row r="39" spans="1:11" ht="15.75" customHeight="1">
      <c r="A39" s="4" t="s">
        <v>436</v>
      </c>
      <c r="B39" s="4" t="s">
        <v>437</v>
      </c>
      <c r="C39" s="4" t="s">
        <v>438</v>
      </c>
      <c r="D39" s="4" t="s">
        <v>440</v>
      </c>
      <c r="E39" s="4" t="s">
        <v>443</v>
      </c>
      <c r="F39" s="4" t="s">
        <v>445</v>
      </c>
      <c r="G39" s="4" t="s">
        <v>447</v>
      </c>
      <c r="H39" s="4" t="e">
        <v>#N/A</v>
      </c>
      <c r="J39" s="4" t="s">
        <v>449</v>
      </c>
      <c r="K39" s="4" t="s">
        <v>452</v>
      </c>
    </row>
    <row r="40" spans="1:11" ht="15.75" customHeight="1">
      <c r="A40" s="4" t="s">
        <v>453</v>
      </c>
      <c r="B40" s="4" t="s">
        <v>454</v>
      </c>
      <c r="C40" s="4" t="s">
        <v>457</v>
      </c>
      <c r="D40" s="4" t="s">
        <v>459</v>
      </c>
      <c r="E40" s="4" t="s">
        <v>460</v>
      </c>
      <c r="F40" s="4" t="e">
        <v>#N/A</v>
      </c>
      <c r="H40" s="4"/>
      <c r="J40" s="4" t="s">
        <v>464</v>
      </c>
      <c r="K40" s="4" t="s">
        <v>466</v>
      </c>
    </row>
    <row r="41" spans="1:11" ht="15.75" customHeight="1">
      <c r="A41" s="4" t="s">
        <v>468</v>
      </c>
      <c r="B41" s="4" t="e">
        <v>#N/A</v>
      </c>
      <c r="D41" s="4" t="s">
        <v>470</v>
      </c>
      <c r="E41" s="4" t="s">
        <v>472</v>
      </c>
      <c r="F41" s="4" t="s">
        <v>474</v>
      </c>
      <c r="G41" s="4" t="s">
        <v>476</v>
      </c>
      <c r="H41" s="4" t="e">
        <v>#N/A</v>
      </c>
      <c r="J41" s="4" t="s">
        <v>482</v>
      </c>
      <c r="K41" s="4" t="s">
        <v>483</v>
      </c>
    </row>
    <row r="42" spans="1:11" ht="15.75" customHeight="1">
      <c r="A42" s="4" t="s">
        <v>485</v>
      </c>
      <c r="B42" s="4" t="s">
        <v>487</v>
      </c>
      <c r="C42" s="4" t="s">
        <v>489</v>
      </c>
      <c r="D42" s="4" t="s">
        <v>491</v>
      </c>
      <c r="E42" s="4" t="s">
        <v>493</v>
      </c>
      <c r="F42" s="4" t="s">
        <v>494</v>
      </c>
      <c r="G42" s="4" t="s">
        <v>495</v>
      </c>
      <c r="H42" s="4" t="s">
        <v>497</v>
      </c>
      <c r="I42" s="4" t="s">
        <v>499</v>
      </c>
      <c r="J42" s="4" t="s">
        <v>501</v>
      </c>
      <c r="K42" s="4" t="s">
        <v>503</v>
      </c>
    </row>
    <row r="43" spans="1:11" ht="15.75" customHeight="1">
      <c r="A43" s="4" t="s">
        <v>506</v>
      </c>
      <c r="B43" s="4" t="s">
        <v>508</v>
      </c>
      <c r="C43" s="4" t="s">
        <v>510</v>
      </c>
      <c r="D43" s="4" t="s">
        <v>512</v>
      </c>
      <c r="E43" s="4" t="s">
        <v>515</v>
      </c>
      <c r="F43" s="4" t="s">
        <v>517</v>
      </c>
      <c r="G43" s="4" t="s">
        <v>519</v>
      </c>
      <c r="H43" s="4" t="e">
        <v>#N/A</v>
      </c>
      <c r="J43" s="4" t="s">
        <v>521</v>
      </c>
      <c r="K43" s="4" t="s">
        <v>523</v>
      </c>
    </row>
    <row r="44" spans="1:11" ht="15.75" customHeight="1">
      <c r="A44" s="4" t="s">
        <v>525</v>
      </c>
      <c r="B44" s="4" t="s">
        <v>527</v>
      </c>
      <c r="C44" s="4" t="s">
        <v>529</v>
      </c>
      <c r="D44" s="4" t="e">
        <v>#N/A</v>
      </c>
      <c r="F44" s="4" t="s">
        <v>530</v>
      </c>
      <c r="G44" s="4" t="s">
        <v>532</v>
      </c>
      <c r="H44" s="4" t="s">
        <v>534</v>
      </c>
      <c r="I44" s="4" t="s">
        <v>536</v>
      </c>
      <c r="J44" s="4" t="s">
        <v>538</v>
      </c>
      <c r="K44" s="4" t="s">
        <v>540</v>
      </c>
    </row>
    <row r="45" spans="1:11" ht="15.75" customHeight="1">
      <c r="A45" s="4" t="s">
        <v>542</v>
      </c>
      <c r="B45" s="4" t="e">
        <v>#N/A</v>
      </c>
      <c r="D45" s="4" t="s">
        <v>546</v>
      </c>
      <c r="E45" s="4" t="s">
        <v>547</v>
      </c>
      <c r="F45" s="4" t="s">
        <v>549</v>
      </c>
      <c r="G45" s="4" t="s">
        <v>551</v>
      </c>
      <c r="H45" s="4" t="s">
        <v>553</v>
      </c>
      <c r="I45" s="4" t="s">
        <v>555</v>
      </c>
      <c r="J45" s="4" t="s">
        <v>556</v>
      </c>
      <c r="K45" s="4" t="s">
        <v>559</v>
      </c>
    </row>
    <row r="46" spans="1:11" ht="15.75" customHeight="1">
      <c r="A46" s="4" t="s">
        <v>561</v>
      </c>
      <c r="B46" s="4" t="s">
        <v>562</v>
      </c>
      <c r="C46" s="4" t="s">
        <v>565</v>
      </c>
      <c r="D46" s="4" t="s">
        <v>567</v>
      </c>
      <c r="E46" s="4" t="s">
        <v>568</v>
      </c>
      <c r="F46" s="4" t="s">
        <v>569</v>
      </c>
      <c r="G46" s="4" t="s">
        <v>571</v>
      </c>
      <c r="H46" s="4" t="s">
        <v>573</v>
      </c>
      <c r="I46" s="4" t="s">
        <v>574</v>
      </c>
      <c r="J46" s="4" t="s">
        <v>576</v>
      </c>
      <c r="K46" s="4" t="s">
        <v>578</v>
      </c>
    </row>
    <row r="47" spans="1:11" ht="15.75" customHeight="1">
      <c r="A47" s="4" t="s">
        <v>580</v>
      </c>
      <c r="B47" s="4" t="s">
        <v>581</v>
      </c>
      <c r="C47" s="4" t="s">
        <v>583</v>
      </c>
      <c r="D47" s="4" t="e">
        <v>#N/A</v>
      </c>
      <c r="F47" s="4" t="s">
        <v>587</v>
      </c>
      <c r="G47" s="4" t="s">
        <v>589</v>
      </c>
      <c r="H47" s="4" t="s">
        <v>591</v>
      </c>
      <c r="I47" s="4" t="s">
        <v>593</v>
      </c>
      <c r="J47" s="4" t="e">
        <v>#N/A</v>
      </c>
    </row>
    <row r="48" spans="1:11" ht="15.75" customHeight="1">
      <c r="A48" s="4" t="s">
        <v>598</v>
      </c>
      <c r="B48" s="4" t="s">
        <v>600</v>
      </c>
      <c r="C48" s="4" t="s">
        <v>602</v>
      </c>
      <c r="D48" s="4" t="s">
        <v>603</v>
      </c>
      <c r="E48" s="4" t="s">
        <v>605</v>
      </c>
      <c r="F48" s="4" t="s">
        <v>607</v>
      </c>
      <c r="G48" s="4" t="s">
        <v>609</v>
      </c>
      <c r="H48" s="4" t="s">
        <v>610</v>
      </c>
      <c r="I48" s="4" t="s">
        <v>611</v>
      </c>
      <c r="J48" s="4" t="s">
        <v>612</v>
      </c>
      <c r="K48" s="4" t="s">
        <v>613</v>
      </c>
    </row>
    <row r="49" spans="1:11" ht="15.75" customHeight="1">
      <c r="A49" s="4" t="s">
        <v>615</v>
      </c>
      <c r="B49" s="4" t="s">
        <v>617</v>
      </c>
      <c r="C49" s="4" t="s">
        <v>620</v>
      </c>
      <c r="D49" s="4" t="e">
        <v>#N/A</v>
      </c>
      <c r="F49" s="4" t="s">
        <v>623</v>
      </c>
      <c r="G49" s="4" t="s">
        <v>626</v>
      </c>
      <c r="H49" s="4" t="s">
        <v>627</v>
      </c>
      <c r="I49" s="4" t="s">
        <v>629</v>
      </c>
      <c r="J49" s="4" t="s">
        <v>631</v>
      </c>
      <c r="K49" s="4" t="s">
        <v>634</v>
      </c>
    </row>
    <row r="50" spans="1:11" ht="15.75" customHeight="1">
      <c r="A50" s="4" t="s">
        <v>637</v>
      </c>
      <c r="B50" s="4" t="e">
        <v>#N/A</v>
      </c>
      <c r="D50" s="4" t="s">
        <v>640</v>
      </c>
      <c r="E50" s="4" t="s">
        <v>642</v>
      </c>
      <c r="F50" s="4" t="s">
        <v>644</v>
      </c>
      <c r="G50" s="4" t="s">
        <v>646</v>
      </c>
      <c r="H50" s="4" t="s">
        <v>647</v>
      </c>
      <c r="I50" s="4" t="s">
        <v>650</v>
      </c>
      <c r="J50" s="4" t="e">
        <v>#N/A</v>
      </c>
    </row>
    <row r="51" spans="1:11" ht="15.75" customHeight="1">
      <c r="A51" s="4" t="s">
        <v>654</v>
      </c>
      <c r="B51" s="4" t="e">
        <v>#N/A</v>
      </c>
      <c r="D51" s="4" t="e">
        <v>#N/A</v>
      </c>
      <c r="F51" s="4" t="s">
        <v>657</v>
      </c>
      <c r="G51" s="4" t="s">
        <v>659</v>
      </c>
      <c r="H51" s="4" t="s">
        <v>660</v>
      </c>
      <c r="I51" s="4" t="s">
        <v>663</v>
      </c>
      <c r="J51" s="4" t="s">
        <v>665</v>
      </c>
      <c r="K51" s="4" t="s">
        <v>668</v>
      </c>
    </row>
    <row r="52" spans="1:11" ht="13">
      <c r="A52" s="4" t="s">
        <v>670</v>
      </c>
      <c r="B52" s="4" t="e">
        <v>#N/A</v>
      </c>
      <c r="D52" s="4" t="s">
        <v>673</v>
      </c>
      <c r="E52" s="4" t="s">
        <v>676</v>
      </c>
      <c r="F52" s="4" t="e">
        <v>#N/A</v>
      </c>
      <c r="H52" s="4" t="e">
        <v>#N/A</v>
      </c>
      <c r="J52" s="4" t="s">
        <v>679</v>
      </c>
      <c r="K52" s="4" t="s">
        <v>681</v>
      </c>
    </row>
    <row r="53" spans="1:11" ht="13">
      <c r="A53" s="4" t="s">
        <v>683</v>
      </c>
      <c r="B53" s="4" t="s">
        <v>684</v>
      </c>
      <c r="C53" s="4" t="s">
        <v>686</v>
      </c>
      <c r="D53" s="4" t="s">
        <v>688</v>
      </c>
      <c r="E53" s="4" t="s">
        <v>691</v>
      </c>
      <c r="F53" s="4" t="e">
        <v>#N/A</v>
      </c>
      <c r="H53" s="4" t="e">
        <v>#N/A</v>
      </c>
      <c r="J53" s="4" t="e">
        <v>#N/A</v>
      </c>
    </row>
    <row r="54" spans="1:11" ht="13">
      <c r="A54" s="4" t="s">
        <v>693</v>
      </c>
      <c r="B54" s="4" t="s">
        <v>694</v>
      </c>
      <c r="C54" s="4" t="s">
        <v>695</v>
      </c>
      <c r="D54" s="4" t="s">
        <v>696</v>
      </c>
      <c r="E54" s="4" t="s">
        <v>697</v>
      </c>
      <c r="F54" s="4" t="s">
        <v>698</v>
      </c>
      <c r="G54" s="4" t="s">
        <v>702</v>
      </c>
      <c r="H54" s="4" t="s">
        <v>703</v>
      </c>
      <c r="I54" s="4" t="s">
        <v>706</v>
      </c>
      <c r="J54" s="4" t="s">
        <v>707</v>
      </c>
      <c r="K54" s="4" t="s">
        <v>709</v>
      </c>
    </row>
    <row r="55" spans="1:11" ht="13">
      <c r="A55" s="4" t="s">
        <v>711</v>
      </c>
      <c r="B55" s="4" t="s">
        <v>713</v>
      </c>
      <c r="C55" s="4" t="s">
        <v>715</v>
      </c>
      <c r="D55" s="4" t="s">
        <v>717</v>
      </c>
      <c r="E55" s="4" t="s">
        <v>719</v>
      </c>
      <c r="F55" s="4" t="s">
        <v>720</v>
      </c>
      <c r="G55" s="4" t="s">
        <v>721</v>
      </c>
      <c r="H55" s="4" t="s">
        <v>722</v>
      </c>
      <c r="I55" s="4" t="s">
        <v>723</v>
      </c>
      <c r="J55" s="4" t="s">
        <v>725</v>
      </c>
      <c r="K55" s="4" t="s">
        <v>727</v>
      </c>
    </row>
    <row r="56" spans="1:11" ht="13">
      <c r="A56" s="4" t="s">
        <v>730</v>
      </c>
      <c r="B56" s="4" t="s">
        <v>732</v>
      </c>
      <c r="C56" s="4" t="s">
        <v>734</v>
      </c>
      <c r="D56" s="4" t="s">
        <v>735</v>
      </c>
      <c r="E56" s="4" t="s">
        <v>738</v>
      </c>
      <c r="F56" s="4" t="s">
        <v>739</v>
      </c>
      <c r="G56" s="4" t="s">
        <v>741</v>
      </c>
      <c r="H56" s="4" t="s">
        <v>742</v>
      </c>
      <c r="I56" s="4" t="s">
        <v>743</v>
      </c>
      <c r="J56" s="4" t="s">
        <v>744</v>
      </c>
      <c r="K56" s="4" t="s">
        <v>745</v>
      </c>
    </row>
    <row r="57" spans="1:11" ht="13">
      <c r="A57" s="4" t="s">
        <v>747</v>
      </c>
      <c r="B57" s="4" t="s">
        <v>748</v>
      </c>
      <c r="C57" s="4" t="s">
        <v>750</v>
      </c>
      <c r="D57" s="4" t="s">
        <v>751</v>
      </c>
      <c r="E57" s="4" t="s">
        <v>754</v>
      </c>
      <c r="F57" s="4" t="e">
        <v>#N/A</v>
      </c>
      <c r="H57" s="4" t="s">
        <v>757</v>
      </c>
      <c r="I57" s="4" t="s">
        <v>759</v>
      </c>
      <c r="J57" s="4" t="s">
        <v>761</v>
      </c>
      <c r="K57" s="4" t="s">
        <v>762</v>
      </c>
    </row>
    <row r="58" spans="1:11" ht="13">
      <c r="A58" s="4" t="s">
        <v>764</v>
      </c>
      <c r="B58" s="4" t="s">
        <v>767</v>
      </c>
      <c r="C58" s="4" t="s">
        <v>769</v>
      </c>
      <c r="D58" s="4" t="s">
        <v>771</v>
      </c>
      <c r="E58" s="4" t="s">
        <v>772</v>
      </c>
      <c r="F58" s="4" t="s">
        <v>775</v>
      </c>
      <c r="G58" s="4" t="s">
        <v>777</v>
      </c>
      <c r="H58" s="4" t="s">
        <v>778</v>
      </c>
      <c r="I58" s="4" t="s">
        <v>779</v>
      </c>
      <c r="J58" s="4" t="s">
        <v>782</v>
      </c>
      <c r="K58" s="4" t="s">
        <v>784</v>
      </c>
    </row>
    <row r="59" spans="1:11" ht="13">
      <c r="A59" s="4" t="s">
        <v>785</v>
      </c>
      <c r="B59" s="4" t="e">
        <v>#N/A</v>
      </c>
      <c r="D59" s="4" t="s">
        <v>786</v>
      </c>
      <c r="E59" s="4" t="s">
        <v>789</v>
      </c>
      <c r="F59" s="4" t="s">
        <v>791</v>
      </c>
      <c r="G59" s="4" t="s">
        <v>793</v>
      </c>
      <c r="H59" s="4" t="e">
        <v>#N/A</v>
      </c>
      <c r="J59" s="4" t="s">
        <v>796</v>
      </c>
      <c r="K59" s="4" t="s">
        <v>797</v>
      </c>
    </row>
    <row r="60" spans="1:11" ht="13">
      <c r="A60" s="4" t="s">
        <v>799</v>
      </c>
      <c r="B60" s="4" t="s">
        <v>800</v>
      </c>
      <c r="C60" s="4" t="s">
        <v>803</v>
      </c>
      <c r="D60" s="4" t="e">
        <v>#N/A</v>
      </c>
      <c r="F60" s="4" t="s">
        <v>805</v>
      </c>
      <c r="G60" s="4" t="s">
        <v>806</v>
      </c>
      <c r="H60" s="4" t="s">
        <v>808</v>
      </c>
      <c r="I60" s="4" t="s">
        <v>810</v>
      </c>
      <c r="J60" s="4" t="e">
        <v>#N/A</v>
      </c>
    </row>
    <row r="61" spans="1:11" ht="13">
      <c r="A61" s="4" t="s">
        <v>813</v>
      </c>
      <c r="B61" s="4" t="s">
        <v>815</v>
      </c>
      <c r="C61" s="4" t="s">
        <v>817</v>
      </c>
      <c r="D61" s="4" t="s">
        <v>818</v>
      </c>
      <c r="E61" s="4" t="s">
        <v>820</v>
      </c>
      <c r="F61" s="4" t="s">
        <v>822</v>
      </c>
      <c r="G61" s="4" t="s">
        <v>824</v>
      </c>
      <c r="H61" s="4" t="s">
        <v>825</v>
      </c>
      <c r="I61" s="4" t="s">
        <v>827</v>
      </c>
      <c r="J61" s="4" t="e">
        <v>#N/A</v>
      </c>
    </row>
    <row r="62" spans="1:11" ht="13">
      <c r="A62" s="4" t="s">
        <v>831</v>
      </c>
      <c r="B62" s="4" t="s">
        <v>833</v>
      </c>
      <c r="C62" s="4" t="s">
        <v>836</v>
      </c>
      <c r="D62" s="4" t="e">
        <v>#N/A</v>
      </c>
      <c r="F62" s="4" t="s">
        <v>837</v>
      </c>
      <c r="G62" s="4" t="s">
        <v>839</v>
      </c>
      <c r="H62" s="4"/>
      <c r="J62" s="4" t="s">
        <v>842</v>
      </c>
      <c r="K62" s="4" t="s">
        <v>845</v>
      </c>
    </row>
    <row r="63" spans="1:11" ht="13">
      <c r="A63" s="4" t="s">
        <v>847</v>
      </c>
      <c r="B63" s="4" t="s">
        <v>849</v>
      </c>
      <c r="C63" s="4" t="s">
        <v>852</v>
      </c>
      <c r="D63" s="4" t="s">
        <v>854</v>
      </c>
      <c r="E63" s="4" t="s">
        <v>857</v>
      </c>
      <c r="F63" s="4" t="s">
        <v>858</v>
      </c>
      <c r="G63" s="4" t="s">
        <v>864</v>
      </c>
      <c r="H63" s="4" t="s">
        <v>865</v>
      </c>
      <c r="I63" s="4" t="s">
        <v>867</v>
      </c>
      <c r="J63" s="4" t="s">
        <v>869</v>
      </c>
      <c r="K63" s="4" t="s">
        <v>870</v>
      </c>
    </row>
    <row r="64" spans="1:11" ht="13">
      <c r="A64" s="4" t="s">
        <v>873</v>
      </c>
      <c r="B64" s="4" t="e">
        <v>#N/A</v>
      </c>
      <c r="D64" s="4" t="s">
        <v>876</v>
      </c>
      <c r="E64" s="4" t="s">
        <v>878</v>
      </c>
      <c r="F64" s="4" t="s">
        <v>879</v>
      </c>
      <c r="G64" s="4" t="s">
        <v>881</v>
      </c>
      <c r="H64" s="4" t="s">
        <v>883</v>
      </c>
      <c r="I64" s="4" t="s">
        <v>886</v>
      </c>
      <c r="J64" s="4" t="s">
        <v>888</v>
      </c>
      <c r="K64" s="4" t="s">
        <v>890</v>
      </c>
    </row>
    <row r="65" spans="1:11" ht="13">
      <c r="A65" s="4" t="s">
        <v>893</v>
      </c>
      <c r="B65" s="4" t="s">
        <v>894</v>
      </c>
      <c r="C65" s="4" t="s">
        <v>897</v>
      </c>
      <c r="D65" s="4" t="s">
        <v>899</v>
      </c>
      <c r="E65" s="4" t="s">
        <v>901</v>
      </c>
      <c r="F65" s="4" t="e">
        <v>#N/A</v>
      </c>
      <c r="H65" s="4" t="e">
        <v>#N/A</v>
      </c>
      <c r="J65" s="4" t="e">
        <v>#N/A</v>
      </c>
    </row>
    <row r="66" spans="1:11" ht="13">
      <c r="A66" s="4" t="s">
        <v>907</v>
      </c>
      <c r="B66" s="4" t="e">
        <v>#N/A</v>
      </c>
      <c r="D66" s="4" t="s">
        <v>909</v>
      </c>
      <c r="E66" s="4" t="s">
        <v>910</v>
      </c>
      <c r="F66" s="4" t="s">
        <v>912</v>
      </c>
      <c r="G66" s="4" t="s">
        <v>914</v>
      </c>
      <c r="H66" s="4" t="s">
        <v>916</v>
      </c>
      <c r="I66" s="4" t="s">
        <v>918</v>
      </c>
      <c r="J66" s="4" t="s">
        <v>920</v>
      </c>
      <c r="K66" s="4" t="s">
        <v>922</v>
      </c>
    </row>
    <row r="67" spans="1:11" ht="13">
      <c r="A67" s="4" t="s">
        <v>924</v>
      </c>
      <c r="B67" s="4" t="s">
        <v>926</v>
      </c>
      <c r="C67" s="4" t="s">
        <v>929</v>
      </c>
      <c r="D67" s="4" t="e">
        <v>#N/A</v>
      </c>
      <c r="F67" s="4" t="e">
        <v>#N/A</v>
      </c>
      <c r="H67" s="4" t="e">
        <v>#N/A</v>
      </c>
      <c r="J67" s="4" t="s">
        <v>932</v>
      </c>
      <c r="K67" s="4" t="s">
        <v>934</v>
      </c>
    </row>
    <row r="68" spans="1:11" ht="13">
      <c r="A68" s="4" t="s">
        <v>936</v>
      </c>
      <c r="B68" s="4" t="s">
        <v>937</v>
      </c>
      <c r="C68" s="4" t="s">
        <v>940</v>
      </c>
      <c r="D68" s="4" t="s">
        <v>942</v>
      </c>
      <c r="E68" s="4" t="s">
        <v>946</v>
      </c>
      <c r="F68" s="4" t="e">
        <v>#N/A</v>
      </c>
      <c r="H68" s="4" t="s">
        <v>947</v>
      </c>
      <c r="I68" s="4" t="s">
        <v>948</v>
      </c>
      <c r="J68" s="4" t="s">
        <v>949</v>
      </c>
      <c r="K68" s="4" t="s">
        <v>952</v>
      </c>
    </row>
    <row r="69" spans="1:11" ht="13">
      <c r="A69" s="4" t="s">
        <v>955</v>
      </c>
      <c r="B69" s="4" t="s">
        <v>956</v>
      </c>
      <c r="C69" s="4" t="s">
        <v>959</v>
      </c>
      <c r="D69" s="4" t="e">
        <v>#N/A</v>
      </c>
      <c r="F69" s="4" t="s">
        <v>961</v>
      </c>
      <c r="G69" s="4" t="s">
        <v>962</v>
      </c>
      <c r="H69" s="4" t="s">
        <v>963</v>
      </c>
      <c r="I69" s="4" t="s">
        <v>965</v>
      </c>
      <c r="J69" s="4" t="s">
        <v>966</v>
      </c>
      <c r="K69" s="4" t="s">
        <v>968</v>
      </c>
    </row>
    <row r="70" spans="1:11" ht="13">
      <c r="A70" s="4" t="s">
        <v>971</v>
      </c>
      <c r="B70" s="4" t="e">
        <v>#N/A</v>
      </c>
      <c r="D70" s="4" t="s">
        <v>973</v>
      </c>
      <c r="E70" s="4" t="s">
        <v>975</v>
      </c>
      <c r="F70" s="4" t="e">
        <v>#N/A</v>
      </c>
      <c r="H70" s="4" t="s">
        <v>977</v>
      </c>
      <c r="I70" s="4" t="s">
        <v>980</v>
      </c>
      <c r="J70" s="4" t="e">
        <v>#N/A</v>
      </c>
    </row>
    <row r="71" spans="1:11" ht="13">
      <c r="A71" s="4" t="s">
        <v>983</v>
      </c>
      <c r="B71" s="4" t="e">
        <v>#N/A</v>
      </c>
      <c r="D71" s="4" t="s">
        <v>985</v>
      </c>
      <c r="E71" s="4" t="s">
        <v>988</v>
      </c>
      <c r="F71" s="4" t="s">
        <v>990</v>
      </c>
      <c r="G71" s="4" t="s">
        <v>992</v>
      </c>
      <c r="H71" s="4" t="s">
        <v>993</v>
      </c>
      <c r="I71" s="4" t="s">
        <v>996</v>
      </c>
      <c r="J71" s="4" t="e">
        <v>#N/A</v>
      </c>
    </row>
    <row r="72" spans="1:11" ht="13">
      <c r="A72" s="4" t="s">
        <v>998</v>
      </c>
      <c r="B72" s="4" t="s">
        <v>1000</v>
      </c>
      <c r="C72" s="4" t="s">
        <v>1002</v>
      </c>
      <c r="D72" s="4" t="s">
        <v>1004</v>
      </c>
      <c r="E72" s="4" t="s">
        <v>1007</v>
      </c>
      <c r="F72" s="4" t="s">
        <v>1009</v>
      </c>
      <c r="G72" s="4" t="s">
        <v>1010</v>
      </c>
      <c r="H72" s="4" t="e">
        <v>#N/A</v>
      </c>
      <c r="J72" s="4" t="s">
        <v>1013</v>
      </c>
      <c r="K72" s="4" t="s">
        <v>1016</v>
      </c>
    </row>
    <row r="73" spans="1:11" ht="13">
      <c r="A73" s="4" t="s">
        <v>1018</v>
      </c>
      <c r="B73" s="4" t="s">
        <v>1019</v>
      </c>
      <c r="C73" s="4" t="s">
        <v>1021</v>
      </c>
      <c r="D73" s="4" t="e">
        <v>#N/A</v>
      </c>
      <c r="F73" s="4" t="s">
        <v>1023</v>
      </c>
      <c r="G73" s="4" t="s">
        <v>1026</v>
      </c>
      <c r="H73" s="4" t="s">
        <v>1029</v>
      </c>
      <c r="I73" s="4" t="s">
        <v>1031</v>
      </c>
      <c r="J73" s="4" t="s">
        <v>1032</v>
      </c>
      <c r="K73" s="4" t="s">
        <v>1034</v>
      </c>
    </row>
    <row r="74" spans="1:11" ht="13">
      <c r="A74" s="4" t="s">
        <v>1036</v>
      </c>
      <c r="B74" s="4" t="s">
        <v>1038</v>
      </c>
      <c r="C74" s="4" t="s">
        <v>1040</v>
      </c>
      <c r="D74" s="4" t="s">
        <v>1042</v>
      </c>
      <c r="E74" s="4" t="s">
        <v>1044</v>
      </c>
      <c r="F74" s="4" t="s">
        <v>1046</v>
      </c>
      <c r="G74" s="4" t="s">
        <v>1047</v>
      </c>
      <c r="H74" s="4" t="s">
        <v>1049</v>
      </c>
      <c r="I74" s="4" t="s">
        <v>1052</v>
      </c>
      <c r="J74" s="4" t="s">
        <v>1054</v>
      </c>
      <c r="K74" s="4" t="s">
        <v>1055</v>
      </c>
    </row>
    <row r="75" spans="1:11" ht="13">
      <c r="A75" s="4" t="s">
        <v>1058</v>
      </c>
      <c r="B75" s="4" t="s">
        <v>1059</v>
      </c>
      <c r="C75" s="4" t="s">
        <v>1061</v>
      </c>
      <c r="D75" s="4" t="e">
        <v>#N/A</v>
      </c>
      <c r="F75" s="4" t="s">
        <v>1064</v>
      </c>
      <c r="G75" s="4" t="s">
        <v>1066</v>
      </c>
      <c r="H75" s="4" t="s">
        <v>1068</v>
      </c>
      <c r="I75" s="4" t="s">
        <v>1070</v>
      </c>
      <c r="J75" s="4" t="s">
        <v>1072</v>
      </c>
      <c r="K75" s="4" t="s">
        <v>1074</v>
      </c>
    </row>
    <row r="76" spans="1:11" ht="13">
      <c r="A76" s="4" t="s">
        <v>1075</v>
      </c>
      <c r="B76" s="4" t="s">
        <v>1077</v>
      </c>
      <c r="C76" s="4" t="s">
        <v>1080</v>
      </c>
      <c r="D76" s="4" t="e">
        <v>#N/A</v>
      </c>
      <c r="F76" s="4" t="s">
        <v>1083</v>
      </c>
      <c r="G76" s="4" t="s">
        <v>1085</v>
      </c>
      <c r="H76" s="4" t="s">
        <v>1087</v>
      </c>
      <c r="I76" s="4" t="s">
        <v>1089</v>
      </c>
      <c r="J76" s="4" t="e">
        <v>#N/A</v>
      </c>
    </row>
    <row r="77" spans="1:11" ht="13">
      <c r="A77" s="4" t="s">
        <v>1093</v>
      </c>
      <c r="B77" s="4" t="s">
        <v>1094</v>
      </c>
      <c r="C77" s="4" t="s">
        <v>1095</v>
      </c>
      <c r="D77" s="4" t="s">
        <v>1097</v>
      </c>
      <c r="E77" s="4" t="s">
        <v>1098</v>
      </c>
      <c r="F77" s="4" t="e">
        <v>#N/A</v>
      </c>
      <c r="H77" s="4" t="e">
        <v>#N/A</v>
      </c>
      <c r="J77" s="4" t="s">
        <v>1101</v>
      </c>
      <c r="K77" s="4" t="s">
        <v>1102</v>
      </c>
    </row>
    <row r="78" spans="1:11" ht="13">
      <c r="A78" s="4" t="s">
        <v>1104</v>
      </c>
      <c r="B78" s="4" t="s">
        <v>1106</v>
      </c>
      <c r="C78" s="4" t="s">
        <v>1109</v>
      </c>
      <c r="D78" s="4" t="e">
        <v>#N/A</v>
      </c>
      <c r="F78" s="4" t="e">
        <v>#N/A</v>
      </c>
      <c r="H78" s="4" t="s">
        <v>1112</v>
      </c>
      <c r="I78" s="4" t="s">
        <v>1114</v>
      </c>
      <c r="J78" s="4" t="e">
        <v>#N/A</v>
      </c>
    </row>
    <row r="79" spans="1:11" ht="13">
      <c r="A79" s="4" t="s">
        <v>1116</v>
      </c>
      <c r="B79" s="4" t="s">
        <v>1118</v>
      </c>
      <c r="C79" s="4" t="s">
        <v>1119</v>
      </c>
      <c r="D79" s="4" t="s">
        <v>1122</v>
      </c>
      <c r="E79" s="4" t="s">
        <v>1124</v>
      </c>
      <c r="F79" s="4" t="s">
        <v>1125</v>
      </c>
      <c r="G79" s="4" t="s">
        <v>1128</v>
      </c>
      <c r="H79" s="4" t="s">
        <v>1129</v>
      </c>
      <c r="I79" s="4" t="s">
        <v>1132</v>
      </c>
      <c r="J79" s="4" t="s">
        <v>1134</v>
      </c>
      <c r="K79" s="4" t="s">
        <v>1136</v>
      </c>
    </row>
    <row r="80" spans="1:11" ht="13">
      <c r="A80" s="4" t="s">
        <v>1138</v>
      </c>
      <c r="B80" s="4" t="e">
        <v>#N/A</v>
      </c>
      <c r="D80" s="4" t="s">
        <v>1141</v>
      </c>
      <c r="E80" s="4" t="s">
        <v>1143</v>
      </c>
      <c r="F80" s="4" t="s">
        <v>1144</v>
      </c>
      <c r="G80" s="4" t="s">
        <v>1146</v>
      </c>
      <c r="H80" s="4" t="s">
        <v>1148</v>
      </c>
      <c r="I80" s="4" t="s">
        <v>1150</v>
      </c>
      <c r="J80" s="4" t="s">
        <v>1152</v>
      </c>
      <c r="K80" s="4" t="s">
        <v>1153</v>
      </c>
    </row>
    <row r="81" spans="1:11" ht="13">
      <c r="A81" s="4" t="s">
        <v>1156</v>
      </c>
      <c r="B81" s="4" t="s">
        <v>1157</v>
      </c>
      <c r="C81" s="4" t="s">
        <v>1160</v>
      </c>
      <c r="D81" s="4" t="s">
        <v>1161</v>
      </c>
      <c r="E81" s="4" t="s">
        <v>1162</v>
      </c>
      <c r="F81" s="4" t="e">
        <v>#N/A</v>
      </c>
      <c r="H81" s="4" t="s">
        <v>1164</v>
      </c>
      <c r="I81" s="4" t="s">
        <v>1167</v>
      </c>
      <c r="J81" s="4" t="e">
        <v>#N/A</v>
      </c>
    </row>
    <row r="82" spans="1:11" ht="13">
      <c r="A82" s="4" t="s">
        <v>1171</v>
      </c>
      <c r="B82" s="4" t="s">
        <v>1172</v>
      </c>
      <c r="C82" s="4" t="s">
        <v>1174</v>
      </c>
      <c r="D82" s="4" t="s">
        <v>1176</v>
      </c>
      <c r="E82" s="4" t="s">
        <v>135</v>
      </c>
      <c r="F82" s="4" t="e">
        <v>#N/A</v>
      </c>
      <c r="H82" s="4" t="s">
        <v>1180</v>
      </c>
      <c r="I82" s="4" t="s">
        <v>1182</v>
      </c>
      <c r="J82" s="4" t="s">
        <v>1184</v>
      </c>
      <c r="K82" s="4" t="s">
        <v>135</v>
      </c>
    </row>
    <row r="83" spans="1:11" ht="13">
      <c r="A83" s="4" t="s">
        <v>1186</v>
      </c>
      <c r="B83" s="4" t="s">
        <v>1187</v>
      </c>
      <c r="C83" s="4" t="s">
        <v>1189</v>
      </c>
      <c r="D83" s="4" t="e">
        <v>#N/A</v>
      </c>
      <c r="F83" s="4" t="s">
        <v>1195</v>
      </c>
      <c r="G83" s="4" t="s">
        <v>1197</v>
      </c>
      <c r="H83" s="4" t="s">
        <v>1199</v>
      </c>
      <c r="I83" s="4" t="s">
        <v>1202</v>
      </c>
      <c r="J83" s="4" t="s">
        <v>1204</v>
      </c>
      <c r="K83" s="4" t="s">
        <v>1207</v>
      </c>
    </row>
    <row r="84" spans="1:11" ht="13">
      <c r="A84" s="4" t="s">
        <v>1210</v>
      </c>
      <c r="B84" s="4" t="s">
        <v>1211</v>
      </c>
      <c r="C84" s="4" t="s">
        <v>1214</v>
      </c>
      <c r="D84" s="4" t="e">
        <v>#N/A</v>
      </c>
      <c r="F84" s="4" t="s">
        <v>1216</v>
      </c>
      <c r="G84" s="4" t="s">
        <v>1218</v>
      </c>
      <c r="H84" s="4" t="s">
        <v>1220</v>
      </c>
      <c r="I84" s="4" t="s">
        <v>1222</v>
      </c>
      <c r="J84" s="4" t="s">
        <v>1223</v>
      </c>
      <c r="K84" s="4" t="s">
        <v>1225</v>
      </c>
    </row>
    <row r="85" spans="1:11" ht="13">
      <c r="A85" s="4" t="s">
        <v>1226</v>
      </c>
      <c r="B85" s="4" t="e">
        <v>#N/A</v>
      </c>
      <c r="D85" s="4" t="s">
        <v>1230</v>
      </c>
      <c r="E85" s="4" t="s">
        <v>1232</v>
      </c>
      <c r="F85" s="4" t="s">
        <v>1234</v>
      </c>
      <c r="G85" s="4" t="s">
        <v>1235</v>
      </c>
      <c r="H85" s="4" t="s">
        <v>1238</v>
      </c>
      <c r="I85" s="4" t="s">
        <v>1240</v>
      </c>
      <c r="J85" s="4" t="s">
        <v>1241</v>
      </c>
      <c r="K85" s="4" t="s">
        <v>1244</v>
      </c>
    </row>
    <row r="86" spans="1:11" ht="13">
      <c r="A86" s="4" t="s">
        <v>1246</v>
      </c>
      <c r="B86" s="4" t="s">
        <v>1247</v>
      </c>
      <c r="C86" s="4" t="s">
        <v>1249</v>
      </c>
      <c r="D86" s="4" t="s">
        <v>1251</v>
      </c>
      <c r="E86" s="4" t="s">
        <v>1253</v>
      </c>
      <c r="F86" s="4" t="s">
        <v>1255</v>
      </c>
      <c r="G86" s="4" t="s">
        <v>1258</v>
      </c>
      <c r="H86" s="4" t="s">
        <v>1259</v>
      </c>
      <c r="I86" s="4" t="s">
        <v>1262</v>
      </c>
      <c r="J86" s="4" t="s">
        <v>1265</v>
      </c>
      <c r="K86" s="4" t="s">
        <v>1267</v>
      </c>
    </row>
    <row r="87" spans="1:11" ht="13">
      <c r="A87" s="4" t="s">
        <v>1269</v>
      </c>
      <c r="B87" s="4" t="s">
        <v>1271</v>
      </c>
      <c r="C87" s="4" t="s">
        <v>1273</v>
      </c>
      <c r="D87" s="4" t="s">
        <v>1275</v>
      </c>
      <c r="E87" s="4" t="s">
        <v>1276</v>
      </c>
      <c r="F87" s="4" t="s">
        <v>1278</v>
      </c>
      <c r="G87" s="4" t="s">
        <v>1281</v>
      </c>
      <c r="H87" s="4" t="s">
        <v>1283</v>
      </c>
      <c r="I87" s="4" t="s">
        <v>1285</v>
      </c>
      <c r="J87" s="4" t="e">
        <v>#N/A</v>
      </c>
    </row>
    <row r="88" spans="1:11" ht="13">
      <c r="A88" s="4" t="s">
        <v>1287</v>
      </c>
      <c r="B88" s="4" t="e">
        <v>#N/A</v>
      </c>
      <c r="D88" s="4" t="e">
        <v>#N/A</v>
      </c>
      <c r="F88" s="4" t="e">
        <v>#N/A</v>
      </c>
      <c r="H88" s="4" t="s">
        <v>1291</v>
      </c>
      <c r="I88" s="4" t="s">
        <v>1294</v>
      </c>
      <c r="J88" s="4" t="e">
        <v>#N/A</v>
      </c>
    </row>
    <row r="89" spans="1:11" ht="13">
      <c r="A89" s="4" t="s">
        <v>1297</v>
      </c>
      <c r="B89" s="4" t="s">
        <v>1299</v>
      </c>
      <c r="C89" s="4" t="s">
        <v>1301</v>
      </c>
      <c r="D89" s="4" t="s">
        <v>1304</v>
      </c>
      <c r="E89" s="4" t="s">
        <v>1305</v>
      </c>
      <c r="F89" s="4" t="s">
        <v>1307</v>
      </c>
      <c r="G89" s="4" t="s">
        <v>1310</v>
      </c>
      <c r="H89" s="4" t="s">
        <v>1312</v>
      </c>
      <c r="I89" s="4" t="s">
        <v>1315</v>
      </c>
      <c r="J89" s="4" t="s">
        <v>1317</v>
      </c>
      <c r="K89" s="4" t="s">
        <v>1319</v>
      </c>
    </row>
    <row r="90" spans="1:11" ht="13">
      <c r="A90" s="4" t="s">
        <v>1321</v>
      </c>
      <c r="B90" s="4" t="e">
        <v>#N/A</v>
      </c>
      <c r="D90" s="4" t="s">
        <v>1324</v>
      </c>
      <c r="E90" s="4" t="s">
        <v>1328</v>
      </c>
      <c r="F90" s="4" t="s">
        <v>1329</v>
      </c>
      <c r="G90" s="4" t="s">
        <v>1332</v>
      </c>
      <c r="H90" s="4" t="s">
        <v>1334</v>
      </c>
      <c r="I90" s="4" t="s">
        <v>1337</v>
      </c>
      <c r="J90" s="4" t="s">
        <v>1339</v>
      </c>
      <c r="K90" s="4" t="s">
        <v>1341</v>
      </c>
    </row>
    <row r="91" spans="1:11" ht="13">
      <c r="A91" s="4" t="s">
        <v>1343</v>
      </c>
      <c r="B91" s="4" t="s">
        <v>1345</v>
      </c>
      <c r="C91" s="4" t="s">
        <v>1348</v>
      </c>
      <c r="D91" s="4" t="s">
        <v>1350</v>
      </c>
      <c r="E91" s="4" t="s">
        <v>1352</v>
      </c>
      <c r="F91" s="4" t="s">
        <v>1354</v>
      </c>
      <c r="G91" s="4" t="s">
        <v>1356</v>
      </c>
      <c r="H91" s="4" t="s">
        <v>1357</v>
      </c>
      <c r="I91" s="4" t="s">
        <v>1359</v>
      </c>
      <c r="J91" s="4" t="e">
        <v>#N/A</v>
      </c>
    </row>
    <row r="92" spans="1:11" ht="13">
      <c r="A92" s="4" t="s">
        <v>1364</v>
      </c>
      <c r="B92" s="4" t="e">
        <v>#N/A</v>
      </c>
      <c r="D92" s="4" t="s">
        <v>1367</v>
      </c>
      <c r="E92" s="4" t="s">
        <v>1369</v>
      </c>
      <c r="F92" s="4" t="e">
        <v>#N/A</v>
      </c>
      <c r="H92" s="4"/>
      <c r="J92" s="4" t="s">
        <v>1371</v>
      </c>
      <c r="K92" s="4" t="s">
        <v>1372</v>
      </c>
    </row>
    <row r="93" spans="1:11" ht="13">
      <c r="A93" s="4" t="s">
        <v>1374</v>
      </c>
      <c r="B93" s="4" t="s">
        <v>1376</v>
      </c>
      <c r="C93" s="4" t="s">
        <v>1379</v>
      </c>
      <c r="D93" s="4" t="s">
        <v>1380</v>
      </c>
      <c r="E93" s="4" t="s">
        <v>1383</v>
      </c>
      <c r="F93" s="4" t="s">
        <v>1385</v>
      </c>
      <c r="G93" s="4" t="s">
        <v>1386</v>
      </c>
      <c r="H93" s="4" t="s">
        <v>1388</v>
      </c>
      <c r="I93" s="4" t="s">
        <v>1390</v>
      </c>
      <c r="J93" s="4" t="s">
        <v>1392</v>
      </c>
      <c r="K93" s="4" t="s">
        <v>1394</v>
      </c>
    </row>
    <row r="94" spans="1:11" ht="13">
      <c r="A94" s="4" t="s">
        <v>1396</v>
      </c>
      <c r="B94" s="4" t="s">
        <v>1397</v>
      </c>
      <c r="C94" s="4" t="s">
        <v>1399</v>
      </c>
      <c r="D94" s="4" t="e">
        <v>#N/A</v>
      </c>
      <c r="F94" s="4" t="s">
        <v>1402</v>
      </c>
      <c r="G94" s="4" t="s">
        <v>1405</v>
      </c>
      <c r="H94" s="4" t="e">
        <v>#N/A</v>
      </c>
      <c r="J94" s="4" t="s">
        <v>1407</v>
      </c>
      <c r="K94" s="4" t="s">
        <v>1410</v>
      </c>
    </row>
    <row r="95" spans="1:11" ht="13">
      <c r="A95" s="4" t="s">
        <v>1412</v>
      </c>
      <c r="B95" s="4" t="e">
        <v>#N/A</v>
      </c>
      <c r="D95" s="4" t="s">
        <v>1415</v>
      </c>
      <c r="E95" s="4" t="s">
        <v>1417</v>
      </c>
      <c r="F95" s="4" t="s">
        <v>1419</v>
      </c>
      <c r="G95" s="4" t="s">
        <v>1420</v>
      </c>
      <c r="H95" s="4" t="e">
        <v>#N/A</v>
      </c>
      <c r="J95" s="4" t="e">
        <v>#N/A</v>
      </c>
    </row>
    <row r="96" spans="1:11" ht="13">
      <c r="A96" s="4" t="s">
        <v>1423</v>
      </c>
      <c r="B96" s="4" t="s">
        <v>1425</v>
      </c>
      <c r="C96" s="4" t="s">
        <v>1426</v>
      </c>
      <c r="D96" s="4" t="s">
        <v>1429</v>
      </c>
      <c r="E96" s="4" t="s">
        <v>1431</v>
      </c>
      <c r="F96" s="4" t="s">
        <v>1432</v>
      </c>
      <c r="G96" s="4" t="s">
        <v>1434</v>
      </c>
      <c r="H96" s="4" t="s">
        <v>1436</v>
      </c>
      <c r="I96" s="4" t="s">
        <v>1438</v>
      </c>
      <c r="J96" s="4" t="s">
        <v>1440</v>
      </c>
      <c r="K96" s="4" t="s">
        <v>1442</v>
      </c>
    </row>
    <row r="97" spans="1:11" ht="13">
      <c r="A97" s="4" t="s">
        <v>1445</v>
      </c>
      <c r="B97" s="4" t="s">
        <v>1447</v>
      </c>
      <c r="C97" s="4" t="s">
        <v>1449</v>
      </c>
      <c r="D97" s="4" t="s">
        <v>1451</v>
      </c>
      <c r="E97" s="4" t="s">
        <v>1453</v>
      </c>
      <c r="F97" s="4" t="s">
        <v>1454</v>
      </c>
      <c r="G97" s="4" t="s">
        <v>1456</v>
      </c>
      <c r="H97" s="4"/>
      <c r="J97" s="4" t="s">
        <v>1458</v>
      </c>
      <c r="K97" s="4" t="s">
        <v>1461</v>
      </c>
    </row>
    <row r="98" spans="1:11" ht="13">
      <c r="A98" s="4" t="s">
        <v>1464</v>
      </c>
      <c r="B98" s="4" t="e">
        <v>#N/A</v>
      </c>
      <c r="D98" s="4" t="e">
        <v>#N/A</v>
      </c>
      <c r="F98" s="4" t="s">
        <v>1468</v>
      </c>
      <c r="G98" s="4" t="s">
        <v>1469</v>
      </c>
      <c r="H98" s="4" t="s">
        <v>1471</v>
      </c>
      <c r="I98" s="4" t="s">
        <v>1473</v>
      </c>
      <c r="J98" s="4" t="s">
        <v>1475</v>
      </c>
      <c r="K98" s="4" t="s">
        <v>1479</v>
      </c>
    </row>
    <row r="99" spans="1:11" ht="13">
      <c r="A99" s="4" t="s">
        <v>1481</v>
      </c>
      <c r="B99" s="4" t="s">
        <v>1483</v>
      </c>
      <c r="C99" s="4" t="s">
        <v>1485</v>
      </c>
      <c r="D99" s="4" t="s">
        <v>1486</v>
      </c>
      <c r="E99" s="4" t="s">
        <v>1488</v>
      </c>
      <c r="F99" s="4" t="s">
        <v>1490</v>
      </c>
      <c r="G99" s="4" t="s">
        <v>1492</v>
      </c>
      <c r="H99" s="4"/>
      <c r="J99" s="4" t="s">
        <v>1494</v>
      </c>
      <c r="K99" s="4" t="s">
        <v>1497</v>
      </c>
    </row>
    <row r="100" spans="1:11" ht="13">
      <c r="A100" s="4" t="s">
        <v>1498</v>
      </c>
      <c r="B100" s="4" t="s">
        <v>1500</v>
      </c>
      <c r="C100" s="4" t="s">
        <v>1502</v>
      </c>
      <c r="D100" s="4" t="s">
        <v>1503</v>
      </c>
      <c r="E100" s="4" t="s">
        <v>1505</v>
      </c>
      <c r="F100" s="4" t="s">
        <v>1507</v>
      </c>
      <c r="G100" s="4" t="s">
        <v>1509</v>
      </c>
      <c r="H100" s="4" t="s">
        <v>1511</v>
      </c>
      <c r="I100" s="4" t="s">
        <v>1513</v>
      </c>
      <c r="J100" s="4" t="s">
        <v>1515</v>
      </c>
      <c r="K100" s="4" t="s">
        <v>1517</v>
      </c>
    </row>
    <row r="101" spans="1:11" ht="13">
      <c r="A101" s="4" t="s">
        <v>1520</v>
      </c>
      <c r="B101" s="4" t="s">
        <v>1521</v>
      </c>
      <c r="C101" s="4" t="s">
        <v>1523</v>
      </c>
      <c r="D101" s="4" t="s">
        <v>1526</v>
      </c>
      <c r="E101" s="4" t="s">
        <v>1528</v>
      </c>
      <c r="F101" s="4" t="s">
        <v>1530</v>
      </c>
      <c r="G101" s="4" t="s">
        <v>1532</v>
      </c>
      <c r="H101" s="4" t="s">
        <v>1534</v>
      </c>
      <c r="I101" s="4" t="s">
        <v>1537</v>
      </c>
      <c r="J101" s="4" t="e">
        <v>#N/A</v>
      </c>
    </row>
    <row r="102" spans="1:11" ht="13">
      <c r="A102" s="4" t="s">
        <v>1539</v>
      </c>
      <c r="B102" s="4" t="s">
        <v>1541</v>
      </c>
      <c r="C102" s="4" t="s">
        <v>1543</v>
      </c>
      <c r="D102" s="4" t="s">
        <v>1546</v>
      </c>
      <c r="E102" s="4" t="s">
        <v>1547</v>
      </c>
      <c r="F102" s="4" t="s">
        <v>1550</v>
      </c>
      <c r="G102" s="4" t="s">
        <v>1552</v>
      </c>
      <c r="H102" s="4" t="e">
        <v>#N/A</v>
      </c>
      <c r="J102" s="4" t="s">
        <v>1555</v>
      </c>
      <c r="K102" s="4" t="s">
        <v>1556</v>
      </c>
    </row>
    <row r="103" spans="1:11" ht="13">
      <c r="A103" s="4" t="s">
        <v>1558</v>
      </c>
      <c r="B103" s="4" t="e">
        <v>#N/A</v>
      </c>
      <c r="D103" s="4" t="e">
        <v>#N/A</v>
      </c>
      <c r="F103" s="4" t="s">
        <v>1562</v>
      </c>
      <c r="G103" s="4" t="s">
        <v>1564</v>
      </c>
      <c r="H103" s="4" t="s">
        <v>1565</v>
      </c>
      <c r="I103" s="4" t="s">
        <v>1567</v>
      </c>
      <c r="J103" s="4" t="s">
        <v>1569</v>
      </c>
      <c r="K103" s="4" t="s">
        <v>1571</v>
      </c>
    </row>
    <row r="104" spans="1:11" ht="13">
      <c r="A104" s="4" t="s">
        <v>1572</v>
      </c>
      <c r="B104" s="4" t="s">
        <v>1573</v>
      </c>
      <c r="C104" s="4" t="s">
        <v>1574</v>
      </c>
      <c r="D104" s="4" t="s">
        <v>1576</v>
      </c>
      <c r="E104" s="4" t="s">
        <v>1577</v>
      </c>
      <c r="F104" s="4" t="s">
        <v>1579</v>
      </c>
      <c r="G104" s="4" t="s">
        <v>1581</v>
      </c>
      <c r="H104" s="4" t="s">
        <v>1582</v>
      </c>
      <c r="I104" s="4" t="s">
        <v>1584</v>
      </c>
      <c r="J104" s="4" t="e">
        <v>#N/A</v>
      </c>
    </row>
    <row r="105" spans="1:11" ht="13">
      <c r="A105" s="4" t="s">
        <v>1588</v>
      </c>
      <c r="B105" s="4" t="e">
        <v>#N/A</v>
      </c>
      <c r="D105" s="4" t="s">
        <v>1591</v>
      </c>
      <c r="E105" s="4" t="s">
        <v>1593</v>
      </c>
      <c r="F105" s="4" t="e">
        <v>#N/A</v>
      </c>
      <c r="H105" s="4" t="s">
        <v>1597</v>
      </c>
      <c r="I105" s="4" t="s">
        <v>1600</v>
      </c>
      <c r="J105" s="4" t="s">
        <v>1602</v>
      </c>
      <c r="K105" s="4" t="s">
        <v>1604</v>
      </c>
    </row>
    <row r="106" spans="1:11" ht="13">
      <c r="A106" s="4" t="s">
        <v>1607</v>
      </c>
      <c r="B106" s="4" t="e">
        <v>#N/A</v>
      </c>
      <c r="D106" s="4" t="e">
        <v>#N/A</v>
      </c>
      <c r="F106" s="4" t="s">
        <v>1611</v>
      </c>
      <c r="G106" s="4" t="s">
        <v>1613</v>
      </c>
      <c r="H106" s="4"/>
      <c r="J106" s="4" t="s">
        <v>1616</v>
      </c>
      <c r="K106" s="4" t="s">
        <v>1618</v>
      </c>
    </row>
    <row r="107" spans="1:11" ht="13">
      <c r="A107" s="4" t="s">
        <v>1621</v>
      </c>
      <c r="B107" s="4" t="s">
        <v>1622</v>
      </c>
      <c r="C107" s="4" t="s">
        <v>1625</v>
      </c>
      <c r="D107" s="4" t="s">
        <v>1627</v>
      </c>
      <c r="E107" s="4" t="s">
        <v>1628</v>
      </c>
      <c r="F107" s="4" t="s">
        <v>1630</v>
      </c>
      <c r="G107" s="4" t="s">
        <v>1632</v>
      </c>
      <c r="H107" s="4" t="s">
        <v>1634</v>
      </c>
      <c r="I107" s="4" t="s">
        <v>1635</v>
      </c>
      <c r="J107" s="4" t="e">
        <v>#N/A</v>
      </c>
    </row>
    <row r="108" spans="1:11" ht="13">
      <c r="A108" s="4" t="s">
        <v>1640</v>
      </c>
      <c r="B108" s="4" t="s">
        <v>1641</v>
      </c>
      <c r="C108" s="4" t="s">
        <v>1644</v>
      </c>
      <c r="D108" s="4" t="e">
        <v>#N/A</v>
      </c>
      <c r="F108" s="4" t="s">
        <v>1647</v>
      </c>
      <c r="G108" s="4" t="s">
        <v>1650</v>
      </c>
      <c r="H108" s="4" t="s">
        <v>1652</v>
      </c>
      <c r="I108" s="4" t="s">
        <v>1653</v>
      </c>
      <c r="J108" s="4" t="s">
        <v>1655</v>
      </c>
      <c r="K108" s="4" t="s">
        <v>1656</v>
      </c>
    </row>
    <row r="109" spans="1:11" ht="13">
      <c r="A109" s="4" t="s">
        <v>1658</v>
      </c>
      <c r="B109" s="4" t="s">
        <v>1660</v>
      </c>
      <c r="C109" s="4" t="s">
        <v>1661</v>
      </c>
      <c r="D109" s="4" t="s">
        <v>1663</v>
      </c>
      <c r="E109" s="4" t="s">
        <v>1665</v>
      </c>
      <c r="F109" s="4"/>
      <c r="H109" s="4"/>
      <c r="J109" s="4" t="s">
        <v>1670</v>
      </c>
      <c r="K109" s="4" t="s">
        <v>1672</v>
      </c>
    </row>
    <row r="110" spans="1:11" ht="13">
      <c r="A110" s="4" t="s">
        <v>1675</v>
      </c>
      <c r="B110" s="4" t="s">
        <v>1676</v>
      </c>
      <c r="C110" s="4" t="s">
        <v>1678</v>
      </c>
      <c r="D110" s="4" t="s">
        <v>1680</v>
      </c>
      <c r="E110" s="4" t="s">
        <v>1682</v>
      </c>
      <c r="F110" s="4" t="s">
        <v>1683</v>
      </c>
      <c r="G110" s="4" t="s">
        <v>1685</v>
      </c>
      <c r="H110" s="4" t="s">
        <v>1687</v>
      </c>
      <c r="I110" s="4" t="s">
        <v>1689</v>
      </c>
      <c r="J110" s="4" t="s">
        <v>1691</v>
      </c>
      <c r="K110" s="4" t="s">
        <v>1693</v>
      </c>
    </row>
    <row r="111" spans="1:11" ht="13">
      <c r="A111" s="4" t="s">
        <v>1694</v>
      </c>
      <c r="B111" s="4" t="e">
        <v>#N/A</v>
      </c>
      <c r="D111" s="4" t="s">
        <v>1698</v>
      </c>
      <c r="E111" s="4" t="s">
        <v>1700</v>
      </c>
      <c r="F111" s="4" t="s">
        <v>1701</v>
      </c>
      <c r="G111" s="4" t="s">
        <v>1703</v>
      </c>
      <c r="H111" s="4"/>
      <c r="J111" s="4" t="e">
        <v>#N/A</v>
      </c>
    </row>
    <row r="112" spans="1:11" ht="13">
      <c r="A112" s="4" t="s">
        <v>1709</v>
      </c>
      <c r="B112" s="4" t="s">
        <v>1711</v>
      </c>
      <c r="C112" s="4" t="s">
        <v>1713</v>
      </c>
      <c r="D112" s="4" t="e">
        <v>#N/A</v>
      </c>
      <c r="F112" s="4" t="s">
        <v>1716</v>
      </c>
      <c r="G112" s="4" t="s">
        <v>1719</v>
      </c>
      <c r="H112" s="4" t="s">
        <v>1720</v>
      </c>
      <c r="I112" s="4" t="s">
        <v>1722</v>
      </c>
      <c r="J112" s="4" t="e">
        <v>#N/A</v>
      </c>
    </row>
    <row r="113" spans="1:11" ht="13">
      <c r="A113" s="4" t="s">
        <v>1726</v>
      </c>
      <c r="B113" s="4" t="s">
        <v>1727</v>
      </c>
      <c r="C113" s="4" t="s">
        <v>1729</v>
      </c>
      <c r="D113" s="4" t="s">
        <v>1730</v>
      </c>
      <c r="E113" s="4" t="s">
        <v>1733</v>
      </c>
      <c r="F113" s="4" t="s">
        <v>1735</v>
      </c>
      <c r="G113" s="4" t="s">
        <v>1737</v>
      </c>
      <c r="H113" s="4" t="s">
        <v>1740</v>
      </c>
      <c r="I113" s="4" t="s">
        <v>1742</v>
      </c>
      <c r="J113" s="4" t="e">
        <v>#N/A</v>
      </c>
    </row>
    <row r="114" spans="1:11" ht="13">
      <c r="A114" s="4" t="s">
        <v>1746</v>
      </c>
      <c r="B114" s="4" t="s">
        <v>1747</v>
      </c>
      <c r="C114" s="4" t="s">
        <v>1750</v>
      </c>
      <c r="D114" s="4" t="e">
        <v>#N/A</v>
      </c>
      <c r="F114" s="4" t="e">
        <v>#N/A</v>
      </c>
      <c r="H114" s="4" t="s">
        <v>1755</v>
      </c>
      <c r="I114" s="4" t="s">
        <v>1757</v>
      </c>
      <c r="J114" s="4" t="e">
        <v>#N/A</v>
      </c>
    </row>
    <row r="115" spans="1:11" ht="13">
      <c r="A115" s="4" t="s">
        <v>1759</v>
      </c>
      <c r="B115" s="4" t="s">
        <v>1761</v>
      </c>
      <c r="C115" s="4" t="s">
        <v>1763</v>
      </c>
      <c r="D115" s="4" t="s">
        <v>1765</v>
      </c>
      <c r="E115" s="4" t="s">
        <v>1768</v>
      </c>
      <c r="F115" s="4" t="s">
        <v>1770</v>
      </c>
      <c r="G115" s="4" t="s">
        <v>1774</v>
      </c>
      <c r="H115" s="4" t="s">
        <v>1776</v>
      </c>
      <c r="I115" s="4" t="s">
        <v>1778</v>
      </c>
      <c r="J115" s="4" t="s">
        <v>1780</v>
      </c>
      <c r="K115" s="4" t="s">
        <v>1782</v>
      </c>
    </row>
    <row r="116" spans="1:11" ht="13">
      <c r="A116" s="4" t="s">
        <v>1784</v>
      </c>
      <c r="B116" s="4" t="e">
        <v>#N/A</v>
      </c>
      <c r="D116" s="4" t="s">
        <v>1786</v>
      </c>
      <c r="E116" s="4" t="s">
        <v>1789</v>
      </c>
      <c r="F116" s="4" t="s">
        <v>1790</v>
      </c>
      <c r="G116" s="4" t="s">
        <v>1792</v>
      </c>
      <c r="H116" s="4" t="s">
        <v>1794</v>
      </c>
      <c r="I116" s="4" t="s">
        <v>1796</v>
      </c>
      <c r="J116" s="4" t="s">
        <v>1798</v>
      </c>
      <c r="K116" s="4" t="s">
        <v>1800</v>
      </c>
    </row>
    <row r="117" spans="1:11" ht="13">
      <c r="A117" s="4" t="s">
        <v>1802</v>
      </c>
      <c r="B117" s="4" t="s">
        <v>1804</v>
      </c>
      <c r="C117" s="4" t="s">
        <v>1805</v>
      </c>
      <c r="D117" s="4" t="s">
        <v>1807</v>
      </c>
      <c r="E117" s="4" t="s">
        <v>1809</v>
      </c>
      <c r="F117" s="4" t="s">
        <v>1811</v>
      </c>
      <c r="G117" s="4" t="s">
        <v>1813</v>
      </c>
      <c r="H117" s="4" t="e">
        <v>#N/A</v>
      </c>
      <c r="J117" s="4" t="s">
        <v>1817</v>
      </c>
      <c r="K117" s="4" t="s">
        <v>1819</v>
      </c>
    </row>
    <row r="118" spans="1:11" ht="13">
      <c r="A118" s="4" t="s">
        <v>1822</v>
      </c>
      <c r="B118" s="4" t="e">
        <v>#N/A</v>
      </c>
      <c r="D118" s="4" t="s">
        <v>1825</v>
      </c>
      <c r="E118" s="4" t="s">
        <v>1827</v>
      </c>
      <c r="F118" s="4" t="s">
        <v>1828</v>
      </c>
      <c r="G118" s="4" t="s">
        <v>1830</v>
      </c>
      <c r="H118" s="4" t="s">
        <v>1831</v>
      </c>
      <c r="I118" s="4" t="s">
        <v>1833</v>
      </c>
      <c r="J118" s="4" t="e">
        <v>#N/A</v>
      </c>
    </row>
    <row r="119" spans="1:11" ht="13">
      <c r="A119" s="4" t="s">
        <v>1838</v>
      </c>
      <c r="B119" s="4" t="s">
        <v>1840</v>
      </c>
      <c r="C119" s="4" t="s">
        <v>1842</v>
      </c>
      <c r="D119" s="4" t="e">
        <v>#N/A</v>
      </c>
      <c r="F119" s="4" t="s">
        <v>1844</v>
      </c>
      <c r="G119" s="4" t="s">
        <v>135</v>
      </c>
      <c r="H119" s="4" t="s">
        <v>1849</v>
      </c>
      <c r="I119" s="4" t="s">
        <v>1851</v>
      </c>
      <c r="J119" s="4" t="s">
        <v>1852</v>
      </c>
      <c r="K119" s="4" t="s">
        <v>1853</v>
      </c>
    </row>
    <row r="120" spans="1:11" ht="13">
      <c r="A120" s="4" t="s">
        <v>1855</v>
      </c>
      <c r="B120" s="4" t="s">
        <v>1857</v>
      </c>
      <c r="C120" s="4" t="s">
        <v>1859</v>
      </c>
      <c r="D120" s="4" t="s">
        <v>1861</v>
      </c>
      <c r="E120" s="4" t="s">
        <v>1863</v>
      </c>
      <c r="F120" s="4" t="e">
        <v>#N/A</v>
      </c>
      <c r="H120" s="4" t="s">
        <v>1866</v>
      </c>
      <c r="I120" s="4" t="s">
        <v>1869</v>
      </c>
      <c r="J120" s="4" t="s">
        <v>1871</v>
      </c>
      <c r="K120" s="4" t="s">
        <v>1872</v>
      </c>
    </row>
    <row r="121" spans="1:11" ht="13">
      <c r="A121" s="4" t="s">
        <v>1873</v>
      </c>
      <c r="B121" s="4" t="e">
        <v>#N/A</v>
      </c>
      <c r="D121" s="4" t="s">
        <v>1875</v>
      </c>
      <c r="E121" s="4" t="s">
        <v>1877</v>
      </c>
      <c r="F121" s="4" t="s">
        <v>1879</v>
      </c>
      <c r="G121" s="4" t="s">
        <v>1882</v>
      </c>
      <c r="H121" s="4" t="s">
        <v>1884</v>
      </c>
      <c r="I121" s="4" t="s">
        <v>1886</v>
      </c>
      <c r="J121" s="4" t="s">
        <v>1888</v>
      </c>
      <c r="K121" s="4" t="s">
        <v>1890</v>
      </c>
    </row>
    <row r="122" spans="1:11" ht="13">
      <c r="A122" s="4" t="s">
        <v>1892</v>
      </c>
      <c r="B122" s="4" t="s">
        <v>1894</v>
      </c>
      <c r="C122" s="4" t="s">
        <v>1896</v>
      </c>
      <c r="D122" s="4" t="s">
        <v>1898</v>
      </c>
      <c r="E122" s="4" t="s">
        <v>1901</v>
      </c>
      <c r="F122" s="4" t="e">
        <v>#N/A</v>
      </c>
      <c r="H122" s="4" t="s">
        <v>1904</v>
      </c>
      <c r="I122" s="4" t="s">
        <v>1906</v>
      </c>
      <c r="J122" s="4" t="s">
        <v>1907</v>
      </c>
      <c r="K122" s="4" t="s">
        <v>1908</v>
      </c>
    </row>
    <row r="123" spans="1:11" ht="13">
      <c r="A123" s="4" t="s">
        <v>1910</v>
      </c>
      <c r="B123" s="4" t="s">
        <v>1912</v>
      </c>
      <c r="C123" s="4" t="s">
        <v>1915</v>
      </c>
      <c r="D123" s="4" t="s">
        <v>1917</v>
      </c>
      <c r="E123" s="4" t="s">
        <v>1919</v>
      </c>
      <c r="F123" s="4" t="s">
        <v>1921</v>
      </c>
      <c r="G123" s="4" t="s">
        <v>1922</v>
      </c>
      <c r="H123" s="4" t="s">
        <v>1924</v>
      </c>
      <c r="I123" s="4" t="s">
        <v>1926</v>
      </c>
      <c r="J123" s="4" t="s">
        <v>1928</v>
      </c>
      <c r="K123" s="4" t="s">
        <v>1930</v>
      </c>
    </row>
    <row r="124" spans="1:11" ht="13">
      <c r="A124" s="4" t="s">
        <v>1932</v>
      </c>
      <c r="B124" s="4" t="e">
        <v>#N/A</v>
      </c>
      <c r="D124" s="4" t="e">
        <v>#N/A</v>
      </c>
      <c r="F124" s="4" t="e">
        <v>#N/A</v>
      </c>
      <c r="H124" s="4" t="s">
        <v>1937</v>
      </c>
      <c r="I124" s="4" t="s">
        <v>1941</v>
      </c>
      <c r="J124" s="4" t="s">
        <v>1942</v>
      </c>
      <c r="K124" s="4" t="s">
        <v>1944</v>
      </c>
    </row>
    <row r="125" spans="1:11" ht="13">
      <c r="A125" s="4" t="s">
        <v>1946</v>
      </c>
      <c r="B125" s="4" t="s">
        <v>1947</v>
      </c>
      <c r="C125" s="4" t="s">
        <v>1949</v>
      </c>
      <c r="D125" s="4" t="e">
        <v>#N/A</v>
      </c>
      <c r="F125" s="4" t="s">
        <v>1952</v>
      </c>
      <c r="G125" s="4" t="s">
        <v>1954</v>
      </c>
      <c r="H125" s="4" t="s">
        <v>1955</v>
      </c>
      <c r="I125" s="4" t="s">
        <v>1958</v>
      </c>
      <c r="J125" s="4" t="s">
        <v>1960</v>
      </c>
      <c r="K125" s="4" t="s">
        <v>1961</v>
      </c>
    </row>
    <row r="126" spans="1:11" ht="13">
      <c r="A126" s="4" t="s">
        <v>1963</v>
      </c>
      <c r="B126" s="4" t="e">
        <v>#N/A</v>
      </c>
      <c r="D126" s="4" t="s">
        <v>1966</v>
      </c>
      <c r="E126" s="4" t="s">
        <v>1968</v>
      </c>
      <c r="F126" s="4" t="s">
        <v>1970</v>
      </c>
      <c r="G126" s="4" t="s">
        <v>1972</v>
      </c>
      <c r="H126" s="4" t="s">
        <v>1974</v>
      </c>
      <c r="I126" s="4" t="s">
        <v>1977</v>
      </c>
      <c r="J126" s="4" t="s">
        <v>1979</v>
      </c>
      <c r="K126" s="4" t="s">
        <v>1981</v>
      </c>
    </row>
    <row r="127" spans="1:11" ht="13">
      <c r="A127" s="4" t="s">
        <v>1984</v>
      </c>
      <c r="B127" s="4" t="e">
        <v>#N/A</v>
      </c>
      <c r="D127" s="4" t="s">
        <v>1988</v>
      </c>
      <c r="E127" s="4" t="s">
        <v>1990</v>
      </c>
      <c r="F127" s="4" t="s">
        <v>1992</v>
      </c>
      <c r="G127" s="4" t="s">
        <v>1995</v>
      </c>
      <c r="H127" s="4" t="e">
        <v>#N/A</v>
      </c>
      <c r="J127" s="4" t="s">
        <v>1998</v>
      </c>
      <c r="K127" s="4" t="s">
        <v>2000</v>
      </c>
    </row>
    <row r="128" spans="1:11" ht="13">
      <c r="A128" s="4" t="s">
        <v>2002</v>
      </c>
      <c r="B128" s="4" t="s">
        <v>2003</v>
      </c>
      <c r="C128" s="4" t="s">
        <v>2005</v>
      </c>
      <c r="D128" s="4" t="s">
        <v>2006</v>
      </c>
      <c r="E128" s="4" t="s">
        <v>2008</v>
      </c>
      <c r="F128" s="4" t="s">
        <v>2009</v>
      </c>
      <c r="G128" s="4" t="s">
        <v>2010</v>
      </c>
      <c r="H128" s="4" t="e">
        <v>#N/A</v>
      </c>
      <c r="J128" s="4" t="s">
        <v>2012</v>
      </c>
      <c r="K128" s="4" t="s">
        <v>2015</v>
      </c>
    </row>
    <row r="129" spans="1:11" ht="13">
      <c r="A129" s="4" t="s">
        <v>2017</v>
      </c>
      <c r="B129" s="4" t="e">
        <v>#N/A</v>
      </c>
      <c r="D129" s="4" t="s">
        <v>2020</v>
      </c>
      <c r="E129" s="4" t="s">
        <v>2023</v>
      </c>
      <c r="F129" s="4" t="s">
        <v>2025</v>
      </c>
      <c r="G129" s="4" t="s">
        <v>2027</v>
      </c>
      <c r="H129" s="4"/>
      <c r="J129" s="4" t="s">
        <v>2030</v>
      </c>
      <c r="K129" s="4" t="s">
        <v>2032</v>
      </c>
    </row>
    <row r="130" spans="1:11" ht="13">
      <c r="A130" s="4" t="s">
        <v>2034</v>
      </c>
      <c r="B130" s="4" t="e">
        <v>#N/A</v>
      </c>
      <c r="D130" s="4" t="s">
        <v>2036</v>
      </c>
      <c r="E130" s="4" t="s">
        <v>2037</v>
      </c>
      <c r="F130" s="4" t="e">
        <v>#N/A</v>
      </c>
      <c r="H130" s="4" t="s">
        <v>2038</v>
      </c>
      <c r="I130" s="4" t="s">
        <v>2039</v>
      </c>
      <c r="J130" s="4" t="s">
        <v>2040</v>
      </c>
      <c r="K130" s="4" t="s">
        <v>2041</v>
      </c>
    </row>
    <row r="131" spans="1:11" ht="13">
      <c r="A131" s="4" t="s">
        <v>2042</v>
      </c>
      <c r="B131" s="4" t="s">
        <v>2044</v>
      </c>
      <c r="C131" s="4" t="s">
        <v>135</v>
      </c>
      <c r="D131" s="4" t="e">
        <v>#N/A</v>
      </c>
      <c r="F131" s="4" t="s">
        <v>2048</v>
      </c>
      <c r="G131" s="4" t="s">
        <v>2051</v>
      </c>
      <c r="H131" s="4" t="s">
        <v>2053</v>
      </c>
      <c r="I131" s="4" t="s">
        <v>2055</v>
      </c>
      <c r="J131" s="4" t="s">
        <v>2057</v>
      </c>
      <c r="K131" s="4" t="s">
        <v>2059</v>
      </c>
    </row>
    <row r="132" spans="1:11" ht="13">
      <c r="A132" s="4" t="s">
        <v>2062</v>
      </c>
      <c r="B132" s="4" t="s">
        <v>2063</v>
      </c>
      <c r="C132" s="4" t="s">
        <v>2065</v>
      </c>
      <c r="D132" s="4" t="s">
        <v>2067</v>
      </c>
      <c r="E132" s="4" t="s">
        <v>2070</v>
      </c>
      <c r="F132" s="4" t="s">
        <v>2071</v>
      </c>
      <c r="G132" s="4" t="s">
        <v>2074</v>
      </c>
      <c r="H132" s="4" t="s">
        <v>2079</v>
      </c>
      <c r="I132" s="4" t="s">
        <v>2081</v>
      </c>
      <c r="J132" s="4" t="s">
        <v>2083</v>
      </c>
      <c r="K132" s="4" t="s">
        <v>2086</v>
      </c>
    </row>
    <row r="133" spans="1:11" ht="13">
      <c r="A133" s="4" t="s">
        <v>2088</v>
      </c>
      <c r="B133" s="4" t="s">
        <v>2089</v>
      </c>
      <c r="C133" s="4" t="s">
        <v>2090</v>
      </c>
      <c r="D133" s="4" t="s">
        <v>2092</v>
      </c>
      <c r="E133" s="4" t="s">
        <v>2095</v>
      </c>
      <c r="F133" s="4" t="s">
        <v>2096</v>
      </c>
      <c r="G133" s="4" t="s">
        <v>2099</v>
      </c>
      <c r="H133" s="4" t="s">
        <v>2101</v>
      </c>
      <c r="I133" s="4" t="s">
        <v>2104</v>
      </c>
      <c r="J133" s="4" t="e">
        <v>#N/A</v>
      </c>
    </row>
    <row r="134" spans="1:11" ht="13">
      <c r="A134" s="4" t="s">
        <v>2107</v>
      </c>
      <c r="B134" s="4" t="e">
        <v>#N/A</v>
      </c>
      <c r="D134" s="4" t="s">
        <v>2110</v>
      </c>
      <c r="E134" s="4" t="s">
        <v>2112</v>
      </c>
      <c r="F134" s="4" t="s">
        <v>2113</v>
      </c>
      <c r="G134" s="4" t="s">
        <v>2115</v>
      </c>
      <c r="H134" s="4" t="s">
        <v>2117</v>
      </c>
      <c r="I134" s="4" t="s">
        <v>2118</v>
      </c>
      <c r="J134" s="4" t="s">
        <v>2119</v>
      </c>
      <c r="K134" s="4" t="s">
        <v>2121</v>
      </c>
    </row>
    <row r="135" spans="1:11" ht="13">
      <c r="A135" s="4" t="s">
        <v>2123</v>
      </c>
      <c r="B135" s="4" t="s">
        <v>2126</v>
      </c>
      <c r="C135" s="4" t="s">
        <v>2129</v>
      </c>
      <c r="D135" s="4" t="s">
        <v>2132</v>
      </c>
      <c r="E135" s="4" t="s">
        <v>2134</v>
      </c>
      <c r="F135" s="4" t="s">
        <v>2136</v>
      </c>
      <c r="G135" s="4" t="s">
        <v>2138</v>
      </c>
      <c r="H135" s="4" t="s">
        <v>2140</v>
      </c>
      <c r="I135" s="4" t="s">
        <v>2143</v>
      </c>
      <c r="J135" s="4" t="s">
        <v>2144</v>
      </c>
      <c r="K135" s="4" t="s">
        <v>2147</v>
      </c>
    </row>
    <row r="136" spans="1:11" ht="13">
      <c r="A136" s="4" t="s">
        <v>2150</v>
      </c>
      <c r="B136" s="4" t="s">
        <v>2152</v>
      </c>
      <c r="C136" s="4" t="s">
        <v>2155</v>
      </c>
      <c r="D136" s="4" t="s">
        <v>2157</v>
      </c>
      <c r="E136" s="4" t="s">
        <v>2159</v>
      </c>
      <c r="F136" s="4" t="e">
        <v>#N/A</v>
      </c>
      <c r="H136" s="4" t="s">
        <v>2161</v>
      </c>
      <c r="I136" s="4" t="s">
        <v>2163</v>
      </c>
      <c r="J136" s="4" t="s">
        <v>2165</v>
      </c>
      <c r="K136" s="4" t="s">
        <v>2167</v>
      </c>
    </row>
    <row r="137" spans="1:11" ht="13">
      <c r="A137" s="4" t="s">
        <v>2170</v>
      </c>
      <c r="B137" s="4" t="s">
        <v>2172</v>
      </c>
      <c r="C137" s="4" t="s">
        <v>2175</v>
      </c>
      <c r="D137" s="4" t="e">
        <v>#N/A</v>
      </c>
      <c r="F137" s="4" t="s">
        <v>2179</v>
      </c>
      <c r="G137" s="4" t="s">
        <v>2181</v>
      </c>
      <c r="H137" s="4" t="s">
        <v>2183</v>
      </c>
      <c r="I137" s="4" t="s">
        <v>2186</v>
      </c>
      <c r="J137" s="4" t="s">
        <v>2187</v>
      </c>
      <c r="K137" s="4" t="s">
        <v>2191</v>
      </c>
    </row>
    <row r="138" spans="1:11" ht="13">
      <c r="A138" s="4" t="s">
        <v>2194</v>
      </c>
      <c r="B138" s="4" t="s">
        <v>2196</v>
      </c>
      <c r="C138" s="4" t="s">
        <v>2203</v>
      </c>
      <c r="D138" s="4" t="s">
        <v>2205</v>
      </c>
      <c r="E138" s="4" t="s">
        <v>2208</v>
      </c>
      <c r="F138" s="4" t="s">
        <v>2211</v>
      </c>
      <c r="G138" s="4" t="s">
        <v>2213</v>
      </c>
      <c r="H138" s="4"/>
      <c r="J138" s="4" t="s">
        <v>2218</v>
      </c>
      <c r="K138" s="4" t="s">
        <v>2220</v>
      </c>
    </row>
    <row r="139" spans="1:11" ht="13">
      <c r="A139" s="4" t="s">
        <v>2223</v>
      </c>
      <c r="B139" s="4" t="s">
        <v>2225</v>
      </c>
      <c r="C139" s="4" t="s">
        <v>2228</v>
      </c>
      <c r="D139" s="4" t="s">
        <v>2230</v>
      </c>
      <c r="E139" s="4" t="s">
        <v>2233</v>
      </c>
      <c r="F139" s="4" t="s">
        <v>2234</v>
      </c>
      <c r="G139" s="4" t="s">
        <v>2235</v>
      </c>
      <c r="H139" s="4" t="s">
        <v>2237</v>
      </c>
      <c r="I139" s="4" t="s">
        <v>2240</v>
      </c>
      <c r="J139" s="4" t="s">
        <v>2242</v>
      </c>
      <c r="K139" s="4" t="s">
        <v>2244</v>
      </c>
    </row>
    <row r="140" spans="1:11" ht="13">
      <c r="A140" s="4" t="s">
        <v>2246</v>
      </c>
      <c r="B140" s="4" t="s">
        <v>2247</v>
      </c>
      <c r="C140" s="4" t="s">
        <v>2251</v>
      </c>
      <c r="D140" s="4" t="s">
        <v>2252</v>
      </c>
      <c r="E140" s="4" t="s">
        <v>2255</v>
      </c>
      <c r="F140" s="4" t="s">
        <v>2257</v>
      </c>
      <c r="G140" s="4" t="s">
        <v>2259</v>
      </c>
      <c r="H140" s="4" t="s">
        <v>2262</v>
      </c>
      <c r="I140" s="4" t="s">
        <v>2265</v>
      </c>
      <c r="J140" s="4" t="e">
        <v>#N/A</v>
      </c>
    </row>
    <row r="141" spans="1:11" ht="13">
      <c r="A141" s="4" t="s">
        <v>2269</v>
      </c>
      <c r="B141" s="4" t="s">
        <v>2272</v>
      </c>
      <c r="C141" s="4" t="s">
        <v>2274</v>
      </c>
      <c r="D141" s="4" t="s">
        <v>2276</v>
      </c>
      <c r="E141" s="4" t="s">
        <v>2279</v>
      </c>
      <c r="F141" s="4" t="s">
        <v>2281</v>
      </c>
      <c r="G141" s="4" t="s">
        <v>2282</v>
      </c>
      <c r="H141" s="4" t="s">
        <v>2283</v>
      </c>
      <c r="I141" s="4" t="s">
        <v>135</v>
      </c>
      <c r="J141" s="4" t="s">
        <v>2287</v>
      </c>
      <c r="K141" s="4" t="s">
        <v>2290</v>
      </c>
    </row>
    <row r="142" spans="1:11" ht="13">
      <c r="A142" s="4" t="s">
        <v>2293</v>
      </c>
      <c r="B142" s="4" t="e">
        <v>#N/A</v>
      </c>
      <c r="D142" s="4" t="s">
        <v>2297</v>
      </c>
      <c r="E142" s="4" t="s">
        <v>2299</v>
      </c>
      <c r="F142" s="4" t="s">
        <v>2300</v>
      </c>
      <c r="G142" s="4" t="s">
        <v>2304</v>
      </c>
      <c r="H142" s="4" t="s">
        <v>2306</v>
      </c>
      <c r="I142" s="4" t="s">
        <v>2309</v>
      </c>
      <c r="J142" s="4" t="s">
        <v>2311</v>
      </c>
      <c r="K142" s="4" t="s">
        <v>2314</v>
      </c>
    </row>
    <row r="143" spans="1:11" ht="13">
      <c r="A143" s="4" t="s">
        <v>2317</v>
      </c>
      <c r="B143" s="4" t="e">
        <v>#N/A</v>
      </c>
      <c r="D143" s="4" t="e">
        <v>#N/A</v>
      </c>
      <c r="F143" s="4" t="s">
        <v>2321</v>
      </c>
      <c r="G143" s="4" t="s">
        <v>2324</v>
      </c>
      <c r="H143" s="4" t="s">
        <v>2326</v>
      </c>
      <c r="I143" s="4" t="s">
        <v>2330</v>
      </c>
      <c r="J143" s="4" t="s">
        <v>2332</v>
      </c>
      <c r="K143" s="4" t="s">
        <v>2337</v>
      </c>
    </row>
    <row r="144" spans="1:11" ht="13">
      <c r="A144" s="4" t="s">
        <v>2339</v>
      </c>
      <c r="B144" s="4" t="s">
        <v>2341</v>
      </c>
      <c r="C144" s="4" t="s">
        <v>2343</v>
      </c>
      <c r="D144" s="4" t="s">
        <v>2345</v>
      </c>
      <c r="E144" s="4" t="s">
        <v>2348</v>
      </c>
      <c r="F144" s="4" t="e">
        <v>#N/A</v>
      </c>
      <c r="H144" s="4" t="s">
        <v>2352</v>
      </c>
      <c r="I144" s="4" t="s">
        <v>2354</v>
      </c>
      <c r="J144" s="4" t="e">
        <v>#N/A</v>
      </c>
    </row>
    <row r="145" spans="1:11" ht="13">
      <c r="A145" s="4" t="s">
        <v>2356</v>
      </c>
      <c r="B145" s="4" t="s">
        <v>2358</v>
      </c>
      <c r="C145" s="4" t="s">
        <v>2360</v>
      </c>
      <c r="D145" s="4" t="s">
        <v>2362</v>
      </c>
      <c r="E145" s="4" t="s">
        <v>2364</v>
      </c>
      <c r="F145" s="4" t="s">
        <v>2366</v>
      </c>
      <c r="G145" s="4" t="s">
        <v>2370</v>
      </c>
      <c r="H145" s="4" t="s">
        <v>2372</v>
      </c>
      <c r="I145" s="4" t="s">
        <v>2375</v>
      </c>
      <c r="J145" s="4" t="s">
        <v>2377</v>
      </c>
      <c r="K145" s="4" t="s">
        <v>2378</v>
      </c>
    </row>
    <row r="146" spans="1:11" ht="13">
      <c r="A146" s="4" t="s">
        <v>2380</v>
      </c>
      <c r="B146" s="4" t="s">
        <v>2383</v>
      </c>
      <c r="C146" s="4" t="s">
        <v>2385</v>
      </c>
      <c r="D146" s="4" t="s">
        <v>2387</v>
      </c>
      <c r="E146" s="4" t="s">
        <v>2389</v>
      </c>
      <c r="F146" s="4" t="s">
        <v>2391</v>
      </c>
      <c r="G146" s="4" t="s">
        <v>2393</v>
      </c>
      <c r="H146" s="4" t="s">
        <v>2395</v>
      </c>
      <c r="I146" s="4" t="s">
        <v>2397</v>
      </c>
      <c r="J146" s="4" t="s">
        <v>2398</v>
      </c>
      <c r="K146" s="4" t="s">
        <v>2400</v>
      </c>
    </row>
    <row r="147" spans="1:11" ht="13">
      <c r="A147" s="4" t="s">
        <v>2403</v>
      </c>
      <c r="B147" s="4" t="s">
        <v>2405</v>
      </c>
      <c r="C147" s="4" t="s">
        <v>2406</v>
      </c>
      <c r="D147" s="4" t="s">
        <v>2407</v>
      </c>
      <c r="E147" s="4" t="s">
        <v>2408</v>
      </c>
      <c r="F147" s="4" t="s">
        <v>2409</v>
      </c>
      <c r="G147" s="4" t="s">
        <v>2410</v>
      </c>
      <c r="H147" s="4" t="s">
        <v>2412</v>
      </c>
      <c r="I147" s="4" t="s">
        <v>2413</v>
      </c>
      <c r="J147" s="4" t="e">
        <v>#N/A</v>
      </c>
    </row>
    <row r="148" spans="1:11" ht="13">
      <c r="A148" s="4" t="s">
        <v>2416</v>
      </c>
      <c r="B148" s="4" t="s">
        <v>2418</v>
      </c>
      <c r="C148" s="4" t="s">
        <v>2421</v>
      </c>
      <c r="D148" s="4" t="s">
        <v>2423</v>
      </c>
      <c r="E148" s="4" t="s">
        <v>2426</v>
      </c>
      <c r="F148" s="4" t="e">
        <v>#N/A</v>
      </c>
      <c r="H148" s="4" t="s">
        <v>2429</v>
      </c>
      <c r="I148" s="4" t="s">
        <v>2431</v>
      </c>
      <c r="J148" s="4" t="s">
        <v>2433</v>
      </c>
      <c r="K148" s="4" t="s">
        <v>2436</v>
      </c>
    </row>
    <row r="149" spans="1:11" ht="13">
      <c r="A149" s="4" t="s">
        <v>2438</v>
      </c>
      <c r="B149" s="4" t="s">
        <v>2441</v>
      </c>
      <c r="C149" s="4" t="s">
        <v>2443</v>
      </c>
      <c r="D149" s="4" t="s">
        <v>2445</v>
      </c>
      <c r="E149" s="4" t="s">
        <v>2448</v>
      </c>
      <c r="F149" s="4" t="s">
        <v>2451</v>
      </c>
      <c r="G149" s="4" t="s">
        <v>2454</v>
      </c>
      <c r="H149" s="4"/>
      <c r="J149" s="4" t="s">
        <v>2458</v>
      </c>
      <c r="K149" s="4" t="s">
        <v>2460</v>
      </c>
    </row>
    <row r="150" spans="1:11" ht="13">
      <c r="A150" s="4" t="s">
        <v>2463</v>
      </c>
      <c r="B150" s="4" t="s">
        <v>2466</v>
      </c>
      <c r="C150" s="4" t="s">
        <v>2469</v>
      </c>
      <c r="D150" s="4" t="s">
        <v>2471</v>
      </c>
      <c r="E150" s="4" t="s">
        <v>2474</v>
      </c>
      <c r="F150" s="4" t="s">
        <v>2476</v>
      </c>
      <c r="G150" s="4" t="s">
        <v>135</v>
      </c>
      <c r="H150" s="4" t="s">
        <v>2481</v>
      </c>
      <c r="I150" s="4" t="s">
        <v>2483</v>
      </c>
      <c r="J150" s="4" t="s">
        <v>2485</v>
      </c>
      <c r="K150" s="4" t="s">
        <v>2486</v>
      </c>
    </row>
    <row r="151" spans="1:11" ht="13">
      <c r="A151" s="4" t="s">
        <v>2487</v>
      </c>
      <c r="B151" s="4" t="s">
        <v>2489</v>
      </c>
      <c r="C151" s="4" t="s">
        <v>2492</v>
      </c>
      <c r="D151" s="4" t="s">
        <v>2495</v>
      </c>
      <c r="E151" s="4" t="s">
        <v>2498</v>
      </c>
      <c r="F151" s="4" t="s">
        <v>2500</v>
      </c>
      <c r="G151" s="4" t="s">
        <v>2501</v>
      </c>
      <c r="H151" s="4"/>
      <c r="J151" s="4" t="s">
        <v>2505</v>
      </c>
      <c r="K151" s="4" t="s">
        <v>2507</v>
      </c>
    </row>
    <row r="152" spans="1:11" ht="13">
      <c r="A152" s="4" t="s">
        <v>2510</v>
      </c>
      <c r="B152" s="4" t="s">
        <v>2512</v>
      </c>
      <c r="C152" s="4" t="s">
        <v>2515</v>
      </c>
      <c r="D152" s="4" t="s">
        <v>2517</v>
      </c>
      <c r="E152" s="4" t="s">
        <v>2520</v>
      </c>
      <c r="F152" s="4" t="s">
        <v>2522</v>
      </c>
      <c r="G152" s="4" t="s">
        <v>2525</v>
      </c>
      <c r="H152" s="4" t="s">
        <v>2527</v>
      </c>
      <c r="I152" s="4" t="s">
        <v>135</v>
      </c>
      <c r="J152" s="4" t="e">
        <v>#N/A</v>
      </c>
    </row>
    <row r="153" spans="1:11" ht="13">
      <c r="A153" s="4" t="s">
        <v>2534</v>
      </c>
      <c r="B153" s="4" t="s">
        <v>2535</v>
      </c>
      <c r="C153" s="4" t="s">
        <v>2537</v>
      </c>
      <c r="D153" s="4" t="s">
        <v>2538</v>
      </c>
      <c r="E153" s="4" t="s">
        <v>2541</v>
      </c>
      <c r="F153" s="4" t="s">
        <v>2543</v>
      </c>
      <c r="G153" s="4" t="s">
        <v>2546</v>
      </c>
      <c r="H153" s="4" t="s">
        <v>2547</v>
      </c>
      <c r="I153" s="4" t="s">
        <v>2550</v>
      </c>
      <c r="J153" s="4" t="e">
        <v>#N/A</v>
      </c>
    </row>
    <row r="154" spans="1:11" ht="13">
      <c r="A154" s="4" t="s">
        <v>2555</v>
      </c>
      <c r="B154" s="4" t="e">
        <v>#N/A</v>
      </c>
      <c r="D154" s="4" t="e">
        <v>#N/A</v>
      </c>
      <c r="F154" s="4" t="e">
        <v>#N/A</v>
      </c>
      <c r="H154" s="4" t="s">
        <v>2559</v>
      </c>
      <c r="I154" s="4" t="s">
        <v>2562</v>
      </c>
      <c r="J154" s="4" t="s">
        <v>2564</v>
      </c>
      <c r="K154" s="4" t="s">
        <v>2566</v>
      </c>
    </row>
    <row r="155" spans="1:11" ht="13">
      <c r="A155" s="4" t="s">
        <v>2568</v>
      </c>
      <c r="B155" s="4" t="s">
        <v>2569</v>
      </c>
      <c r="C155" s="4" t="s">
        <v>2573</v>
      </c>
      <c r="D155" s="4" t="s">
        <v>2574</v>
      </c>
      <c r="E155" s="4" t="s">
        <v>2577</v>
      </c>
      <c r="F155" s="4" t="s">
        <v>2579</v>
      </c>
      <c r="G155" s="4" t="s">
        <v>2582</v>
      </c>
      <c r="H155" s="4" t="e">
        <v>#N/A</v>
      </c>
      <c r="J155" s="4" t="s">
        <v>2586</v>
      </c>
      <c r="K155" s="4" t="s">
        <v>2588</v>
      </c>
    </row>
    <row r="156" spans="1:11" ht="13">
      <c r="A156" s="4" t="s">
        <v>2591</v>
      </c>
      <c r="B156" s="4" t="s">
        <v>2593</v>
      </c>
      <c r="C156" s="4" t="s">
        <v>2596</v>
      </c>
      <c r="D156" s="4" t="s">
        <v>2599</v>
      </c>
      <c r="E156" s="4" t="s">
        <v>2601</v>
      </c>
      <c r="F156" s="4" t="s">
        <v>2604</v>
      </c>
      <c r="G156" s="4" t="s">
        <v>2607</v>
      </c>
      <c r="H156" s="4" t="s">
        <v>2609</v>
      </c>
      <c r="I156" s="4" t="s">
        <v>2611</v>
      </c>
      <c r="J156" s="4" t="s">
        <v>2613</v>
      </c>
      <c r="K156" s="4" t="s">
        <v>2616</v>
      </c>
    </row>
    <row r="157" spans="1:11" ht="13">
      <c r="A157" s="4" t="s">
        <v>2618</v>
      </c>
      <c r="B157" s="4" t="s">
        <v>2620</v>
      </c>
      <c r="C157" s="4" t="s">
        <v>2623</v>
      </c>
      <c r="D157" s="4" t="e">
        <v>#N/A</v>
      </c>
      <c r="F157" s="4" t="e">
        <v>#N/A</v>
      </c>
      <c r="H157" s="4" t="s">
        <v>2628</v>
      </c>
      <c r="I157" s="4" t="s">
        <v>2631</v>
      </c>
      <c r="J157" s="4" t="e">
        <v>#N/A</v>
      </c>
    </row>
    <row r="158" spans="1:11" ht="13">
      <c r="A158" s="4" t="s">
        <v>2635</v>
      </c>
      <c r="B158" s="4" t="s">
        <v>2638</v>
      </c>
      <c r="C158" s="4" t="s">
        <v>2640</v>
      </c>
      <c r="D158" s="4" t="s">
        <v>2641</v>
      </c>
      <c r="E158" s="4" t="s">
        <v>2644</v>
      </c>
      <c r="F158" s="4" t="s">
        <v>2646</v>
      </c>
      <c r="G158" s="4" t="s">
        <v>2650</v>
      </c>
      <c r="H158" s="4" t="s">
        <v>2652</v>
      </c>
      <c r="I158" s="4" t="s">
        <v>2655</v>
      </c>
      <c r="J158" s="4" t="s">
        <v>2657</v>
      </c>
      <c r="K158" s="4" t="s">
        <v>2659</v>
      </c>
    </row>
    <row r="159" spans="1:11" ht="13">
      <c r="A159" s="4" t="s">
        <v>2661</v>
      </c>
      <c r="B159" s="4" t="e">
        <v>#N/A</v>
      </c>
      <c r="D159" s="4" t="s">
        <v>2664</v>
      </c>
      <c r="E159" s="4" t="s">
        <v>2665</v>
      </c>
      <c r="F159" s="4" t="s">
        <v>2668</v>
      </c>
      <c r="G159" s="4" t="s">
        <v>2670</v>
      </c>
      <c r="H159" s="4" t="e">
        <v>#N/A</v>
      </c>
      <c r="J159" s="4" t="s">
        <v>2674</v>
      </c>
      <c r="K159" s="4" t="s">
        <v>2676</v>
      </c>
    </row>
    <row r="160" spans="1:11" ht="13">
      <c r="A160" s="4" t="s">
        <v>2678</v>
      </c>
      <c r="B160" s="4" t="e">
        <v>#N/A</v>
      </c>
      <c r="D160" s="4" t="s">
        <v>2682</v>
      </c>
      <c r="E160" s="4" t="s">
        <v>2685</v>
      </c>
      <c r="F160" s="4" t="e">
        <v>#N/A</v>
      </c>
      <c r="H160" s="4" t="e">
        <v>#N/A</v>
      </c>
      <c r="J160" s="4" t="s">
        <v>2688</v>
      </c>
      <c r="K160" s="4" t="s">
        <v>2691</v>
      </c>
    </row>
    <row r="161" spans="1:11" ht="13">
      <c r="A161" s="4" t="s">
        <v>2695</v>
      </c>
      <c r="B161" s="4" t="e">
        <v>#N/A</v>
      </c>
      <c r="D161" s="4" t="s">
        <v>2698</v>
      </c>
      <c r="E161" s="4" t="s">
        <v>135</v>
      </c>
      <c r="F161" s="4" t="s">
        <v>2702</v>
      </c>
      <c r="G161" s="4" t="s">
        <v>2704</v>
      </c>
      <c r="H161" s="4" t="s">
        <v>2706</v>
      </c>
      <c r="I161" s="4" t="s">
        <v>2709</v>
      </c>
      <c r="J161" s="4" t="s">
        <v>2711</v>
      </c>
      <c r="K161" s="4" t="s">
        <v>2713</v>
      </c>
    </row>
    <row r="162" spans="1:11" ht="13">
      <c r="A162" s="4" t="s">
        <v>2716</v>
      </c>
      <c r="B162" s="4" t="s">
        <v>2718</v>
      </c>
      <c r="C162" s="4" t="s">
        <v>2722</v>
      </c>
      <c r="D162" s="4" t="s">
        <v>2724</v>
      </c>
      <c r="E162" s="4" t="s">
        <v>2726</v>
      </c>
      <c r="F162" s="4" t="e">
        <v>#N/A</v>
      </c>
      <c r="H162" s="4" t="s">
        <v>2729</v>
      </c>
      <c r="I162" s="4" t="s">
        <v>2732</v>
      </c>
      <c r="J162" s="4" t="s">
        <v>2734</v>
      </c>
      <c r="K162" s="4" t="s">
        <v>2737</v>
      </c>
    </row>
    <row r="163" spans="1:11" ht="13">
      <c r="A163" s="4" t="s">
        <v>2739</v>
      </c>
      <c r="B163" s="4" t="e">
        <v>#N/A</v>
      </c>
      <c r="D163" s="4" t="s">
        <v>2743</v>
      </c>
      <c r="E163" s="4" t="s">
        <v>2745</v>
      </c>
      <c r="F163" s="4" t="s">
        <v>2748</v>
      </c>
      <c r="G163" s="4" t="s">
        <v>2751</v>
      </c>
      <c r="H163" s="4" t="s">
        <v>2752</v>
      </c>
      <c r="I163" s="4" t="s">
        <v>2755</v>
      </c>
      <c r="J163" s="4" t="s">
        <v>2757</v>
      </c>
      <c r="K163" s="4" t="s">
        <v>2759</v>
      </c>
    </row>
    <row r="164" spans="1:11" ht="13">
      <c r="A164" s="4" t="s">
        <v>2761</v>
      </c>
      <c r="B164" s="4" t="e">
        <v>#N/A</v>
      </c>
      <c r="D164" s="4" t="s">
        <v>2765</v>
      </c>
      <c r="E164" s="4" t="s">
        <v>2768</v>
      </c>
      <c r="F164" s="4" t="e">
        <v>#N/A</v>
      </c>
      <c r="H164" s="4"/>
      <c r="J164" s="4" t="s">
        <v>2771</v>
      </c>
      <c r="K164" s="4" t="s">
        <v>2773</v>
      </c>
    </row>
    <row r="165" spans="1:11" ht="13">
      <c r="A165" s="4" t="s">
        <v>2775</v>
      </c>
      <c r="B165" s="4" t="s">
        <v>2777</v>
      </c>
      <c r="C165" s="4" t="s">
        <v>2781</v>
      </c>
      <c r="D165" s="4" t="e">
        <v>#N/A</v>
      </c>
      <c r="F165" s="4" t="s">
        <v>2783</v>
      </c>
      <c r="G165" s="4" t="s">
        <v>2786</v>
      </c>
      <c r="H165" s="4" t="s">
        <v>2788</v>
      </c>
      <c r="I165" s="4" t="s">
        <v>2791</v>
      </c>
      <c r="J165" s="4" t="s">
        <v>2793</v>
      </c>
      <c r="K165" s="4" t="s">
        <v>2796</v>
      </c>
    </row>
    <row r="166" spans="1:11" ht="13">
      <c r="A166" s="4" t="s">
        <v>2798</v>
      </c>
      <c r="B166" s="4" t="s">
        <v>2799</v>
      </c>
      <c r="C166" s="4" t="s">
        <v>2802</v>
      </c>
      <c r="D166" s="4" t="s">
        <v>2804</v>
      </c>
      <c r="E166" s="4" t="s">
        <v>2805</v>
      </c>
      <c r="F166" s="4" t="s">
        <v>2807</v>
      </c>
      <c r="G166" s="4" t="s">
        <v>2808</v>
      </c>
      <c r="H166" s="4" t="e">
        <v>#N/A</v>
      </c>
      <c r="J166" s="4" t="s">
        <v>2810</v>
      </c>
      <c r="K166" s="4" t="s">
        <v>2812</v>
      </c>
    </row>
    <row r="167" spans="1:11" ht="13">
      <c r="A167" s="4" t="s">
        <v>2815</v>
      </c>
      <c r="B167" s="4" t="e">
        <v>#N/A</v>
      </c>
      <c r="D167" s="4" t="s">
        <v>2819</v>
      </c>
      <c r="E167" s="4" t="s">
        <v>2823</v>
      </c>
      <c r="F167" s="4" t="e">
        <v>#N/A</v>
      </c>
      <c r="H167" s="4" t="s">
        <v>2826</v>
      </c>
      <c r="I167" s="4" t="s">
        <v>2829</v>
      </c>
      <c r="J167" s="4" t="e">
        <v>#N/A</v>
      </c>
    </row>
    <row r="168" spans="1:11" ht="13">
      <c r="A168" s="4" t="s">
        <v>2833</v>
      </c>
      <c r="B168" s="4" t="s">
        <v>2835</v>
      </c>
      <c r="C168" s="4" t="s">
        <v>2838</v>
      </c>
      <c r="D168" s="4" t="s">
        <v>2839</v>
      </c>
      <c r="E168" s="4" t="s">
        <v>2840</v>
      </c>
      <c r="F168" s="4" t="s">
        <v>2841</v>
      </c>
      <c r="G168" s="4" t="s">
        <v>2844</v>
      </c>
      <c r="H168" s="4" t="s">
        <v>2845</v>
      </c>
      <c r="I168" s="4" t="s">
        <v>2848</v>
      </c>
      <c r="J168" s="4" t="s">
        <v>2850</v>
      </c>
      <c r="K168" s="4" t="s">
        <v>2853</v>
      </c>
    </row>
    <row r="169" spans="1:11" ht="13">
      <c r="A169" s="4" t="s">
        <v>2855</v>
      </c>
      <c r="B169" s="4" t="s">
        <v>2857</v>
      </c>
      <c r="C169" s="4" t="s">
        <v>2861</v>
      </c>
      <c r="D169" s="4" t="s">
        <v>2863</v>
      </c>
      <c r="E169" s="4" t="s">
        <v>2866</v>
      </c>
      <c r="F169" s="4" t="s">
        <v>2868</v>
      </c>
      <c r="G169" s="4" t="s">
        <v>2870</v>
      </c>
      <c r="H169" s="4" t="s">
        <v>2872</v>
      </c>
      <c r="I169" s="4" t="s">
        <v>2878</v>
      </c>
      <c r="J169" s="4" t="s">
        <v>2881</v>
      </c>
      <c r="K169" s="4" t="s">
        <v>2883</v>
      </c>
    </row>
    <row r="170" spans="1:11" ht="13">
      <c r="A170" s="4" t="s">
        <v>2886</v>
      </c>
      <c r="B170" s="4" t="s">
        <v>2888</v>
      </c>
      <c r="C170" s="4" t="s">
        <v>2889</v>
      </c>
      <c r="D170" s="4" t="e">
        <v>#N/A</v>
      </c>
      <c r="F170" s="4" t="e">
        <v>#N/A</v>
      </c>
      <c r="H170" s="4" t="s">
        <v>2895</v>
      </c>
      <c r="I170" s="4" t="s">
        <v>2897</v>
      </c>
      <c r="J170" s="4" t="s">
        <v>2898</v>
      </c>
      <c r="K170" s="4" t="s">
        <v>2901</v>
      </c>
    </row>
    <row r="171" spans="1:11" ht="13">
      <c r="A171" s="4" t="s">
        <v>2904</v>
      </c>
      <c r="B171" s="4" t="s">
        <v>2906</v>
      </c>
      <c r="C171" s="4" t="s">
        <v>2909</v>
      </c>
      <c r="D171" s="4" t="s">
        <v>2910</v>
      </c>
      <c r="E171" s="4" t="s">
        <v>2913</v>
      </c>
      <c r="F171" s="4" t="e">
        <v>#N/A</v>
      </c>
      <c r="H171" s="4" t="s">
        <v>2917</v>
      </c>
      <c r="I171" s="4" t="s">
        <v>2919</v>
      </c>
      <c r="J171" s="4" t="s">
        <v>2922</v>
      </c>
      <c r="K171" s="4" t="s">
        <v>2924</v>
      </c>
    </row>
    <row r="172" spans="1:11" ht="13">
      <c r="A172" s="4" t="s">
        <v>2927</v>
      </c>
      <c r="B172" s="4" t="s">
        <v>2929</v>
      </c>
      <c r="C172" s="4" t="s">
        <v>2931</v>
      </c>
      <c r="D172" s="4" t="s">
        <v>2932</v>
      </c>
      <c r="E172" s="4" t="s">
        <v>135</v>
      </c>
      <c r="F172" s="4" t="s">
        <v>2937</v>
      </c>
      <c r="G172" s="4" t="s">
        <v>2940</v>
      </c>
      <c r="H172" s="4" t="s">
        <v>2942</v>
      </c>
      <c r="I172" s="4" t="s">
        <v>2945</v>
      </c>
      <c r="J172" s="4" t="s">
        <v>2947</v>
      </c>
      <c r="K172" s="4" t="s">
        <v>2950</v>
      </c>
    </row>
    <row r="173" spans="1:11" ht="13">
      <c r="A173" s="4" t="s">
        <v>2953</v>
      </c>
      <c r="B173" s="4" t="s">
        <v>2955</v>
      </c>
      <c r="C173" s="4" t="s">
        <v>2956</v>
      </c>
      <c r="D173" s="4" t="s">
        <v>2958</v>
      </c>
      <c r="E173" s="4" t="s">
        <v>2961</v>
      </c>
      <c r="F173" s="4" t="s">
        <v>2964</v>
      </c>
      <c r="G173" s="4" t="s">
        <v>2967</v>
      </c>
      <c r="H173" s="4" t="s">
        <v>2968</v>
      </c>
      <c r="I173" s="4" t="s">
        <v>2972</v>
      </c>
      <c r="J173" s="4" t="s">
        <v>2974</v>
      </c>
      <c r="K173" s="4" t="s">
        <v>2977</v>
      </c>
    </row>
    <row r="174" spans="1:11" ht="13">
      <c r="A174" s="4" t="s">
        <v>2978</v>
      </c>
      <c r="B174" s="4" t="s">
        <v>2981</v>
      </c>
      <c r="C174" s="4" t="s">
        <v>2983</v>
      </c>
      <c r="D174" s="4" t="s">
        <v>2986</v>
      </c>
      <c r="E174" s="4" t="s">
        <v>2989</v>
      </c>
      <c r="F174" s="4" t="e">
        <v>#N/A</v>
      </c>
      <c r="H174" s="4" t="s">
        <v>2993</v>
      </c>
      <c r="I174" s="4" t="s">
        <v>2996</v>
      </c>
      <c r="J174" s="4" t="s">
        <v>2999</v>
      </c>
      <c r="K174" s="4" t="s">
        <v>3002</v>
      </c>
    </row>
    <row r="175" spans="1:11" ht="13">
      <c r="A175" s="4" t="s">
        <v>3005</v>
      </c>
      <c r="B175" s="4" t="e">
        <v>#N/A</v>
      </c>
      <c r="D175" s="4" t="e">
        <v>#N/A</v>
      </c>
      <c r="F175" s="4" t="s">
        <v>3010</v>
      </c>
      <c r="G175" s="4" t="s">
        <v>3013</v>
      </c>
      <c r="H175" s="4" t="s">
        <v>3015</v>
      </c>
      <c r="I175" s="4" t="s">
        <v>3017</v>
      </c>
      <c r="J175" s="4" t="s">
        <v>3019</v>
      </c>
      <c r="K175" s="4" t="s">
        <v>3022</v>
      </c>
    </row>
    <row r="176" spans="1:11" ht="13">
      <c r="A176" s="4" t="s">
        <v>3023</v>
      </c>
      <c r="B176" s="4" t="s">
        <v>3024</v>
      </c>
      <c r="C176" s="4" t="s">
        <v>3027</v>
      </c>
      <c r="D176" s="4" t="s">
        <v>3028</v>
      </c>
      <c r="E176" s="4" t="s">
        <v>3031</v>
      </c>
      <c r="F176" s="4" t="s">
        <v>3033</v>
      </c>
      <c r="G176" s="4" t="s">
        <v>3035</v>
      </c>
      <c r="H176" s="4" t="s">
        <v>3037</v>
      </c>
      <c r="I176" s="4" t="s">
        <v>3038</v>
      </c>
      <c r="J176" s="4" t="e">
        <v>#N/A</v>
      </c>
    </row>
    <row r="177" spans="1:11" ht="13">
      <c r="A177" s="4" t="s">
        <v>3041</v>
      </c>
      <c r="B177" s="4" t="e">
        <v>#N/A</v>
      </c>
      <c r="D177" s="4" t="s">
        <v>3043</v>
      </c>
      <c r="E177" s="4" t="s">
        <v>3047</v>
      </c>
      <c r="F177" s="4" t="s">
        <v>3049</v>
      </c>
      <c r="G177" s="4" t="s">
        <v>3051</v>
      </c>
      <c r="H177" s="4" t="s">
        <v>3054</v>
      </c>
      <c r="I177" s="4" t="s">
        <v>3057</v>
      </c>
      <c r="J177" s="4" t="s">
        <v>3059</v>
      </c>
      <c r="K177" s="4" t="s">
        <v>3062</v>
      </c>
    </row>
    <row r="178" spans="1:11" ht="13">
      <c r="A178" s="4" t="s">
        <v>3069</v>
      </c>
      <c r="B178" s="4" t="s">
        <v>3071</v>
      </c>
      <c r="C178" s="4" t="s">
        <v>3075</v>
      </c>
      <c r="D178" s="4" t="s">
        <v>3078</v>
      </c>
      <c r="E178" s="4" t="s">
        <v>3079</v>
      </c>
      <c r="F178" s="4" t="e">
        <v>#N/A</v>
      </c>
      <c r="H178" s="4" t="s">
        <v>3084</v>
      </c>
      <c r="I178" s="4" t="s">
        <v>3086</v>
      </c>
      <c r="J178" s="4" t="e">
        <v>#N/A</v>
      </c>
    </row>
    <row r="179" spans="1:11" ht="13">
      <c r="A179" s="4" t="s">
        <v>3090</v>
      </c>
      <c r="B179" s="4" t="s">
        <v>3093</v>
      </c>
      <c r="C179" s="4" t="s">
        <v>3095</v>
      </c>
      <c r="D179" s="4" t="s">
        <v>3097</v>
      </c>
      <c r="E179" s="4" t="s">
        <v>3099</v>
      </c>
      <c r="F179" s="4" t="e">
        <v>#N/A</v>
      </c>
      <c r="H179" s="4" t="s">
        <v>3104</v>
      </c>
      <c r="I179" s="4" t="s">
        <v>3105</v>
      </c>
      <c r="J179" s="4" t="s">
        <v>3108</v>
      </c>
      <c r="K179" s="4" t="s">
        <v>3110</v>
      </c>
    </row>
    <row r="180" spans="1:11" ht="13">
      <c r="A180" s="4" t="s">
        <v>3112</v>
      </c>
      <c r="B180" s="4" t="s">
        <v>3114</v>
      </c>
      <c r="C180" s="4" t="s">
        <v>3117</v>
      </c>
      <c r="D180" s="4" t="s">
        <v>3119</v>
      </c>
      <c r="E180" s="4" t="s">
        <v>3123</v>
      </c>
      <c r="F180" s="4" t="s">
        <v>3125</v>
      </c>
      <c r="G180" s="4" t="s">
        <v>3127</v>
      </c>
      <c r="H180" s="4"/>
      <c r="J180" s="4" t="s">
        <v>3132</v>
      </c>
      <c r="K180" s="4" t="s">
        <v>3134</v>
      </c>
    </row>
    <row r="181" spans="1:11" ht="13">
      <c r="A181" s="4" t="s">
        <v>3137</v>
      </c>
      <c r="B181" s="4" t="s">
        <v>3138</v>
      </c>
      <c r="C181" s="4" t="s">
        <v>3139</v>
      </c>
      <c r="D181" s="4" t="s">
        <v>3142</v>
      </c>
      <c r="E181" s="4" t="s">
        <v>3144</v>
      </c>
      <c r="F181" s="4" t="s">
        <v>3146</v>
      </c>
      <c r="G181" s="4" t="s">
        <v>3149</v>
      </c>
      <c r="H181" s="4" t="s">
        <v>3152</v>
      </c>
      <c r="I181" s="4" t="s">
        <v>3155</v>
      </c>
      <c r="J181" s="4" t="s">
        <v>3157</v>
      </c>
      <c r="K181" s="4" t="s">
        <v>3160</v>
      </c>
    </row>
    <row r="182" spans="1:11" ht="13">
      <c r="A182" s="4" t="s">
        <v>3163</v>
      </c>
      <c r="B182" s="4" t="s">
        <v>3165</v>
      </c>
      <c r="C182" s="4" t="s">
        <v>3168</v>
      </c>
      <c r="D182" s="4" t="s">
        <v>3171</v>
      </c>
      <c r="E182" s="4" t="s">
        <v>3173</v>
      </c>
      <c r="F182" s="4" t="s">
        <v>3175</v>
      </c>
      <c r="G182" s="4" t="s">
        <v>3177</v>
      </c>
      <c r="H182" s="4"/>
      <c r="J182" s="4" t="e">
        <v>#N/A</v>
      </c>
    </row>
    <row r="183" spans="1:11" ht="13">
      <c r="A183" s="4" t="s">
        <v>3184</v>
      </c>
      <c r="B183" s="4" t="e">
        <v>#N/A</v>
      </c>
      <c r="D183" s="4" t="s">
        <v>3186</v>
      </c>
      <c r="E183" s="4" t="s">
        <v>3189</v>
      </c>
      <c r="F183" s="4" t="s">
        <v>3191</v>
      </c>
      <c r="G183" s="4" t="s">
        <v>3194</v>
      </c>
      <c r="H183" s="4" t="s">
        <v>3196</v>
      </c>
      <c r="I183" s="4" t="s">
        <v>3207</v>
      </c>
      <c r="J183" s="4" t="s">
        <v>3209</v>
      </c>
      <c r="K183" s="4" t="s">
        <v>135</v>
      </c>
    </row>
    <row r="184" spans="1:11" ht="13">
      <c r="A184" s="4" t="s">
        <v>3213</v>
      </c>
      <c r="B184" s="4" t="s">
        <v>3216</v>
      </c>
      <c r="C184" s="4" t="s">
        <v>3219</v>
      </c>
      <c r="D184" s="4" t="e">
        <v>#N/A</v>
      </c>
      <c r="F184" s="4" t="s">
        <v>3223</v>
      </c>
      <c r="G184" s="4" t="s">
        <v>3227</v>
      </c>
      <c r="H184" s="4" t="s">
        <v>3228</v>
      </c>
      <c r="I184" s="4" t="s">
        <v>3229</v>
      </c>
      <c r="J184" s="4" t="s">
        <v>3230</v>
      </c>
      <c r="K184" s="4" t="s">
        <v>3232</v>
      </c>
    </row>
    <row r="185" spans="1:11" ht="13">
      <c r="A185" s="4" t="s">
        <v>3235</v>
      </c>
      <c r="B185" s="4" t="s">
        <v>3237</v>
      </c>
      <c r="C185" s="4" t="s">
        <v>3240</v>
      </c>
      <c r="D185" s="4" t="s">
        <v>3242</v>
      </c>
      <c r="E185" s="4" t="s">
        <v>3244</v>
      </c>
      <c r="F185" s="4" t="s">
        <v>3247</v>
      </c>
      <c r="G185" s="4" t="s">
        <v>3250</v>
      </c>
      <c r="H185" s="4" t="s">
        <v>3252</v>
      </c>
      <c r="I185" s="4" t="s">
        <v>3254</v>
      </c>
      <c r="J185" s="4" t="e">
        <v>#N/A</v>
      </c>
    </row>
    <row r="186" spans="1:11" ht="13">
      <c r="A186" s="4" t="s">
        <v>3258</v>
      </c>
      <c r="B186" s="4" t="s">
        <v>3260</v>
      </c>
      <c r="C186" s="4" t="s">
        <v>3261</v>
      </c>
      <c r="D186" s="4" t="s">
        <v>3263</v>
      </c>
      <c r="E186" s="4" t="s">
        <v>3265</v>
      </c>
      <c r="F186" s="4" t="s">
        <v>3267</v>
      </c>
      <c r="G186" s="4" t="s">
        <v>3269</v>
      </c>
      <c r="H186" s="4" t="s">
        <v>3271</v>
      </c>
      <c r="I186" s="4" t="s">
        <v>3274</v>
      </c>
      <c r="J186" s="4" t="s">
        <v>3276</v>
      </c>
      <c r="K186" s="4" t="s">
        <v>3278</v>
      </c>
    </row>
    <row r="187" spans="1:11" ht="13">
      <c r="A187" s="4" t="s">
        <v>3280</v>
      </c>
      <c r="B187" s="4" t="s">
        <v>3282</v>
      </c>
      <c r="C187" s="4" t="s">
        <v>3284</v>
      </c>
      <c r="D187" s="4" t="s">
        <v>3286</v>
      </c>
      <c r="E187" s="4" t="s">
        <v>3287</v>
      </c>
      <c r="F187" s="4" t="s">
        <v>3289</v>
      </c>
      <c r="G187" s="4" t="s">
        <v>3291</v>
      </c>
      <c r="H187" s="4" t="s">
        <v>3293</v>
      </c>
      <c r="I187" s="4" t="s">
        <v>3296</v>
      </c>
      <c r="J187" s="4" t="e">
        <v>#N/A</v>
      </c>
    </row>
    <row r="188" spans="1:11" ht="13">
      <c r="A188" s="4" t="s">
        <v>3301</v>
      </c>
      <c r="B188" s="4" t="s">
        <v>3304</v>
      </c>
      <c r="C188" s="4" t="s">
        <v>3305</v>
      </c>
      <c r="D188" s="4" t="s">
        <v>3307</v>
      </c>
      <c r="E188" s="4" t="s">
        <v>3308</v>
      </c>
      <c r="F188" s="4" t="s">
        <v>3310</v>
      </c>
      <c r="G188" s="4" t="s">
        <v>3312</v>
      </c>
      <c r="H188" s="4" t="s">
        <v>3314</v>
      </c>
      <c r="I188" s="4" t="s">
        <v>3316</v>
      </c>
      <c r="J188" s="4" t="s">
        <v>3318</v>
      </c>
      <c r="K188" s="4" t="s">
        <v>3320</v>
      </c>
    </row>
    <row r="189" spans="1:11" ht="13">
      <c r="A189" s="4" t="s">
        <v>3322</v>
      </c>
      <c r="B189" s="4" t="s">
        <v>3323</v>
      </c>
      <c r="C189" s="4" t="s">
        <v>3324</v>
      </c>
      <c r="D189" s="4" t="s">
        <v>3326</v>
      </c>
      <c r="E189" s="4" t="s">
        <v>3329</v>
      </c>
      <c r="F189" s="4" t="s">
        <v>3331</v>
      </c>
      <c r="G189" s="4" t="s">
        <v>3333</v>
      </c>
      <c r="H189" s="4" t="s">
        <v>3334</v>
      </c>
      <c r="I189" s="4" t="s">
        <v>3337</v>
      </c>
      <c r="J189" s="4" t="s">
        <v>3339</v>
      </c>
      <c r="K189" s="4" t="s">
        <v>3341</v>
      </c>
    </row>
    <row r="190" spans="1:11" ht="13">
      <c r="A190" s="4" t="s">
        <v>3343</v>
      </c>
      <c r="B190" s="4" t="e">
        <v>#N/A</v>
      </c>
      <c r="D190" s="4" t="s">
        <v>3347</v>
      </c>
      <c r="E190" s="4" t="s">
        <v>3350</v>
      </c>
      <c r="F190" s="4" t="s">
        <v>3353</v>
      </c>
      <c r="G190" s="4" t="s">
        <v>3354</v>
      </c>
      <c r="H190" s="4" t="e">
        <v>#N/A</v>
      </c>
      <c r="J190" s="4" t="s">
        <v>3357</v>
      </c>
      <c r="K190" s="4" t="s">
        <v>3358</v>
      </c>
    </row>
    <row r="191" spans="1:11" ht="13">
      <c r="A191" s="4" t="s">
        <v>3360</v>
      </c>
      <c r="B191" s="4" t="s">
        <v>3361</v>
      </c>
      <c r="C191" s="4" t="s">
        <v>3363</v>
      </c>
      <c r="D191" s="4" t="s">
        <v>3365</v>
      </c>
      <c r="E191" s="4" t="s">
        <v>3367</v>
      </c>
      <c r="F191" s="4" t="s">
        <v>3368</v>
      </c>
      <c r="G191" s="4" t="s">
        <v>3370</v>
      </c>
      <c r="H191" s="4" t="s">
        <v>3372</v>
      </c>
      <c r="I191" s="4" t="s">
        <v>3374</v>
      </c>
      <c r="J191" s="4" t="s">
        <v>3376</v>
      </c>
      <c r="K191" s="4" t="s">
        <v>3377</v>
      </c>
    </row>
    <row r="192" spans="1:11" ht="13">
      <c r="A192" s="4" t="s">
        <v>3379</v>
      </c>
      <c r="B192" s="4" t="s">
        <v>3381</v>
      </c>
      <c r="C192" s="4" t="s">
        <v>3382</v>
      </c>
      <c r="D192" s="4" t="s">
        <v>3384</v>
      </c>
      <c r="E192" s="4" t="s">
        <v>3385</v>
      </c>
      <c r="F192" s="4" t="s">
        <v>3386</v>
      </c>
      <c r="G192" s="4" t="s">
        <v>3388</v>
      </c>
      <c r="H192" s="4"/>
      <c r="J192" s="4" t="s">
        <v>3391</v>
      </c>
      <c r="K192" s="4" t="s">
        <v>3393</v>
      </c>
    </row>
    <row r="193" spans="1:11" ht="13">
      <c r="A193" s="4" t="s">
        <v>3394</v>
      </c>
      <c r="B193" s="4" t="s">
        <v>3395</v>
      </c>
      <c r="C193" s="4" t="s">
        <v>3398</v>
      </c>
      <c r="D193" s="4" t="s">
        <v>3400</v>
      </c>
      <c r="E193" s="4" t="s">
        <v>3403</v>
      </c>
      <c r="F193" s="4" t="s">
        <v>3405</v>
      </c>
      <c r="G193" s="4" t="s">
        <v>3406</v>
      </c>
      <c r="H193" s="4"/>
      <c r="J193" s="4" t="s">
        <v>3408</v>
      </c>
      <c r="K193" s="4" t="s">
        <v>3409</v>
      </c>
    </row>
    <row r="194" spans="1:11" ht="13">
      <c r="A194" s="4" t="s">
        <v>3411</v>
      </c>
      <c r="B194" s="4" t="s">
        <v>3413</v>
      </c>
      <c r="C194" s="4" t="s">
        <v>3416</v>
      </c>
      <c r="D194" s="4" t="s">
        <v>3417</v>
      </c>
      <c r="E194" s="4" t="s">
        <v>3419</v>
      </c>
      <c r="F194" s="4" t="s">
        <v>3420</v>
      </c>
      <c r="G194" s="4" t="s">
        <v>3423</v>
      </c>
      <c r="H194" s="4" t="s">
        <v>3425</v>
      </c>
      <c r="I194" s="4" t="s">
        <v>3426</v>
      </c>
      <c r="J194" s="4" t="s">
        <v>3428</v>
      </c>
      <c r="K194" s="4" t="s">
        <v>3430</v>
      </c>
    </row>
    <row r="195" spans="1:11" ht="13">
      <c r="A195" s="4" t="s">
        <v>3432</v>
      </c>
      <c r="B195" s="4" t="s">
        <v>3433</v>
      </c>
      <c r="C195" s="4" t="s">
        <v>3435</v>
      </c>
      <c r="D195" s="4" t="s">
        <v>3437</v>
      </c>
      <c r="E195" s="4" t="s">
        <v>3438</v>
      </c>
      <c r="F195" s="4" t="s">
        <v>3440</v>
      </c>
      <c r="G195" s="4" t="s">
        <v>3442</v>
      </c>
      <c r="H195" s="4" t="e">
        <v>#N/A</v>
      </c>
      <c r="J195" s="4" t="s">
        <v>3443</v>
      </c>
      <c r="K195" s="4" t="s">
        <v>3445</v>
      </c>
    </row>
    <row r="196" spans="1:11" ht="13">
      <c r="A196" s="4" t="s">
        <v>3446</v>
      </c>
      <c r="B196" s="4" t="s">
        <v>3448</v>
      </c>
      <c r="C196" s="4" t="s">
        <v>3449</v>
      </c>
      <c r="D196" s="4" t="e">
        <v>#N/A</v>
      </c>
      <c r="F196" s="4" t="s">
        <v>3451</v>
      </c>
      <c r="G196" s="4" t="s">
        <v>3453</v>
      </c>
      <c r="H196" s="4" t="e">
        <v>#N/A</v>
      </c>
      <c r="J196" s="4" t="e">
        <v>#N/A</v>
      </c>
    </row>
    <row r="197" spans="1:11" ht="13">
      <c r="A197" s="4" t="s">
        <v>3455</v>
      </c>
      <c r="B197" s="4" t="s">
        <v>3456</v>
      </c>
      <c r="C197" s="4" t="s">
        <v>3458</v>
      </c>
      <c r="D197" s="4" t="s">
        <v>3460</v>
      </c>
      <c r="E197" s="4" t="s">
        <v>3462</v>
      </c>
      <c r="F197" s="4" t="s">
        <v>3464</v>
      </c>
      <c r="G197" s="4" t="s">
        <v>3465</v>
      </c>
      <c r="H197" s="4" t="s">
        <v>3466</v>
      </c>
      <c r="I197" s="4" t="s">
        <v>3468</v>
      </c>
      <c r="J197" s="4" t="s">
        <v>3469</v>
      </c>
      <c r="K197" s="4" t="s">
        <v>3472</v>
      </c>
    </row>
    <row r="198" spans="1:11" ht="13">
      <c r="A198" s="4" t="s">
        <v>3474</v>
      </c>
      <c r="B198" s="4" t="s">
        <v>3475</v>
      </c>
      <c r="C198" s="4" t="s">
        <v>3477</v>
      </c>
      <c r="D198" s="4" t="s">
        <v>3478</v>
      </c>
      <c r="E198" s="4" t="s">
        <v>3481</v>
      </c>
      <c r="F198" s="4" t="s">
        <v>3482</v>
      </c>
      <c r="G198" s="4" t="s">
        <v>3484</v>
      </c>
      <c r="H198" s="4" t="s">
        <v>3485</v>
      </c>
      <c r="I198" s="4" t="s">
        <v>3487</v>
      </c>
      <c r="J198" s="4" t="e">
        <v>#N/A</v>
      </c>
    </row>
    <row r="199" spans="1:11" ht="13">
      <c r="A199" s="4" t="s">
        <v>3490</v>
      </c>
      <c r="B199" s="4" t="e">
        <v>#N/A</v>
      </c>
      <c r="D199" s="4" t="s">
        <v>3492</v>
      </c>
      <c r="E199" s="4" t="s">
        <v>3494</v>
      </c>
      <c r="F199" s="4" t="s">
        <v>3496</v>
      </c>
      <c r="G199" s="4" t="s">
        <v>3497</v>
      </c>
      <c r="H199" s="4" t="s">
        <v>3499</v>
      </c>
      <c r="I199" s="4" t="s">
        <v>3501</v>
      </c>
      <c r="J199" s="4" t="e">
        <v>#N/A</v>
      </c>
    </row>
    <row r="200" spans="1:11" ht="13">
      <c r="A200" s="4" t="s">
        <v>3502</v>
      </c>
      <c r="B200" s="4" t="s">
        <v>3504</v>
      </c>
      <c r="C200" s="4" t="s">
        <v>3505</v>
      </c>
      <c r="D200" s="4" t="s">
        <v>3507</v>
      </c>
      <c r="E200" s="4" t="s">
        <v>3508</v>
      </c>
      <c r="F200" s="4" t="s">
        <v>3510</v>
      </c>
      <c r="G200" s="4" t="s">
        <v>3512</v>
      </c>
      <c r="H200" s="4" t="s">
        <v>3514</v>
      </c>
      <c r="I200" s="4" t="s">
        <v>3516</v>
      </c>
      <c r="J200" s="4" t="s">
        <v>3517</v>
      </c>
      <c r="K200" s="4" t="s">
        <v>3520</v>
      </c>
    </row>
    <row r="201" spans="1:11" ht="13">
      <c r="A201" s="4" t="s">
        <v>3522</v>
      </c>
      <c r="B201" s="4" t="s">
        <v>3524</v>
      </c>
      <c r="C201" s="4" t="s">
        <v>3526</v>
      </c>
      <c r="D201" s="4" t="s">
        <v>3527</v>
      </c>
      <c r="E201" s="4" t="s">
        <v>3528</v>
      </c>
      <c r="F201" s="4" t="e">
        <v>#N/A</v>
      </c>
      <c r="H201" s="4" t="s">
        <v>3530</v>
      </c>
      <c r="I201" s="4" t="s">
        <v>3532</v>
      </c>
      <c r="J201" s="4" t="s">
        <v>3534</v>
      </c>
      <c r="K201" s="4" t="s">
        <v>3536</v>
      </c>
    </row>
    <row r="202" spans="1:11" ht="13">
      <c r="A202" s="4" t="s">
        <v>3537</v>
      </c>
      <c r="B202" s="4" t="e">
        <v>#N/A</v>
      </c>
      <c r="D202" s="4" t="e">
        <v>#N/A</v>
      </c>
      <c r="F202" s="4" t="e">
        <v>#N/A</v>
      </c>
      <c r="H202" s="4" t="s">
        <v>3542</v>
      </c>
      <c r="I202" s="4" t="s">
        <v>3544</v>
      </c>
      <c r="J202" s="4" t="s">
        <v>3545</v>
      </c>
      <c r="K202" s="4" t="s">
        <v>3548</v>
      </c>
    </row>
    <row r="203" spans="1:11" ht="13">
      <c r="A203" s="4" t="s">
        <v>3550</v>
      </c>
      <c r="B203" s="4" t="s">
        <v>3552</v>
      </c>
      <c r="C203" s="4" t="s">
        <v>3554</v>
      </c>
      <c r="D203" s="4" t="s">
        <v>3556</v>
      </c>
      <c r="E203" s="4" t="s">
        <v>3558</v>
      </c>
      <c r="F203" s="4" t="e">
        <v>#N/A</v>
      </c>
      <c r="H203" s="4" t="s">
        <v>3560</v>
      </c>
      <c r="I203" s="4" t="s">
        <v>3562</v>
      </c>
      <c r="J203" s="4" t="s">
        <v>3563</v>
      </c>
      <c r="K203" s="4" t="s">
        <v>3569</v>
      </c>
    </row>
    <row r="204" spans="1:11" ht="13">
      <c r="A204" s="4" t="s">
        <v>3572</v>
      </c>
      <c r="B204" s="4" t="e">
        <v>#N/A</v>
      </c>
      <c r="D204" s="4" t="e">
        <v>#N/A</v>
      </c>
      <c r="F204" s="4" t="e">
        <v>#N/A</v>
      </c>
      <c r="H204" s="4" t="s">
        <v>3578</v>
      </c>
      <c r="I204" s="4" t="s">
        <v>3581</v>
      </c>
      <c r="J204" s="4" t="s">
        <v>3582</v>
      </c>
      <c r="K204" s="4" t="s">
        <v>3584</v>
      </c>
    </row>
    <row r="205" spans="1:11" ht="13">
      <c r="A205" s="4" t="s">
        <v>3586</v>
      </c>
      <c r="B205" s="4" t="s">
        <v>3587</v>
      </c>
      <c r="C205" s="4" t="s">
        <v>3589</v>
      </c>
      <c r="D205" s="4" t="s">
        <v>3591</v>
      </c>
      <c r="E205" s="4" t="s">
        <v>3592</v>
      </c>
      <c r="F205" s="4" t="s">
        <v>3594</v>
      </c>
      <c r="G205" s="4" t="s">
        <v>3596</v>
      </c>
      <c r="H205" s="4" t="s">
        <v>3598</v>
      </c>
      <c r="I205" s="4" t="s">
        <v>3600</v>
      </c>
      <c r="J205" s="4" t="s">
        <v>3602</v>
      </c>
      <c r="K205" s="4" t="s">
        <v>3604</v>
      </c>
    </row>
    <row r="206" spans="1:11" ht="13">
      <c r="A206" s="4" t="s">
        <v>3606</v>
      </c>
      <c r="B206" s="4" t="s">
        <v>3607</v>
      </c>
      <c r="C206" s="4" t="s">
        <v>3610</v>
      </c>
      <c r="D206" s="4" t="s">
        <v>3612</v>
      </c>
      <c r="E206" s="4" t="s">
        <v>3614</v>
      </c>
      <c r="F206" s="4" t="s">
        <v>3616</v>
      </c>
      <c r="G206" s="4" t="s">
        <v>3618</v>
      </c>
      <c r="H206" s="4" t="e">
        <v>#N/A</v>
      </c>
      <c r="J206" s="4" t="s">
        <v>3620</v>
      </c>
      <c r="K206" s="4" t="s">
        <v>3621</v>
      </c>
    </row>
    <row r="207" spans="1:11" ht="13">
      <c r="A207" s="4" t="s">
        <v>3622</v>
      </c>
      <c r="B207" s="4" t="s">
        <v>3624</v>
      </c>
      <c r="C207" s="4" t="s">
        <v>3625</v>
      </c>
      <c r="D207" s="4" t="s">
        <v>3627</v>
      </c>
      <c r="E207" s="4" t="s">
        <v>3629</v>
      </c>
      <c r="F207" s="4" t="s">
        <v>3631</v>
      </c>
      <c r="G207" s="4" t="s">
        <v>3632</v>
      </c>
      <c r="H207" s="4" t="s">
        <v>3633</v>
      </c>
      <c r="I207" s="4" t="s">
        <v>3635</v>
      </c>
      <c r="J207" s="4" t="s">
        <v>3636</v>
      </c>
      <c r="K207" s="4" t="s">
        <v>3638</v>
      </c>
    </row>
    <row r="208" spans="1:11" ht="13">
      <c r="A208" s="4" t="s">
        <v>3640</v>
      </c>
      <c r="B208" s="4" t="s">
        <v>3642</v>
      </c>
      <c r="C208" s="4" t="s">
        <v>3644</v>
      </c>
      <c r="D208" s="4" t="s">
        <v>3645</v>
      </c>
      <c r="E208" s="4" t="s">
        <v>3647</v>
      </c>
      <c r="F208" s="4" t="s">
        <v>3648</v>
      </c>
      <c r="G208" s="4" t="s">
        <v>3650</v>
      </c>
      <c r="H208" s="4" t="s">
        <v>3652</v>
      </c>
      <c r="I208" s="4" t="s">
        <v>3653</v>
      </c>
      <c r="J208" s="4" t="s">
        <v>3655</v>
      </c>
      <c r="K208" s="4" t="s">
        <v>3657</v>
      </c>
    </row>
    <row r="209" spans="1:11" ht="13">
      <c r="A209" s="4" t="s">
        <v>3659</v>
      </c>
      <c r="B209" s="4" t="e">
        <v>#N/A</v>
      </c>
      <c r="D209" s="4" t="s">
        <v>3661</v>
      </c>
      <c r="E209" s="4" t="s">
        <v>3663</v>
      </c>
      <c r="F209" s="4" t="e">
        <v>#N/A</v>
      </c>
      <c r="H209" s="4"/>
      <c r="J209" s="4"/>
    </row>
    <row r="210" spans="1:11" ht="13">
      <c r="A210" s="4" t="s">
        <v>3673</v>
      </c>
      <c r="B210" s="4" t="s">
        <v>3675</v>
      </c>
      <c r="C210" s="4" t="s">
        <v>3678</v>
      </c>
      <c r="D210" s="4" t="s">
        <v>3680</v>
      </c>
      <c r="E210" s="4" t="s">
        <v>3684</v>
      </c>
      <c r="F210" s="4" t="e">
        <v>#N/A</v>
      </c>
      <c r="H210" s="4" t="s">
        <v>3687</v>
      </c>
      <c r="I210" s="4" t="s">
        <v>3688</v>
      </c>
      <c r="J210" s="4" t="s">
        <v>3690</v>
      </c>
      <c r="K210" s="4" t="s">
        <v>3692</v>
      </c>
    </row>
    <row r="211" spans="1:11" ht="13">
      <c r="A211" s="4" t="s">
        <v>3694</v>
      </c>
      <c r="B211" s="4" t="s">
        <v>3695</v>
      </c>
      <c r="C211" s="4" t="s">
        <v>3697</v>
      </c>
      <c r="D211" s="4" t="s">
        <v>3699</v>
      </c>
      <c r="E211" s="4" t="s">
        <v>3701</v>
      </c>
      <c r="F211" s="4" t="s">
        <v>3702</v>
      </c>
      <c r="G211" s="4" t="s">
        <v>3704</v>
      </c>
      <c r="H211" s="4" t="s">
        <v>3706</v>
      </c>
      <c r="I211" s="4" t="s">
        <v>3709</v>
      </c>
      <c r="J211" s="4" t="s">
        <v>3711</v>
      </c>
      <c r="K211" s="4" t="s">
        <v>3713</v>
      </c>
    </row>
    <row r="212" spans="1:11" ht="13">
      <c r="A212" s="4" t="s">
        <v>3714</v>
      </c>
      <c r="B212" s="4" t="e">
        <v>#N/A</v>
      </c>
      <c r="D212" s="4" t="s">
        <v>3717</v>
      </c>
      <c r="E212" s="4" t="s">
        <v>3718</v>
      </c>
      <c r="F212" s="4" t="s">
        <v>3720</v>
      </c>
      <c r="G212" s="4" t="s">
        <v>3722</v>
      </c>
      <c r="H212" s="4" t="s">
        <v>3723</v>
      </c>
      <c r="I212" s="4" t="s">
        <v>3725</v>
      </c>
      <c r="J212" s="4" t="s">
        <v>3726</v>
      </c>
      <c r="K212" s="4" t="s">
        <v>3728</v>
      </c>
    </row>
    <row r="213" spans="1:11" ht="13">
      <c r="A213" s="4" t="s">
        <v>3730</v>
      </c>
      <c r="B213" s="4" t="s">
        <v>3731</v>
      </c>
      <c r="C213" s="4" t="s">
        <v>3732</v>
      </c>
      <c r="D213" s="4" t="s">
        <v>3735</v>
      </c>
      <c r="E213" s="4" t="s">
        <v>3737</v>
      </c>
      <c r="F213" s="4" t="s">
        <v>3739</v>
      </c>
      <c r="G213" s="4" t="s">
        <v>3741</v>
      </c>
      <c r="H213" s="4" t="s">
        <v>3742</v>
      </c>
      <c r="I213" s="4" t="s">
        <v>3743</v>
      </c>
      <c r="J213" s="4" t="s">
        <v>3744</v>
      </c>
      <c r="K213" s="4" t="s">
        <v>3747</v>
      </c>
    </row>
    <row r="214" spans="1:11" ht="13">
      <c r="A214" s="4" t="s">
        <v>3750</v>
      </c>
      <c r="B214" s="4" t="s">
        <v>3751</v>
      </c>
      <c r="C214" s="4" t="s">
        <v>3754</v>
      </c>
      <c r="D214" s="4" t="s">
        <v>3755</v>
      </c>
      <c r="E214" s="4" t="s">
        <v>3757</v>
      </c>
      <c r="F214" s="4" t="s">
        <v>3759</v>
      </c>
      <c r="G214" s="4" t="s">
        <v>3761</v>
      </c>
      <c r="H214" s="4" t="s">
        <v>3762</v>
      </c>
      <c r="I214" s="4" t="s">
        <v>3764</v>
      </c>
      <c r="J214" s="4" t="s">
        <v>3766</v>
      </c>
      <c r="K214" s="4" t="s">
        <v>3768</v>
      </c>
    </row>
    <row r="215" spans="1:11" ht="13">
      <c r="A215" s="4" t="s">
        <v>3771</v>
      </c>
      <c r="B215" s="4" t="s">
        <v>3772</v>
      </c>
      <c r="C215" s="4" t="s">
        <v>3774</v>
      </c>
      <c r="D215" s="4" t="s">
        <v>3776</v>
      </c>
      <c r="E215" s="4" t="s">
        <v>3778</v>
      </c>
      <c r="F215" s="4" t="e">
        <v>#N/A</v>
      </c>
      <c r="H215" s="4" t="s">
        <v>3781</v>
      </c>
      <c r="I215" s="4" t="s">
        <v>3783</v>
      </c>
      <c r="J215" s="4" t="s">
        <v>3785</v>
      </c>
      <c r="K215" s="4" t="s">
        <v>3787</v>
      </c>
    </row>
    <row r="216" spans="1:11" ht="13">
      <c r="A216" s="4" t="s">
        <v>3789</v>
      </c>
      <c r="B216" s="4" t="s">
        <v>3790</v>
      </c>
      <c r="C216" s="4" t="s">
        <v>3793</v>
      </c>
      <c r="D216" s="4" t="e">
        <v>#N/A</v>
      </c>
      <c r="F216" s="4" t="e">
        <v>#N/A</v>
      </c>
      <c r="H216" s="4" t="e">
        <v>#N/A</v>
      </c>
      <c r="J216" s="4" t="e">
        <v>#N/A</v>
      </c>
    </row>
    <row r="217" spans="1:11" ht="13">
      <c r="A217" s="4" t="s">
        <v>3798</v>
      </c>
      <c r="B217" s="4" t="s">
        <v>3799</v>
      </c>
      <c r="C217" s="4" t="s">
        <v>3801</v>
      </c>
      <c r="D217" s="4" t="s">
        <v>3802</v>
      </c>
      <c r="E217" s="4" t="s">
        <v>3803</v>
      </c>
      <c r="F217" s="4" t="e">
        <v>#N/A</v>
      </c>
      <c r="H217" s="4" t="s">
        <v>3806</v>
      </c>
      <c r="I217" s="4" t="s">
        <v>3807</v>
      </c>
      <c r="J217" s="4" t="s">
        <v>3809</v>
      </c>
      <c r="K217" s="4" t="s">
        <v>3811</v>
      </c>
    </row>
    <row r="218" spans="1:11" ht="13">
      <c r="A218" s="4" t="s">
        <v>3813</v>
      </c>
      <c r="B218" s="4" t="s">
        <v>3814</v>
      </c>
      <c r="C218" s="4" t="s">
        <v>3817</v>
      </c>
      <c r="D218" s="4" t="s">
        <v>3819</v>
      </c>
      <c r="E218" s="4" t="s">
        <v>3820</v>
      </c>
      <c r="F218" s="4"/>
      <c r="H218" s="4"/>
      <c r="J218" s="4" t="e">
        <v>#N/A</v>
      </c>
    </row>
    <row r="219" spans="1:11" ht="13">
      <c r="A219" s="4" t="s">
        <v>3825</v>
      </c>
      <c r="B219" s="4" t="e">
        <v>#N/A</v>
      </c>
      <c r="D219" s="4" t="s">
        <v>3827</v>
      </c>
      <c r="E219" s="4" t="s">
        <v>3829</v>
      </c>
      <c r="F219" s="4" t="s">
        <v>3830</v>
      </c>
      <c r="G219" s="4" t="s">
        <v>3832</v>
      </c>
      <c r="H219" s="4" t="e">
        <v>#N/A</v>
      </c>
      <c r="J219" s="4" t="s">
        <v>3835</v>
      </c>
      <c r="K219" s="4" t="s">
        <v>3837</v>
      </c>
    </row>
    <row r="220" spans="1:11" ht="13">
      <c r="A220" s="4" t="s">
        <v>3839</v>
      </c>
      <c r="B220" s="4" t="s">
        <v>3841</v>
      </c>
      <c r="C220" s="4" t="s">
        <v>3843</v>
      </c>
      <c r="D220" s="4" t="s">
        <v>3844</v>
      </c>
      <c r="E220" s="4" t="s">
        <v>3846</v>
      </c>
      <c r="F220" s="4" t="s">
        <v>3848</v>
      </c>
      <c r="G220" s="4" t="s">
        <v>3850</v>
      </c>
      <c r="H220" s="4" t="e">
        <v>#N/A</v>
      </c>
      <c r="J220" s="4" t="s">
        <v>3851</v>
      </c>
      <c r="K220" s="4" t="s">
        <v>3853</v>
      </c>
    </row>
    <row r="221" spans="1:11" ht="13">
      <c r="A221" s="4" t="s">
        <v>3854</v>
      </c>
      <c r="B221" s="4" t="e">
        <v>#N/A</v>
      </c>
      <c r="D221" s="4" t="s">
        <v>3855</v>
      </c>
      <c r="E221" s="4" t="s">
        <v>3857</v>
      </c>
      <c r="F221" s="4" t="s">
        <v>3859</v>
      </c>
      <c r="G221" s="4" t="s">
        <v>3860</v>
      </c>
      <c r="H221" s="4" t="s">
        <v>3862</v>
      </c>
      <c r="I221" s="4" t="s">
        <v>3863</v>
      </c>
      <c r="J221" s="4" t="s">
        <v>3864</v>
      </c>
      <c r="K221" s="4" t="s">
        <v>3866</v>
      </c>
    </row>
    <row r="222" spans="1:11" ht="13">
      <c r="A222" s="4" t="s">
        <v>3868</v>
      </c>
      <c r="B222" s="4" t="e">
        <v>#N/A</v>
      </c>
      <c r="D222" s="4" t="s">
        <v>3870</v>
      </c>
      <c r="E222" s="4" t="s">
        <v>3871</v>
      </c>
      <c r="F222" s="4" t="s">
        <v>3872</v>
      </c>
      <c r="G222" s="4" t="s">
        <v>3873</v>
      </c>
      <c r="H222" s="4" t="s">
        <v>3874</v>
      </c>
      <c r="I222" s="4" t="s">
        <v>3875</v>
      </c>
      <c r="J222" s="4" t="e">
        <v>#N/A</v>
      </c>
    </row>
    <row r="223" spans="1:11" ht="13">
      <c r="A223" s="4" t="s">
        <v>3877</v>
      </c>
      <c r="B223" s="4" t="s">
        <v>3878</v>
      </c>
      <c r="C223" s="4" t="s">
        <v>3880</v>
      </c>
      <c r="D223" s="4" t="s">
        <v>3882</v>
      </c>
      <c r="E223" s="4" t="s">
        <v>3883</v>
      </c>
      <c r="F223" s="4" t="s">
        <v>3885</v>
      </c>
      <c r="G223" s="4" t="s">
        <v>3887</v>
      </c>
      <c r="H223" s="4" t="s">
        <v>3888</v>
      </c>
      <c r="I223" s="4" t="s">
        <v>3890</v>
      </c>
      <c r="J223" s="4" t="s">
        <v>3891</v>
      </c>
      <c r="K223" s="4" t="s">
        <v>3892</v>
      </c>
    </row>
    <row r="224" spans="1:11" ht="13">
      <c r="A224" s="4" t="s">
        <v>3894</v>
      </c>
      <c r="B224" s="4" t="s">
        <v>3896</v>
      </c>
      <c r="C224" s="4" t="s">
        <v>3898</v>
      </c>
      <c r="D224" s="4" t="s">
        <v>3899</v>
      </c>
      <c r="E224" s="4" t="s">
        <v>3900</v>
      </c>
      <c r="F224" s="4" t="s">
        <v>3901</v>
      </c>
      <c r="G224" s="4" t="s">
        <v>3903</v>
      </c>
      <c r="H224" s="4" t="s">
        <v>3905</v>
      </c>
      <c r="I224" s="4" t="s">
        <v>3907</v>
      </c>
      <c r="J224" s="4" t="e">
        <v>#N/A</v>
      </c>
    </row>
    <row r="225" spans="1:11" ht="13">
      <c r="A225" s="4" t="s">
        <v>3910</v>
      </c>
      <c r="B225" s="4" t="s">
        <v>3912</v>
      </c>
      <c r="C225" s="4" t="s">
        <v>3914</v>
      </c>
      <c r="D225" s="4" t="s">
        <v>3915</v>
      </c>
      <c r="E225" s="4" t="s">
        <v>3916</v>
      </c>
      <c r="F225" s="4" t="s">
        <v>3917</v>
      </c>
      <c r="G225" s="4" t="s">
        <v>3918</v>
      </c>
      <c r="H225" s="4" t="e">
        <v>#N/A</v>
      </c>
      <c r="J225" s="4" t="e">
        <v>#N/A</v>
      </c>
    </row>
    <row r="226" spans="1:11" ht="13">
      <c r="A226" s="4" t="s">
        <v>3919</v>
      </c>
      <c r="B226" s="4" t="e">
        <v>#N/A</v>
      </c>
      <c r="D226" s="4" t="s">
        <v>3920</v>
      </c>
      <c r="E226" s="4" t="s">
        <v>3921</v>
      </c>
      <c r="F226" s="4" t="e">
        <v>#N/A</v>
      </c>
      <c r="H226" s="4" t="e">
        <v>#N/A</v>
      </c>
      <c r="J226" s="4" t="s">
        <v>3922</v>
      </c>
      <c r="K226" s="4" t="s">
        <v>135</v>
      </c>
    </row>
    <row r="227" spans="1:11" ht="13">
      <c r="A227" s="4" t="s">
        <v>3923</v>
      </c>
      <c r="B227" s="4" t="s">
        <v>3924</v>
      </c>
      <c r="C227" s="4" t="s">
        <v>3925</v>
      </c>
      <c r="D227" s="4" t="s">
        <v>3926</v>
      </c>
      <c r="E227" s="4" t="s">
        <v>3927</v>
      </c>
      <c r="F227" s="4" t="s">
        <v>3928</v>
      </c>
      <c r="G227" s="4" t="s">
        <v>3929</v>
      </c>
      <c r="H227" s="4" t="s">
        <v>3930</v>
      </c>
      <c r="I227" s="4" t="s">
        <v>3931</v>
      </c>
      <c r="J227" s="4" t="s">
        <v>3932</v>
      </c>
      <c r="K227" s="4" t="s">
        <v>3933</v>
      </c>
    </row>
    <row r="228" spans="1:11" ht="13">
      <c r="A228" s="4" t="s">
        <v>3934</v>
      </c>
      <c r="B228" s="4" t="e">
        <v>#N/A</v>
      </c>
      <c r="D228" s="4" t="s">
        <v>3935</v>
      </c>
      <c r="E228" s="4" t="s">
        <v>3936</v>
      </c>
      <c r="F228" s="4" t="s">
        <v>3937</v>
      </c>
      <c r="G228" s="4" t="s">
        <v>3938</v>
      </c>
      <c r="H228" s="4" t="e">
        <v>#N/A</v>
      </c>
      <c r="J228" s="4" t="s">
        <v>3939</v>
      </c>
      <c r="K228" s="4" t="s">
        <v>3943</v>
      </c>
    </row>
    <row r="229" spans="1:11" ht="13">
      <c r="A229" s="4" t="s">
        <v>3945</v>
      </c>
      <c r="B229" s="4" t="s">
        <v>3947</v>
      </c>
      <c r="C229" s="4" t="s">
        <v>3949</v>
      </c>
      <c r="D229" s="4" t="s">
        <v>3950</v>
      </c>
      <c r="E229" s="4" t="s">
        <v>3953</v>
      </c>
      <c r="F229" s="4" t="s">
        <v>3955</v>
      </c>
      <c r="G229" s="4" t="s">
        <v>3957</v>
      </c>
      <c r="H229" s="4" t="s">
        <v>3959</v>
      </c>
      <c r="I229" s="4" t="s">
        <v>3962</v>
      </c>
      <c r="J229" s="4" t="s">
        <v>3963</v>
      </c>
      <c r="K229" s="4" t="s">
        <v>3964</v>
      </c>
    </row>
    <row r="230" spans="1:11" ht="13">
      <c r="A230" s="4" t="s">
        <v>3966</v>
      </c>
      <c r="B230" s="4" t="s">
        <v>3969</v>
      </c>
      <c r="C230" s="4" t="s">
        <v>3971</v>
      </c>
      <c r="D230" s="4" t="s">
        <v>3972</v>
      </c>
      <c r="E230" s="4" t="s">
        <v>3973</v>
      </c>
      <c r="F230" s="4" t="s">
        <v>3975</v>
      </c>
      <c r="G230" s="4" t="s">
        <v>3978</v>
      </c>
      <c r="H230" s="4" t="s">
        <v>3980</v>
      </c>
      <c r="I230" s="4" t="s">
        <v>3983</v>
      </c>
      <c r="J230" s="4" t="s">
        <v>3985</v>
      </c>
      <c r="K230" s="4" t="s">
        <v>3987</v>
      </c>
    </row>
    <row r="231" spans="1:11" ht="13">
      <c r="A231" s="4" t="s">
        <v>3988</v>
      </c>
      <c r="B231" s="4" t="s">
        <v>3989</v>
      </c>
      <c r="C231" s="4" t="s">
        <v>3990</v>
      </c>
      <c r="D231" s="4" t="s">
        <v>3991</v>
      </c>
      <c r="E231" s="4" t="s">
        <v>3992</v>
      </c>
      <c r="F231" s="4" t="s">
        <v>3993</v>
      </c>
      <c r="G231" s="4" t="s">
        <v>3994</v>
      </c>
      <c r="H231" s="4" t="s">
        <v>3995</v>
      </c>
      <c r="I231" s="4" t="s">
        <v>3996</v>
      </c>
      <c r="J231" s="4" t="s">
        <v>3997</v>
      </c>
      <c r="K231" s="4" t="s">
        <v>3998</v>
      </c>
    </row>
    <row r="232" spans="1:11" ht="13">
      <c r="A232" s="4" t="s">
        <v>3999</v>
      </c>
      <c r="B232" s="4" t="s">
        <v>4000</v>
      </c>
      <c r="C232" s="4" t="s">
        <v>4001</v>
      </c>
      <c r="D232" s="4" t="s">
        <v>4002</v>
      </c>
      <c r="E232" s="4" t="s">
        <v>4003</v>
      </c>
      <c r="F232" s="4" t="s">
        <v>4004</v>
      </c>
      <c r="G232" s="4" t="s">
        <v>4005</v>
      </c>
      <c r="H232" s="4" t="s">
        <v>4006</v>
      </c>
      <c r="I232" s="4" t="s">
        <v>4007</v>
      </c>
      <c r="J232" s="4" t="s">
        <v>4008</v>
      </c>
      <c r="K232" s="4" t="s">
        <v>4009</v>
      </c>
    </row>
    <row r="233" spans="1:11" ht="13">
      <c r="A233" s="4" t="s">
        <v>4010</v>
      </c>
      <c r="B233" s="4" t="s">
        <v>4011</v>
      </c>
      <c r="C233" s="4" t="s">
        <v>4012</v>
      </c>
      <c r="D233" s="4" t="s">
        <v>4013</v>
      </c>
      <c r="E233" s="4" t="s">
        <v>4014</v>
      </c>
      <c r="F233" s="4" t="s">
        <v>4015</v>
      </c>
      <c r="G233" s="4" t="s">
        <v>4016</v>
      </c>
      <c r="H233" s="4" t="e">
        <v>#N/A</v>
      </c>
      <c r="J233" s="4" t="e">
        <v>#N/A</v>
      </c>
    </row>
    <row r="234" spans="1:11" ht="13">
      <c r="A234" s="4" t="s">
        <v>4017</v>
      </c>
      <c r="B234" s="4" t="s">
        <v>4018</v>
      </c>
      <c r="C234" s="4" t="s">
        <v>4019</v>
      </c>
      <c r="D234" s="4" t="s">
        <v>4020</v>
      </c>
      <c r="E234" s="4" t="s">
        <v>4021</v>
      </c>
      <c r="F234" s="4" t="s">
        <v>4022</v>
      </c>
      <c r="G234" s="4" t="s">
        <v>4023</v>
      </c>
      <c r="H234" s="4" t="s">
        <v>4024</v>
      </c>
      <c r="I234" s="4" t="s">
        <v>4025</v>
      </c>
      <c r="J234" s="4" t="e">
        <v>#N/A</v>
      </c>
    </row>
    <row r="235" spans="1:11" ht="13">
      <c r="A235" s="4" t="s">
        <v>4026</v>
      </c>
      <c r="B235" s="4" t="s">
        <v>4027</v>
      </c>
      <c r="C235" s="4" t="s">
        <v>4028</v>
      </c>
      <c r="D235" s="4" t="s">
        <v>4029</v>
      </c>
      <c r="E235" s="4" t="s">
        <v>4030</v>
      </c>
      <c r="F235" s="4" t="s">
        <v>4031</v>
      </c>
      <c r="G235" s="4" t="s">
        <v>4032</v>
      </c>
      <c r="H235" s="4" t="s">
        <v>4034</v>
      </c>
      <c r="I235" s="4" t="s">
        <v>4035</v>
      </c>
      <c r="J235" s="4" t="s">
        <v>4036</v>
      </c>
      <c r="K235" s="4" t="s">
        <v>135</v>
      </c>
    </row>
    <row r="236" spans="1:11" ht="13">
      <c r="A236" s="4" t="s">
        <v>4037</v>
      </c>
      <c r="B236" s="4" t="s">
        <v>4038</v>
      </c>
      <c r="C236" s="4" t="s">
        <v>4039</v>
      </c>
      <c r="D236" s="4" t="s">
        <v>4040</v>
      </c>
      <c r="E236" s="4" t="s">
        <v>4041</v>
      </c>
      <c r="F236" s="4" t="e">
        <v>#N/A</v>
      </c>
      <c r="H236" s="4" t="s">
        <v>4042</v>
      </c>
      <c r="I236" s="4" t="s">
        <v>4043</v>
      </c>
      <c r="J236" s="4" t="s">
        <v>4044</v>
      </c>
      <c r="K236" s="4" t="s">
        <v>4045</v>
      </c>
    </row>
    <row r="237" spans="1:11" ht="13">
      <c r="A237" s="4" t="s">
        <v>4046</v>
      </c>
      <c r="B237" s="4" t="e">
        <v>#N/A</v>
      </c>
      <c r="D237" s="4" t="s">
        <v>4047</v>
      </c>
      <c r="E237" s="4" t="s">
        <v>4048</v>
      </c>
      <c r="F237" s="4" t="s">
        <v>4049</v>
      </c>
      <c r="G237" s="4" t="s">
        <v>4050</v>
      </c>
      <c r="H237" s="4" t="e">
        <v>#N/A</v>
      </c>
      <c r="J237" s="4" t="s">
        <v>4051</v>
      </c>
      <c r="K237" s="4" t="s">
        <v>4052</v>
      </c>
    </row>
    <row r="238" spans="1:11" ht="13">
      <c r="A238" s="4" t="s">
        <v>4053</v>
      </c>
      <c r="B238" s="4" t="s">
        <v>4054</v>
      </c>
      <c r="C238" s="4" t="s">
        <v>4055</v>
      </c>
      <c r="D238" s="4" t="s">
        <v>4056</v>
      </c>
      <c r="E238" s="4" t="s">
        <v>4057</v>
      </c>
      <c r="F238" s="4" t="s">
        <v>4058</v>
      </c>
      <c r="G238" s="4" t="s">
        <v>4059</v>
      </c>
      <c r="H238" s="4" t="e">
        <v>#N/A</v>
      </c>
      <c r="J238" s="4" t="s">
        <v>4060</v>
      </c>
      <c r="K238" s="4" t="s">
        <v>4061</v>
      </c>
    </row>
    <row r="239" spans="1:11" ht="13">
      <c r="A239" s="4" t="s">
        <v>4062</v>
      </c>
      <c r="B239" s="4" t="s">
        <v>4063</v>
      </c>
      <c r="C239" s="4" t="s">
        <v>4064</v>
      </c>
      <c r="D239" s="4" t="s">
        <v>4065</v>
      </c>
      <c r="E239" s="4" t="s">
        <v>4066</v>
      </c>
      <c r="F239" s="4" t="s">
        <v>4067</v>
      </c>
      <c r="G239" s="4" t="s">
        <v>4068</v>
      </c>
      <c r="H239" s="4" t="s">
        <v>4069</v>
      </c>
      <c r="I239" s="4" t="s">
        <v>4070</v>
      </c>
      <c r="J239" s="4" t="s">
        <v>4071</v>
      </c>
      <c r="K239" s="4" t="s">
        <v>4072</v>
      </c>
    </row>
    <row r="240" spans="1:11" ht="13">
      <c r="A240" s="4" t="s">
        <v>4073</v>
      </c>
      <c r="B240" s="4" t="e">
        <v>#N/A</v>
      </c>
      <c r="D240" s="4" t="s">
        <v>4074</v>
      </c>
      <c r="E240" s="4" t="s">
        <v>4075</v>
      </c>
      <c r="F240" s="4" t="s">
        <v>4076</v>
      </c>
      <c r="G240" s="4" t="s">
        <v>4077</v>
      </c>
      <c r="H240" s="4" t="s">
        <v>4078</v>
      </c>
      <c r="I240" s="4" t="s">
        <v>4079</v>
      </c>
      <c r="J240" s="4" t="s">
        <v>4080</v>
      </c>
      <c r="K240" s="4" t="s">
        <v>4081</v>
      </c>
    </row>
    <row r="241" spans="1:11" ht="13">
      <c r="A241" s="4" t="s">
        <v>4082</v>
      </c>
      <c r="B241" s="4" t="s">
        <v>4083</v>
      </c>
      <c r="C241" s="4" t="s">
        <v>4085</v>
      </c>
      <c r="D241" s="4" t="s">
        <v>4086</v>
      </c>
      <c r="E241" s="4" t="s">
        <v>4087</v>
      </c>
      <c r="F241" s="4" t="s">
        <v>4088</v>
      </c>
      <c r="G241" s="4" t="s">
        <v>4089</v>
      </c>
      <c r="H241" s="4" t="s">
        <v>4090</v>
      </c>
      <c r="I241" s="4" t="s">
        <v>4091</v>
      </c>
      <c r="J241" s="4" t="s">
        <v>4092</v>
      </c>
      <c r="K241" s="4" t="s">
        <v>4093</v>
      </c>
    </row>
    <row r="242" spans="1:11" ht="13">
      <c r="A242" s="4" t="s">
        <v>4094</v>
      </c>
      <c r="B242" s="4" t="s">
        <v>4095</v>
      </c>
      <c r="C242" s="4" t="s">
        <v>4096</v>
      </c>
      <c r="D242" s="4" t="s">
        <v>4097</v>
      </c>
      <c r="E242" s="4" t="s">
        <v>4098</v>
      </c>
      <c r="F242" s="4" t="s">
        <v>4099</v>
      </c>
      <c r="G242" s="4" t="s">
        <v>4100</v>
      </c>
      <c r="H242" s="4" t="s">
        <v>4101</v>
      </c>
      <c r="I242" s="4" t="s">
        <v>4102</v>
      </c>
      <c r="J242" s="4" t="s">
        <v>4103</v>
      </c>
      <c r="K242" s="4" t="s">
        <v>4104</v>
      </c>
    </row>
    <row r="243" spans="1:11" ht="13">
      <c r="A243" s="4" t="s">
        <v>4105</v>
      </c>
      <c r="B243" s="4" t="s">
        <v>4106</v>
      </c>
      <c r="C243" s="4" t="s">
        <v>4107</v>
      </c>
      <c r="D243" s="4" t="e">
        <v>#N/A</v>
      </c>
      <c r="F243" s="4" t="e">
        <v>#N/A</v>
      </c>
      <c r="H243" s="4" t="e">
        <v>#N/A</v>
      </c>
      <c r="J243" s="4" t="s">
        <v>4108</v>
      </c>
      <c r="K243" s="4" t="s">
        <v>4109</v>
      </c>
    </row>
    <row r="244" spans="1:11" ht="13">
      <c r="A244" s="4" t="s">
        <v>4110</v>
      </c>
      <c r="B244" s="4" t="e">
        <v>#N/A</v>
      </c>
      <c r="D244" s="4" t="s">
        <v>4111</v>
      </c>
      <c r="E244" s="4" t="s">
        <v>4112</v>
      </c>
      <c r="F244" s="4" t="s">
        <v>4113</v>
      </c>
      <c r="G244" s="4" t="s">
        <v>4114</v>
      </c>
      <c r="H244" s="4" t="e">
        <v>#N/A</v>
      </c>
      <c r="J244" s="4" t="s">
        <v>4115</v>
      </c>
      <c r="K244" s="4" t="s">
        <v>4116</v>
      </c>
    </row>
    <row r="245" spans="1:11" ht="13">
      <c r="A245" s="4" t="s">
        <v>4117</v>
      </c>
      <c r="B245" s="4" t="s">
        <v>4118</v>
      </c>
      <c r="C245" s="4" t="s">
        <v>4119</v>
      </c>
      <c r="D245" s="4" t="s">
        <v>4120</v>
      </c>
      <c r="E245" s="4" t="s">
        <v>4121</v>
      </c>
      <c r="F245" s="4" t="e">
        <v>#N/A</v>
      </c>
      <c r="H245" s="4" t="e">
        <v>#N/A</v>
      </c>
      <c r="J245" s="4" t="s">
        <v>4122</v>
      </c>
      <c r="K245" s="4" t="s">
        <v>4123</v>
      </c>
    </row>
    <row r="246" spans="1:11" ht="13">
      <c r="A246" s="4" t="s">
        <v>4124</v>
      </c>
      <c r="B246" s="4" t="s">
        <v>4125</v>
      </c>
      <c r="C246" s="4" t="s">
        <v>4126</v>
      </c>
      <c r="D246" s="4" t="s">
        <v>4127</v>
      </c>
      <c r="E246" s="4" t="s">
        <v>4128</v>
      </c>
      <c r="F246" s="4" t="s">
        <v>4129</v>
      </c>
      <c r="G246" s="4" t="s">
        <v>4130</v>
      </c>
      <c r="H246" s="4" t="e">
        <v>#N/A</v>
      </c>
      <c r="J246" s="4" t="s">
        <v>4131</v>
      </c>
      <c r="K246" s="4" t="s">
        <v>4132</v>
      </c>
    </row>
    <row r="247" spans="1:11" ht="13">
      <c r="A247" s="4" t="s">
        <v>4133</v>
      </c>
      <c r="B247" s="4" t="s">
        <v>4134</v>
      </c>
      <c r="C247" s="4" t="s">
        <v>4135</v>
      </c>
      <c r="D247" s="4" t="e">
        <v>#N/A</v>
      </c>
      <c r="F247" s="4" t="s">
        <v>4136</v>
      </c>
      <c r="G247" s="4" t="s">
        <v>4137</v>
      </c>
      <c r="H247" s="4" t="s">
        <v>4138</v>
      </c>
      <c r="I247" s="4" t="s">
        <v>4139</v>
      </c>
      <c r="J247" s="4" t="s">
        <v>4140</v>
      </c>
      <c r="K247" s="4" t="s">
        <v>4142</v>
      </c>
    </row>
    <row r="248" spans="1:11" ht="13">
      <c r="A248" s="4" t="s">
        <v>4143</v>
      </c>
      <c r="B248" s="4" t="s">
        <v>4144</v>
      </c>
      <c r="C248" s="4" t="s">
        <v>4145</v>
      </c>
      <c r="D248" s="4" t="e">
        <v>#N/A</v>
      </c>
      <c r="F248" s="4" t="s">
        <v>4146</v>
      </c>
      <c r="G248" s="4" t="s">
        <v>4147</v>
      </c>
      <c r="H248" s="4" t="s">
        <v>4148</v>
      </c>
      <c r="I248" s="4" t="s">
        <v>4149</v>
      </c>
      <c r="J248" s="4" t="s">
        <v>4150</v>
      </c>
      <c r="K248" s="4" t="s">
        <v>4151</v>
      </c>
    </row>
    <row r="249" spans="1:11" ht="13">
      <c r="A249" s="4" t="s">
        <v>4152</v>
      </c>
      <c r="B249" s="4" t="e">
        <v>#N/A</v>
      </c>
      <c r="D249" s="4" t="s">
        <v>4153</v>
      </c>
      <c r="E249" s="4" t="s">
        <v>4154</v>
      </c>
      <c r="F249" s="4" t="s">
        <v>4155</v>
      </c>
      <c r="G249" s="4" t="s">
        <v>4156</v>
      </c>
      <c r="H249" s="4" t="s">
        <v>4157</v>
      </c>
      <c r="I249" s="4" t="s">
        <v>4158</v>
      </c>
      <c r="J249" s="4" t="s">
        <v>4160</v>
      </c>
      <c r="K249" s="4" t="s">
        <v>4161</v>
      </c>
    </row>
    <row r="250" spans="1:11" ht="13">
      <c r="A250" s="4" t="s">
        <v>4162</v>
      </c>
      <c r="B250" s="4" t="s">
        <v>4163</v>
      </c>
      <c r="C250" s="4" t="s">
        <v>4164</v>
      </c>
      <c r="D250" s="4" t="s">
        <v>4165</v>
      </c>
      <c r="E250" s="4" t="s">
        <v>4166</v>
      </c>
      <c r="F250" s="4" t="s">
        <v>4167</v>
      </c>
      <c r="G250" s="4" t="s">
        <v>4168</v>
      </c>
      <c r="H250" s="4" t="s">
        <v>4169</v>
      </c>
      <c r="I250" s="4" t="s">
        <v>4170</v>
      </c>
      <c r="J250" s="4" t="e">
        <v>#N/A</v>
      </c>
    </row>
    <row r="251" spans="1:11" ht="13">
      <c r="A251" s="4" t="s">
        <v>4171</v>
      </c>
      <c r="B251" s="4" t="e">
        <v>#N/A</v>
      </c>
      <c r="D251" s="4" t="s">
        <v>4172</v>
      </c>
      <c r="E251" s="4" t="s">
        <v>4173</v>
      </c>
      <c r="F251" s="4" t="s">
        <v>4174</v>
      </c>
      <c r="G251" s="4" t="s">
        <v>4175</v>
      </c>
      <c r="H251" s="4" t="s">
        <v>4176</v>
      </c>
      <c r="I251" s="4" t="s">
        <v>4177</v>
      </c>
      <c r="J251" s="4" t="e">
        <v>#N/A</v>
      </c>
    </row>
    <row r="252" spans="1:11" ht="13">
      <c r="A252" s="4" t="s">
        <v>4178</v>
      </c>
      <c r="B252" s="4" t="s">
        <v>4179</v>
      </c>
      <c r="C252" s="4" t="s">
        <v>4180</v>
      </c>
      <c r="D252" s="4" t="s">
        <v>4181</v>
      </c>
      <c r="E252" s="4" t="s">
        <v>4182</v>
      </c>
      <c r="F252" s="4" t="e">
        <v>#N/A</v>
      </c>
      <c r="H252" s="4" t="s">
        <v>4183</v>
      </c>
      <c r="I252" s="4" t="s">
        <v>4184</v>
      </c>
      <c r="J252" s="4" t="s">
        <v>4185</v>
      </c>
      <c r="K252" s="4" t="s">
        <v>4186</v>
      </c>
    </row>
    <row r="253" spans="1:11" ht="13">
      <c r="A253" s="4" t="s">
        <v>4187</v>
      </c>
      <c r="B253" s="4" t="s">
        <v>4188</v>
      </c>
      <c r="C253" s="4" t="s">
        <v>4190</v>
      </c>
      <c r="D253" s="4" t="s">
        <v>4191</v>
      </c>
      <c r="E253" s="4" t="s">
        <v>4192</v>
      </c>
      <c r="F253" s="4" t="s">
        <v>4193</v>
      </c>
      <c r="G253" s="4" t="s">
        <v>4194</v>
      </c>
      <c r="H253" s="4" t="s">
        <v>4195</v>
      </c>
      <c r="I253" s="4" t="s">
        <v>4196</v>
      </c>
      <c r="J253" s="4" t="s">
        <v>4197</v>
      </c>
      <c r="K253" s="4" t="s">
        <v>4198</v>
      </c>
    </row>
    <row r="254" spans="1:11" ht="13">
      <c r="A254" s="4" t="s">
        <v>4199</v>
      </c>
      <c r="B254" s="4" t="s">
        <v>4200</v>
      </c>
      <c r="C254" s="4" t="s">
        <v>4201</v>
      </c>
      <c r="D254" s="4" t="s">
        <v>4202</v>
      </c>
      <c r="E254" s="4" t="s">
        <v>4203</v>
      </c>
      <c r="F254" s="4" t="e">
        <v>#N/A</v>
      </c>
      <c r="H254" s="4" t="s">
        <v>4204</v>
      </c>
      <c r="I254" s="4" t="s">
        <v>4205</v>
      </c>
      <c r="J254" s="4" t="s">
        <v>4206</v>
      </c>
      <c r="K254" s="4" t="s">
        <v>4207</v>
      </c>
    </row>
    <row r="255" spans="1:11" ht="13">
      <c r="A255" s="4" t="s">
        <v>4208</v>
      </c>
      <c r="B255" s="4" t="s">
        <v>4209</v>
      </c>
      <c r="C255" s="4" t="s">
        <v>4210</v>
      </c>
      <c r="D255" s="4" t="s">
        <v>4211</v>
      </c>
      <c r="E255" s="4" t="s">
        <v>4212</v>
      </c>
      <c r="F255" s="4" t="e">
        <v>#N/A</v>
      </c>
      <c r="H255" s="4" t="s">
        <v>4213</v>
      </c>
      <c r="I255" s="4" t="s">
        <v>4214</v>
      </c>
      <c r="J255" s="4" t="s">
        <v>4215</v>
      </c>
      <c r="K255" s="4" t="s">
        <v>4216</v>
      </c>
    </row>
    <row r="256" spans="1:11" ht="13">
      <c r="A256" s="4" t="s">
        <v>4217</v>
      </c>
      <c r="B256" s="4" t="s">
        <v>4218</v>
      </c>
      <c r="C256" s="4" t="s">
        <v>4219</v>
      </c>
      <c r="D256" s="4" t="e">
        <v>#N/A</v>
      </c>
      <c r="F256" s="4" t="s">
        <v>4220</v>
      </c>
      <c r="G256" s="4" t="s">
        <v>4221</v>
      </c>
      <c r="H256" s="4" t="s">
        <v>4222</v>
      </c>
      <c r="I256" s="4" t="s">
        <v>4223</v>
      </c>
      <c r="J256" s="4" t="s">
        <v>4224</v>
      </c>
      <c r="K256" s="4" t="s">
        <v>4225</v>
      </c>
    </row>
    <row r="257" spans="1:11" ht="13">
      <c r="A257" s="4" t="s">
        <v>4226</v>
      </c>
      <c r="B257" s="4" t="s">
        <v>4227</v>
      </c>
      <c r="C257" s="4" t="s">
        <v>4228</v>
      </c>
      <c r="D257" s="4" t="e">
        <v>#N/A</v>
      </c>
      <c r="F257" s="4" t="s">
        <v>4229</v>
      </c>
      <c r="G257" s="4" t="s">
        <v>4230</v>
      </c>
      <c r="H257" s="4" t="s">
        <v>4231</v>
      </c>
      <c r="I257" s="4" t="s">
        <v>4232</v>
      </c>
      <c r="J257" s="4" t="s">
        <v>4233</v>
      </c>
      <c r="K257" s="4" t="s">
        <v>4235</v>
      </c>
    </row>
    <row r="258" spans="1:11" ht="13">
      <c r="A258" s="4" t="s">
        <v>4236</v>
      </c>
      <c r="B258" s="4" t="s">
        <v>4237</v>
      </c>
      <c r="C258" s="4" t="s">
        <v>4238</v>
      </c>
      <c r="D258" s="4" t="e">
        <v>#N/A</v>
      </c>
      <c r="F258" s="4" t="s">
        <v>4239</v>
      </c>
      <c r="G258" s="4" t="s">
        <v>4240</v>
      </c>
      <c r="H258" s="4" t="s">
        <v>4241</v>
      </c>
      <c r="I258" s="4" t="s">
        <v>4242</v>
      </c>
      <c r="J258" s="4" t="s">
        <v>4244</v>
      </c>
      <c r="K258" s="4" t="s">
        <v>4246</v>
      </c>
    </row>
    <row r="259" spans="1:11" ht="13">
      <c r="A259" s="4" t="s">
        <v>4247</v>
      </c>
      <c r="B259" s="4" t="s">
        <v>4248</v>
      </c>
      <c r="C259" s="4" t="s">
        <v>4249</v>
      </c>
      <c r="D259" s="4" t="e">
        <v>#N/A</v>
      </c>
      <c r="F259" s="4" t="e">
        <v>#N/A</v>
      </c>
      <c r="H259" s="4" t="s">
        <v>4250</v>
      </c>
      <c r="I259" s="4" t="s">
        <v>4251</v>
      </c>
      <c r="J259" s="4" t="s">
        <v>4252</v>
      </c>
      <c r="K259" s="4" t="s">
        <v>4253</v>
      </c>
    </row>
    <row r="260" spans="1:11" ht="13">
      <c r="A260" s="4" t="s">
        <v>4254</v>
      </c>
      <c r="B260" s="4" t="s">
        <v>4255</v>
      </c>
      <c r="C260" s="4" t="s">
        <v>4256</v>
      </c>
      <c r="D260" s="4" t="s">
        <v>4257</v>
      </c>
      <c r="E260" s="4" t="s">
        <v>4258</v>
      </c>
      <c r="F260" s="4" t="s">
        <v>4259</v>
      </c>
      <c r="G260" s="4" t="s">
        <v>4260</v>
      </c>
      <c r="H260" s="4" t="s">
        <v>4261</v>
      </c>
      <c r="I260" s="4" t="s">
        <v>4262</v>
      </c>
      <c r="J260" s="4" t="s">
        <v>4263</v>
      </c>
      <c r="K260" s="4" t="s">
        <v>4264</v>
      </c>
    </row>
    <row r="261" spans="1:11" ht="13">
      <c r="A261" s="4" t="s">
        <v>4265</v>
      </c>
      <c r="B261" s="4" t="s">
        <v>4266</v>
      </c>
      <c r="C261" s="4" t="s">
        <v>4267</v>
      </c>
      <c r="D261" s="4" t="s">
        <v>4268</v>
      </c>
      <c r="E261" s="4" t="s">
        <v>4269</v>
      </c>
      <c r="F261" s="4" t="s">
        <v>4270</v>
      </c>
      <c r="G261" s="4" t="s">
        <v>4271</v>
      </c>
      <c r="H261" s="4" t="s">
        <v>4272</v>
      </c>
      <c r="I261" s="4" t="s">
        <v>4273</v>
      </c>
      <c r="J261" s="4" t="s">
        <v>4274</v>
      </c>
      <c r="K261" s="4" t="s">
        <v>4275</v>
      </c>
    </row>
    <row r="262" spans="1:11" ht="13">
      <c r="A262" s="4" t="s">
        <v>4276</v>
      </c>
      <c r="B262" s="4" t="e">
        <v>#N/A</v>
      </c>
      <c r="D262" s="4" t="e">
        <v>#N/A</v>
      </c>
      <c r="F262" s="4" t="s">
        <v>4277</v>
      </c>
      <c r="G262" s="4" t="s">
        <v>4279</v>
      </c>
      <c r="H262" s="4" t="s">
        <v>4280</v>
      </c>
      <c r="I262" s="4" t="s">
        <v>4281</v>
      </c>
      <c r="J262" s="4" t="s">
        <v>4282</v>
      </c>
      <c r="K262" s="4" t="s">
        <v>4283</v>
      </c>
    </row>
    <row r="263" spans="1:11" ht="13">
      <c r="A263" s="4" t="s">
        <v>4284</v>
      </c>
      <c r="B263" s="4" t="e">
        <v>#N/A</v>
      </c>
      <c r="D263" s="4" t="s">
        <v>4285</v>
      </c>
      <c r="E263" s="4" t="s">
        <v>4286</v>
      </c>
      <c r="F263" s="4" t="s">
        <v>4287</v>
      </c>
      <c r="G263" s="4" t="s">
        <v>4288</v>
      </c>
      <c r="H263" s="4" t="s">
        <v>4289</v>
      </c>
      <c r="I263" s="4" t="s">
        <v>4290</v>
      </c>
      <c r="J263" s="4" t="s">
        <v>4291</v>
      </c>
      <c r="K263" s="4" t="s">
        <v>4292</v>
      </c>
    </row>
    <row r="264" spans="1:11" ht="13">
      <c r="A264" s="4" t="s">
        <v>4293</v>
      </c>
      <c r="B264" s="4" t="s">
        <v>4294</v>
      </c>
      <c r="C264" s="4" t="s">
        <v>4295</v>
      </c>
      <c r="D264" s="4" t="s">
        <v>4296</v>
      </c>
      <c r="E264" s="4" t="s">
        <v>4297</v>
      </c>
      <c r="F264" s="4" t="s">
        <v>4298</v>
      </c>
      <c r="G264" s="4" t="s">
        <v>4299</v>
      </c>
      <c r="H264" s="4" t="s">
        <v>4300</v>
      </c>
      <c r="I264" s="4" t="s">
        <v>4301</v>
      </c>
      <c r="J264" s="4" t="s">
        <v>4302</v>
      </c>
      <c r="K264" s="4" t="s">
        <v>4303</v>
      </c>
    </row>
    <row r="265" spans="1:11" ht="13">
      <c r="A265" s="4" t="s">
        <v>4304</v>
      </c>
      <c r="B265" s="4" t="s">
        <v>4305</v>
      </c>
      <c r="C265" s="4" t="s">
        <v>4306</v>
      </c>
      <c r="D265" s="4" t="s">
        <v>4307</v>
      </c>
      <c r="E265" s="4" t="s">
        <v>4308</v>
      </c>
      <c r="F265" s="4" t="s">
        <v>4309</v>
      </c>
      <c r="G265" s="4" t="s">
        <v>4310</v>
      </c>
      <c r="H265" s="4" t="s">
        <v>4311</v>
      </c>
      <c r="I265" s="4" t="s">
        <v>4312</v>
      </c>
      <c r="J265" s="4" t="s">
        <v>4313</v>
      </c>
      <c r="K265" s="4" t="s">
        <v>4314</v>
      </c>
    </row>
    <row r="266" spans="1:11" ht="13">
      <c r="A266" s="4" t="s">
        <v>4315</v>
      </c>
      <c r="B266" s="4" t="e">
        <v>#N/A</v>
      </c>
      <c r="D266" s="4" t="s">
        <v>4316</v>
      </c>
      <c r="E266" s="4" t="s">
        <v>4317</v>
      </c>
      <c r="F266" s="4" t="e">
        <v>#N/A</v>
      </c>
      <c r="H266" s="4" t="s">
        <v>4318</v>
      </c>
      <c r="I266" s="4" t="s">
        <v>4319</v>
      </c>
      <c r="J266" s="4" t="s">
        <v>4320</v>
      </c>
      <c r="K266" s="4" t="s">
        <v>4321</v>
      </c>
    </row>
    <row r="267" spans="1:11" ht="13">
      <c r="A267" s="4" t="s">
        <v>4322</v>
      </c>
      <c r="B267" s="4" t="s">
        <v>4323</v>
      </c>
      <c r="C267" s="4" t="s">
        <v>4324</v>
      </c>
      <c r="D267" s="4" t="s">
        <v>4325</v>
      </c>
      <c r="E267" s="4" t="s">
        <v>4326</v>
      </c>
      <c r="F267" s="4" t="s">
        <v>4327</v>
      </c>
      <c r="G267" s="4" t="s">
        <v>4329</v>
      </c>
      <c r="H267" s="4" t="s">
        <v>4330</v>
      </c>
      <c r="I267" s="4" t="s">
        <v>4331</v>
      </c>
      <c r="J267" s="4" t="s">
        <v>4332</v>
      </c>
      <c r="K267" s="4" t="s">
        <v>4333</v>
      </c>
    </row>
    <row r="268" spans="1:11" ht="13">
      <c r="A268" s="4" t="s">
        <v>4334</v>
      </c>
      <c r="B268" s="4" t="s">
        <v>4335</v>
      </c>
      <c r="C268" s="4" t="s">
        <v>4336</v>
      </c>
      <c r="D268" s="4" t="s">
        <v>4337</v>
      </c>
      <c r="E268" s="4" t="s">
        <v>4338</v>
      </c>
      <c r="F268" s="4" t="s">
        <v>4339</v>
      </c>
      <c r="G268" s="4" t="s">
        <v>4340</v>
      </c>
      <c r="H268" s="4" t="s">
        <v>4341</v>
      </c>
      <c r="I268" s="4" t="s">
        <v>4342</v>
      </c>
      <c r="J268" s="4" t="e">
        <v>#N/A</v>
      </c>
    </row>
    <row r="269" spans="1:11" ht="13">
      <c r="A269" s="4" t="s">
        <v>4343</v>
      </c>
      <c r="B269" s="4" t="s">
        <v>4344</v>
      </c>
      <c r="C269" s="4" t="s">
        <v>4345</v>
      </c>
      <c r="D269" s="4" t="s">
        <v>4346</v>
      </c>
      <c r="E269" s="4" t="s">
        <v>4347</v>
      </c>
      <c r="F269" s="4" t="e">
        <v>#N/A</v>
      </c>
      <c r="H269" s="4" t="s">
        <v>4348</v>
      </c>
      <c r="I269" s="4" t="s">
        <v>4349</v>
      </c>
      <c r="J269" s="4" t="e">
        <v>#N/A</v>
      </c>
    </row>
    <row r="270" spans="1:11" ht="13">
      <c r="A270" s="4" t="s">
        <v>4350</v>
      </c>
      <c r="B270" s="4" t="e">
        <v>#N/A</v>
      </c>
      <c r="D270" s="4" t="s">
        <v>4351</v>
      </c>
      <c r="E270" s="4" t="s">
        <v>4352</v>
      </c>
      <c r="F270" s="4" t="s">
        <v>4353</v>
      </c>
      <c r="G270" s="4" t="s">
        <v>4354</v>
      </c>
      <c r="H270" s="4" t="s">
        <v>4355</v>
      </c>
      <c r="I270" s="4" t="s">
        <v>4356</v>
      </c>
      <c r="J270" s="4" t="s">
        <v>4357</v>
      </c>
      <c r="K270" s="4" t="s">
        <v>4358</v>
      </c>
    </row>
    <row r="271" spans="1:11" ht="13">
      <c r="A271" s="4" t="s">
        <v>4359</v>
      </c>
      <c r="B271" s="4" t="s">
        <v>4360</v>
      </c>
      <c r="C271" s="4" t="s">
        <v>4361</v>
      </c>
      <c r="D271" s="4" t="s">
        <v>4362</v>
      </c>
      <c r="E271" s="4" t="s">
        <v>4363</v>
      </c>
      <c r="F271" s="4" t="s">
        <v>4364</v>
      </c>
      <c r="G271" s="4" t="s">
        <v>4365</v>
      </c>
      <c r="H271" s="4" t="e">
        <v>#N/A</v>
      </c>
      <c r="J271" s="4" t="e">
        <v>#N/A</v>
      </c>
    </row>
    <row r="272" spans="1:11" ht="13">
      <c r="A272" s="4" t="s">
        <v>4366</v>
      </c>
      <c r="B272" s="4" t="s">
        <v>4367</v>
      </c>
      <c r="C272" s="4" t="s">
        <v>4368</v>
      </c>
      <c r="D272" s="4" t="s">
        <v>4369</v>
      </c>
      <c r="E272" s="4" t="s">
        <v>4370</v>
      </c>
      <c r="F272" s="4" t="s">
        <v>4371</v>
      </c>
      <c r="G272" s="4" t="s">
        <v>4372</v>
      </c>
      <c r="H272" s="4" t="e">
        <v>#N/A</v>
      </c>
      <c r="J272" s="4" t="e">
        <v>#N/A</v>
      </c>
    </row>
    <row r="273" spans="1:11" ht="13">
      <c r="A273" s="4" t="s">
        <v>4373</v>
      </c>
      <c r="B273" s="4" t="s">
        <v>4374</v>
      </c>
      <c r="C273" s="4" t="s">
        <v>4375</v>
      </c>
      <c r="D273" s="4" t="s">
        <v>4376</v>
      </c>
      <c r="E273" s="4" t="s">
        <v>4377</v>
      </c>
      <c r="F273" s="4" t="s">
        <v>4378</v>
      </c>
      <c r="G273" s="4" t="s">
        <v>4379</v>
      </c>
      <c r="H273" s="4" t="e">
        <v>#N/A</v>
      </c>
      <c r="J273" s="4" t="s">
        <v>4380</v>
      </c>
      <c r="K273" s="4" t="s">
        <v>4381</v>
      </c>
    </row>
    <row r="274" spans="1:11" ht="13">
      <c r="A274" s="4" t="s">
        <v>4382</v>
      </c>
      <c r="B274" s="4" t="s">
        <v>4383</v>
      </c>
      <c r="C274" s="4" t="s">
        <v>4384</v>
      </c>
      <c r="D274" s="4" t="s">
        <v>4386</v>
      </c>
      <c r="E274" s="4" t="s">
        <v>4387</v>
      </c>
      <c r="F274" s="4" t="e">
        <v>#N/A</v>
      </c>
      <c r="H274" s="4" t="e">
        <v>#N/A</v>
      </c>
      <c r="J274" s="4" t="e">
        <v>#N/A</v>
      </c>
    </row>
    <row r="275" spans="1:11" ht="13">
      <c r="A275" s="4" t="s">
        <v>4388</v>
      </c>
      <c r="B275" s="4" t="e">
        <v>#N/A</v>
      </c>
      <c r="D275" s="4" t="s">
        <v>4389</v>
      </c>
      <c r="E275" s="4" t="s">
        <v>4390</v>
      </c>
      <c r="F275" s="4" t="s">
        <v>4391</v>
      </c>
      <c r="G275" s="4" t="s">
        <v>4392</v>
      </c>
      <c r="H275" s="4"/>
      <c r="J275" s="4"/>
    </row>
    <row r="276" spans="1:11" ht="13">
      <c r="A276" s="4" t="s">
        <v>4393</v>
      </c>
      <c r="B276" s="4" t="s">
        <v>4394</v>
      </c>
      <c r="C276" s="4" t="s">
        <v>4395</v>
      </c>
      <c r="D276" s="4" t="e">
        <v>#N/A</v>
      </c>
      <c r="F276" s="4" t="s">
        <v>4396</v>
      </c>
      <c r="G276" s="4" t="s">
        <v>4397</v>
      </c>
      <c r="H276" s="4" t="s">
        <v>4398</v>
      </c>
      <c r="I276" s="4" t="s">
        <v>4399</v>
      </c>
      <c r="J276" s="4" t="s">
        <v>4400</v>
      </c>
      <c r="K276" s="4" t="s">
        <v>4401</v>
      </c>
    </row>
    <row r="277" spans="1:11" ht="13">
      <c r="A277" s="4" t="s">
        <v>4402</v>
      </c>
      <c r="B277" s="4" t="s">
        <v>4403</v>
      </c>
      <c r="C277" s="4" t="s">
        <v>4404</v>
      </c>
      <c r="D277" s="4" t="s">
        <v>4405</v>
      </c>
      <c r="E277" s="4" t="s">
        <v>4406</v>
      </c>
      <c r="F277" s="4" t="s">
        <v>4407</v>
      </c>
      <c r="G277" s="4" t="s">
        <v>4408</v>
      </c>
      <c r="H277" s="4" t="e">
        <v>#N/A</v>
      </c>
      <c r="J277" s="4" t="s">
        <v>4409</v>
      </c>
      <c r="K277" s="4" t="s">
        <v>4410</v>
      </c>
    </row>
    <row r="278" spans="1:11" ht="13">
      <c r="A278" s="4" t="s">
        <v>4411</v>
      </c>
      <c r="B278" s="4" t="e">
        <v>#N/A</v>
      </c>
      <c r="D278" s="4" t="e">
        <v>#N/A</v>
      </c>
      <c r="F278" s="4" t="s">
        <v>4412</v>
      </c>
      <c r="G278" s="4" t="s">
        <v>4413</v>
      </c>
      <c r="H278" s="4" t="s">
        <v>4414</v>
      </c>
      <c r="I278" s="4" t="s">
        <v>4415</v>
      </c>
      <c r="J278" s="4" t="e">
        <v>#N/A</v>
      </c>
    </row>
    <row r="279" spans="1:11" ht="13">
      <c r="A279" s="4" t="s">
        <v>4416</v>
      </c>
      <c r="B279" s="4" t="e">
        <v>#N/A</v>
      </c>
      <c r="D279" s="4" t="e">
        <v>#N/A</v>
      </c>
      <c r="F279" s="4" t="s">
        <v>4417</v>
      </c>
      <c r="G279" s="4" t="s">
        <v>4418</v>
      </c>
      <c r="H279" s="4" t="s">
        <v>4419</v>
      </c>
      <c r="I279" s="4" t="s">
        <v>4420</v>
      </c>
      <c r="J279" s="4" t="s">
        <v>4421</v>
      </c>
      <c r="K279" s="4" t="s">
        <v>4422</v>
      </c>
    </row>
    <row r="280" spans="1:11" ht="13">
      <c r="A280" s="4" t="s">
        <v>4423</v>
      </c>
      <c r="B280" s="4" t="s">
        <v>4424</v>
      </c>
      <c r="C280" s="4" t="s">
        <v>4425</v>
      </c>
      <c r="D280" s="4" t="s">
        <v>4426</v>
      </c>
      <c r="E280" s="4" t="s">
        <v>4427</v>
      </c>
      <c r="F280" s="4" t="s">
        <v>4429</v>
      </c>
      <c r="G280" s="4" t="s">
        <v>4430</v>
      </c>
      <c r="H280" s="4" t="e">
        <v>#N/A</v>
      </c>
      <c r="J280" s="4" t="s">
        <v>4431</v>
      </c>
      <c r="K280" s="4" t="s">
        <v>4432</v>
      </c>
    </row>
    <row r="281" spans="1:11" ht="13">
      <c r="A281" s="4" t="s">
        <v>4433</v>
      </c>
      <c r="B281" s="4" t="s">
        <v>4434</v>
      </c>
      <c r="C281" s="4" t="s">
        <v>4435</v>
      </c>
      <c r="D281" s="4" t="s">
        <v>4436</v>
      </c>
      <c r="E281" s="4" t="s">
        <v>4437</v>
      </c>
      <c r="F281" s="4" t="s">
        <v>4438</v>
      </c>
      <c r="G281" s="4" t="s">
        <v>4439</v>
      </c>
      <c r="H281" s="4" t="s">
        <v>4440</v>
      </c>
      <c r="I281" s="4" t="s">
        <v>4441</v>
      </c>
      <c r="J281" s="4" t="s">
        <v>4442</v>
      </c>
      <c r="K281" s="4" t="s">
        <v>4443</v>
      </c>
    </row>
    <row r="282" spans="1:11" ht="13">
      <c r="A282" s="4" t="s">
        <v>4444</v>
      </c>
      <c r="B282" s="4" t="s">
        <v>4445</v>
      </c>
      <c r="C282" s="4" t="s">
        <v>4446</v>
      </c>
      <c r="D282" s="4" t="s">
        <v>4447</v>
      </c>
      <c r="E282" s="4" t="s">
        <v>4448</v>
      </c>
      <c r="F282" s="4" t="s">
        <v>4449</v>
      </c>
      <c r="G282" s="4" t="s">
        <v>4450</v>
      </c>
      <c r="H282" s="4" t="s">
        <v>4451</v>
      </c>
      <c r="I282" s="4" t="s">
        <v>4452</v>
      </c>
      <c r="J282" s="4" t="e">
        <v>#N/A</v>
      </c>
    </row>
    <row r="283" spans="1:11" ht="13">
      <c r="A283" s="4" t="s">
        <v>4453</v>
      </c>
      <c r="B283" s="4" t="s">
        <v>4454</v>
      </c>
      <c r="C283" s="4" t="s">
        <v>4455</v>
      </c>
      <c r="D283" s="4" t="e">
        <v>#N/A</v>
      </c>
      <c r="F283" s="4" t="s">
        <v>4456</v>
      </c>
      <c r="G283" s="4" t="s">
        <v>4457</v>
      </c>
      <c r="H283" s="4" t="e">
        <v>#N/A</v>
      </c>
      <c r="J283" s="4" t="e">
        <v>#N/A</v>
      </c>
    </row>
    <row r="284" spans="1:11" ht="13">
      <c r="A284" s="4" t="s">
        <v>4458</v>
      </c>
      <c r="B284" s="4" t="s">
        <v>4459</v>
      </c>
      <c r="C284" s="4" t="s">
        <v>4460</v>
      </c>
      <c r="D284" s="4" t="s">
        <v>4461</v>
      </c>
      <c r="E284" s="4" t="s">
        <v>4462</v>
      </c>
      <c r="F284" s="4" t="s">
        <v>4463</v>
      </c>
      <c r="G284" s="4" t="s">
        <v>4464</v>
      </c>
      <c r="H284" s="4" t="e">
        <v>#N/A</v>
      </c>
      <c r="J284" s="4" t="e">
        <v>#N/A</v>
      </c>
    </row>
    <row r="285" spans="1:11" ht="13">
      <c r="A285" s="4" t="s">
        <v>4465</v>
      </c>
      <c r="B285" s="4" t="s">
        <v>4466</v>
      </c>
      <c r="C285" s="4" t="s">
        <v>4467</v>
      </c>
      <c r="D285" s="4" t="s">
        <v>4468</v>
      </c>
      <c r="E285" s="4" t="s">
        <v>4469</v>
      </c>
      <c r="F285" s="4" t="s">
        <v>4470</v>
      </c>
      <c r="G285" s="4" t="s">
        <v>4471</v>
      </c>
      <c r="H285" s="4" t="s">
        <v>4472</v>
      </c>
      <c r="I285" s="4" t="s">
        <v>4473</v>
      </c>
      <c r="J285" s="4" t="s">
        <v>4474</v>
      </c>
      <c r="K285" s="4" t="s">
        <v>4475</v>
      </c>
    </row>
    <row r="286" spans="1:11" ht="13">
      <c r="A286" s="4" t="s">
        <v>4476</v>
      </c>
      <c r="B286" s="4" t="s">
        <v>4477</v>
      </c>
      <c r="C286" s="4" t="s">
        <v>4478</v>
      </c>
      <c r="D286" s="4" t="s">
        <v>4479</v>
      </c>
      <c r="E286" s="4" t="s">
        <v>4480</v>
      </c>
      <c r="F286" s="4" t="s">
        <v>4481</v>
      </c>
      <c r="G286" s="4" t="s">
        <v>4482</v>
      </c>
      <c r="H286" s="4" t="s">
        <v>4483</v>
      </c>
      <c r="I286" s="4" t="s">
        <v>4485</v>
      </c>
      <c r="J286" s="4" t="s">
        <v>4486</v>
      </c>
      <c r="K286" s="4" t="s">
        <v>4487</v>
      </c>
    </row>
    <row r="287" spans="1:11" ht="13">
      <c r="A287" s="4" t="s">
        <v>4488</v>
      </c>
      <c r="B287" s="4" t="s">
        <v>4489</v>
      </c>
      <c r="C287" s="4" t="s">
        <v>4490</v>
      </c>
      <c r="D287" s="4" t="s">
        <v>4491</v>
      </c>
      <c r="E287" s="4" t="s">
        <v>4492</v>
      </c>
      <c r="F287" s="4" t="s">
        <v>4493</v>
      </c>
      <c r="G287" s="4" t="s">
        <v>4494</v>
      </c>
      <c r="H287" s="4" t="s">
        <v>4495</v>
      </c>
      <c r="I287" s="4" t="s">
        <v>4496</v>
      </c>
      <c r="J287" s="4" t="s">
        <v>4497</v>
      </c>
      <c r="K287" s="4" t="s">
        <v>4498</v>
      </c>
    </row>
    <row r="288" spans="1:11" ht="13">
      <c r="A288" s="4" t="s">
        <v>4499</v>
      </c>
      <c r="B288" s="4" t="s">
        <v>4500</v>
      </c>
      <c r="C288" s="4" t="s">
        <v>4501</v>
      </c>
      <c r="D288" s="4" t="s">
        <v>4502</v>
      </c>
      <c r="E288" s="4" t="s">
        <v>4503</v>
      </c>
      <c r="F288" s="4" t="s">
        <v>4504</v>
      </c>
      <c r="G288" s="4" t="s">
        <v>4505</v>
      </c>
      <c r="H288" s="4" t="s">
        <v>4506</v>
      </c>
      <c r="I288" s="4" t="s">
        <v>4507</v>
      </c>
      <c r="J288" s="4" t="s">
        <v>4508</v>
      </c>
      <c r="K288" s="4" t="s">
        <v>4509</v>
      </c>
    </row>
    <row r="289" spans="1:11" ht="13">
      <c r="A289" s="4" t="s">
        <v>4510</v>
      </c>
      <c r="B289" s="4" t="s">
        <v>4511</v>
      </c>
      <c r="C289" s="4" t="s">
        <v>4512</v>
      </c>
      <c r="D289" s="4" t="e">
        <v>#N/A</v>
      </c>
      <c r="F289" s="4" t="s">
        <v>4513</v>
      </c>
      <c r="G289" s="4" t="s">
        <v>4514</v>
      </c>
      <c r="H289" s="4" t="e">
        <v>#N/A</v>
      </c>
      <c r="J289" s="4" t="s">
        <v>4515</v>
      </c>
      <c r="K289" s="4" t="s">
        <v>4516</v>
      </c>
    </row>
    <row r="290" spans="1:11" ht="13">
      <c r="A290" s="4" t="s">
        <v>4517</v>
      </c>
      <c r="B290" s="4" t="s">
        <v>4518</v>
      </c>
      <c r="C290" s="4" t="s">
        <v>4519</v>
      </c>
      <c r="D290" s="4" t="s">
        <v>4520</v>
      </c>
      <c r="E290" s="4" t="s">
        <v>4521</v>
      </c>
      <c r="F290" s="4" t="e">
        <v>#N/A</v>
      </c>
      <c r="H290" s="4" t="e">
        <v>#N/A</v>
      </c>
      <c r="J290" s="4" t="s">
        <v>4522</v>
      </c>
      <c r="K290" s="4" t="s">
        <v>4523</v>
      </c>
    </row>
    <row r="291" spans="1:11" ht="13">
      <c r="A291" s="4" t="s">
        <v>4524</v>
      </c>
      <c r="B291" s="4" t="s">
        <v>4525</v>
      </c>
      <c r="C291" s="4" t="s">
        <v>4526</v>
      </c>
      <c r="D291" s="4" t="s">
        <v>4527</v>
      </c>
      <c r="E291" s="4" t="s">
        <v>4528</v>
      </c>
      <c r="F291" s="4" t="s">
        <v>4529</v>
      </c>
      <c r="G291" s="4" t="s">
        <v>4530</v>
      </c>
      <c r="H291" s="4" t="e">
        <v>#N/A</v>
      </c>
      <c r="J291" s="4" t="s">
        <v>4531</v>
      </c>
      <c r="K291" s="4" t="s">
        <v>4532</v>
      </c>
    </row>
    <row r="292" spans="1:11" ht="13">
      <c r="A292" s="4" t="s">
        <v>4533</v>
      </c>
      <c r="B292" s="4" t="s">
        <v>4534</v>
      </c>
      <c r="C292" s="4" t="s">
        <v>4535</v>
      </c>
      <c r="D292" s="4" t="e">
        <v>#N/A</v>
      </c>
      <c r="F292" s="4" t="s">
        <v>4536</v>
      </c>
      <c r="G292" s="4" t="s">
        <v>4537</v>
      </c>
      <c r="H292" s="4" t="s">
        <v>4538</v>
      </c>
      <c r="I292" s="4" t="s">
        <v>4539</v>
      </c>
      <c r="J292" s="4" t="s">
        <v>4540</v>
      </c>
      <c r="K292" s="4" t="s">
        <v>4542</v>
      </c>
    </row>
    <row r="293" spans="1:11" ht="13">
      <c r="A293" s="4" t="s">
        <v>4543</v>
      </c>
      <c r="B293" s="4" t="s">
        <v>4544</v>
      </c>
      <c r="C293" s="4" t="s">
        <v>4545</v>
      </c>
      <c r="D293" s="4" t="s">
        <v>4546</v>
      </c>
      <c r="E293" s="4" t="s">
        <v>4547</v>
      </c>
      <c r="F293" s="4" t="e">
        <v>#N/A</v>
      </c>
      <c r="H293" s="4" t="s">
        <v>4548</v>
      </c>
      <c r="I293" s="4" t="s">
        <v>4549</v>
      </c>
      <c r="J293" s="4" t="s">
        <v>4550</v>
      </c>
      <c r="K293" s="4" t="s">
        <v>4551</v>
      </c>
    </row>
    <row r="294" spans="1:11" ht="13">
      <c r="A294" s="4" t="s">
        <v>4552</v>
      </c>
      <c r="B294" s="4" t="s">
        <v>4553</v>
      </c>
      <c r="C294" s="4" t="s">
        <v>4554</v>
      </c>
      <c r="D294" s="4" t="e">
        <v>#N/A</v>
      </c>
      <c r="F294" s="4" t="s">
        <v>4555</v>
      </c>
      <c r="G294" s="4" t="s">
        <v>4556</v>
      </c>
      <c r="H294" s="4" t="s">
        <v>4557</v>
      </c>
      <c r="I294" s="4" t="s">
        <v>4558</v>
      </c>
      <c r="J294" s="4" t="s">
        <v>4559</v>
      </c>
      <c r="K294" s="4" t="s">
        <v>4560</v>
      </c>
    </row>
    <row r="295" spans="1:11" ht="13">
      <c r="A295" s="4" t="s">
        <v>4561</v>
      </c>
      <c r="B295" s="4" t="s">
        <v>4562</v>
      </c>
      <c r="C295" s="4" t="s">
        <v>4563</v>
      </c>
      <c r="D295" s="4" t="s">
        <v>4564</v>
      </c>
      <c r="E295" s="4" t="s">
        <v>4565</v>
      </c>
      <c r="F295" s="4" t="s">
        <v>4566</v>
      </c>
      <c r="G295" s="4" t="s">
        <v>4567</v>
      </c>
      <c r="H295" s="4" t="s">
        <v>4568</v>
      </c>
      <c r="I295" s="4" t="s">
        <v>4569</v>
      </c>
      <c r="J295" s="4" t="s">
        <v>4570</v>
      </c>
      <c r="K295" s="4" t="s">
        <v>4571</v>
      </c>
    </row>
    <row r="296" spans="1:11" ht="13">
      <c r="A296" s="4" t="s">
        <v>4572</v>
      </c>
      <c r="B296" s="4" t="s">
        <v>4573</v>
      </c>
      <c r="C296" s="4" t="s">
        <v>4574</v>
      </c>
      <c r="D296" s="4" t="s">
        <v>4575</v>
      </c>
      <c r="E296" s="4" t="s">
        <v>4576</v>
      </c>
      <c r="F296" s="4" t="e">
        <v>#N/A</v>
      </c>
      <c r="H296" s="4" t="s">
        <v>4577</v>
      </c>
      <c r="I296" s="4" t="s">
        <v>4578</v>
      </c>
      <c r="J296" s="4" t="s">
        <v>4579</v>
      </c>
      <c r="K296" s="4" t="s">
        <v>4580</v>
      </c>
    </row>
    <row r="297" spans="1:11" ht="13">
      <c r="A297" s="4" t="s">
        <v>4581</v>
      </c>
      <c r="B297" s="4" t="s">
        <v>4582</v>
      </c>
      <c r="C297" s="4" t="s">
        <v>4583</v>
      </c>
      <c r="D297" s="4" t="s">
        <v>4584</v>
      </c>
      <c r="E297" s="4" t="s">
        <v>4585</v>
      </c>
      <c r="F297" s="4" t="s">
        <v>4586</v>
      </c>
      <c r="G297" s="4" t="s">
        <v>4587</v>
      </c>
      <c r="H297" s="4" t="s">
        <v>4588</v>
      </c>
      <c r="I297" s="4" t="s">
        <v>4589</v>
      </c>
      <c r="J297" s="4" t="e">
        <v>#N/A</v>
      </c>
    </row>
    <row r="298" spans="1:11" ht="13">
      <c r="A298" s="4" t="s">
        <v>4590</v>
      </c>
      <c r="B298" s="4" t="e">
        <v>#N/A</v>
      </c>
      <c r="D298" s="4" t="s">
        <v>4591</v>
      </c>
      <c r="E298" s="4" t="s">
        <v>4592</v>
      </c>
      <c r="F298" s="4" t="s">
        <v>4593</v>
      </c>
      <c r="G298" s="4" t="s">
        <v>4594</v>
      </c>
      <c r="H298" s="4" t="s">
        <v>4595</v>
      </c>
      <c r="I298" s="4" t="s">
        <v>4596</v>
      </c>
      <c r="J298" s="4" t="e">
        <v>#N/A</v>
      </c>
    </row>
    <row r="299" spans="1:11" ht="13">
      <c r="A299" s="4" t="s">
        <v>4598</v>
      </c>
      <c r="B299" s="4" t="s">
        <v>4599</v>
      </c>
      <c r="C299" s="4" t="s">
        <v>4600</v>
      </c>
      <c r="D299" s="4" t="s">
        <v>4601</v>
      </c>
      <c r="E299" s="4" t="s">
        <v>4602</v>
      </c>
      <c r="F299" s="4" t="s">
        <v>4603</v>
      </c>
      <c r="G299" s="4" t="s">
        <v>4604</v>
      </c>
      <c r="H299" s="4" t="s">
        <v>4605</v>
      </c>
      <c r="I299" s="4" t="s">
        <v>4606</v>
      </c>
      <c r="J299" s="4" t="s">
        <v>4607</v>
      </c>
      <c r="K299" s="4" t="s">
        <v>4608</v>
      </c>
    </row>
    <row r="300" spans="1:11" ht="13">
      <c r="A300" s="4" t="s">
        <v>4609</v>
      </c>
      <c r="B300" s="4" t="s">
        <v>4610</v>
      </c>
      <c r="C300" s="4" t="s">
        <v>4611</v>
      </c>
      <c r="D300" s="4" t="s">
        <v>4612</v>
      </c>
      <c r="E300" s="4" t="s">
        <v>4613</v>
      </c>
      <c r="F300" s="4" t="e">
        <v>#N/A</v>
      </c>
      <c r="H300" s="4" t="s">
        <v>4614</v>
      </c>
      <c r="I300" s="4" t="s">
        <v>4615</v>
      </c>
      <c r="J300" s="4" t="e">
        <v>#N/A</v>
      </c>
    </row>
    <row r="301" spans="1:11" ht="13">
      <c r="A301" s="4" t="s">
        <v>4616</v>
      </c>
      <c r="B301" s="4" t="s">
        <v>4617</v>
      </c>
      <c r="C301" s="4" t="s">
        <v>4618</v>
      </c>
      <c r="D301" s="4" t="s">
        <v>4619</v>
      </c>
      <c r="E301" s="4" t="s">
        <v>4620</v>
      </c>
      <c r="F301" s="4" t="s">
        <v>4621</v>
      </c>
      <c r="G301" s="4" t="s">
        <v>4622</v>
      </c>
      <c r="H301" s="4" t="s">
        <v>4623</v>
      </c>
      <c r="I301" s="4" t="s">
        <v>4624</v>
      </c>
      <c r="J301" s="4" t="e">
        <v>#N/A</v>
      </c>
    </row>
    <row r="302" spans="1:11" ht="13">
      <c r="A302" s="4" t="s">
        <v>4625</v>
      </c>
      <c r="B302" s="4" t="s">
        <v>4626</v>
      </c>
      <c r="C302" s="4" t="s">
        <v>4627</v>
      </c>
      <c r="D302" s="4" t="s">
        <v>4628</v>
      </c>
      <c r="E302" s="4" t="s">
        <v>4629</v>
      </c>
      <c r="F302" s="4" t="s">
        <v>4630</v>
      </c>
      <c r="G302" s="4" t="s">
        <v>4631</v>
      </c>
      <c r="H302" s="4" t="s">
        <v>4632</v>
      </c>
      <c r="I302" s="4" t="s">
        <v>4633</v>
      </c>
      <c r="J302" s="4" t="s">
        <v>4634</v>
      </c>
      <c r="K302" s="4" t="s">
        <v>4635</v>
      </c>
    </row>
    <row r="303" spans="1:11" ht="13">
      <c r="A303" s="4" t="s">
        <v>4636</v>
      </c>
      <c r="B303" s="4" t="s">
        <v>4637</v>
      </c>
      <c r="C303" s="4" t="s">
        <v>4638</v>
      </c>
      <c r="D303" s="4" t="s">
        <v>4639</v>
      </c>
      <c r="E303" s="4" t="s">
        <v>4640</v>
      </c>
      <c r="F303" s="4" t="s">
        <v>4641</v>
      </c>
      <c r="G303" s="4" t="s">
        <v>4642</v>
      </c>
      <c r="H303" s="4" t="e">
        <v>#N/A</v>
      </c>
      <c r="J303" s="4" t="s">
        <v>4643</v>
      </c>
      <c r="K303" s="4" t="s">
        <v>4644</v>
      </c>
    </row>
    <row r="304" spans="1:11" ht="13">
      <c r="A304" s="4" t="s">
        <v>4645</v>
      </c>
      <c r="B304" s="4" t="s">
        <v>4646</v>
      </c>
      <c r="C304" s="4" t="s">
        <v>4647</v>
      </c>
      <c r="D304" s="4" t="s">
        <v>4648</v>
      </c>
      <c r="E304" s="4" t="s">
        <v>4649</v>
      </c>
      <c r="F304" s="4" t="s">
        <v>4650</v>
      </c>
      <c r="G304" s="4" t="s">
        <v>4651</v>
      </c>
      <c r="H304" s="4" t="s">
        <v>4652</v>
      </c>
      <c r="I304" s="4" t="s">
        <v>4653</v>
      </c>
      <c r="J304" s="4" t="s">
        <v>4654</v>
      </c>
      <c r="K304" s="4" t="s">
        <v>4655</v>
      </c>
    </row>
    <row r="305" spans="1:11" ht="13">
      <c r="A305" s="4" t="s">
        <v>4656</v>
      </c>
      <c r="B305" s="4" t="s">
        <v>4657</v>
      </c>
      <c r="C305" s="4" t="s">
        <v>4658</v>
      </c>
      <c r="D305" s="4" t="s">
        <v>4659</v>
      </c>
      <c r="E305" s="4" t="s">
        <v>4661</v>
      </c>
      <c r="F305" s="4" t="e">
        <v>#N/A</v>
      </c>
      <c r="H305" s="4" t="e">
        <v>#N/A</v>
      </c>
      <c r="J305" s="4" t="s">
        <v>4662</v>
      </c>
      <c r="K305" s="4" t="s">
        <v>4663</v>
      </c>
    </row>
    <row r="306" spans="1:11" ht="13">
      <c r="A306" s="4" t="s">
        <v>4664</v>
      </c>
      <c r="B306" s="4" t="s">
        <v>4665</v>
      </c>
      <c r="C306" s="4" t="s">
        <v>4666</v>
      </c>
      <c r="D306" s="4" t="e">
        <v>#N/A</v>
      </c>
      <c r="F306" s="4" t="s">
        <v>4667</v>
      </c>
      <c r="G306" s="4" t="s">
        <v>4668</v>
      </c>
      <c r="H306" s="4" t="s">
        <v>4669</v>
      </c>
      <c r="I306" s="4" t="s">
        <v>4670</v>
      </c>
      <c r="J306" s="4" t="s">
        <v>4671</v>
      </c>
      <c r="K306" s="4" t="s">
        <v>4672</v>
      </c>
    </row>
    <row r="307" spans="1:11" ht="13">
      <c r="A307" s="4" t="s">
        <v>4673</v>
      </c>
      <c r="B307" s="4" t="s">
        <v>4674</v>
      </c>
      <c r="C307" s="4" t="s">
        <v>4675</v>
      </c>
      <c r="D307" s="4" t="s">
        <v>4676</v>
      </c>
      <c r="E307" s="4" t="s">
        <v>4677</v>
      </c>
      <c r="F307" s="4" t="s">
        <v>4678</v>
      </c>
      <c r="G307" s="4" t="s">
        <v>4679</v>
      </c>
      <c r="H307" s="4" t="s">
        <v>4680</v>
      </c>
      <c r="I307" s="4" t="s">
        <v>4681</v>
      </c>
      <c r="J307" s="4" t="e">
        <v>#N/A</v>
      </c>
    </row>
    <row r="308" spans="1:11" ht="13">
      <c r="A308" s="4" t="s">
        <v>4683</v>
      </c>
      <c r="B308" s="4" t="e">
        <v>#N/A</v>
      </c>
      <c r="D308" s="4" t="e">
        <v>#N/A</v>
      </c>
      <c r="F308" s="4" t="s">
        <v>4684</v>
      </c>
      <c r="G308" s="4" t="s">
        <v>4685</v>
      </c>
      <c r="H308" s="4" t="s">
        <v>4686</v>
      </c>
      <c r="I308" s="4" t="s">
        <v>4687</v>
      </c>
      <c r="J308" s="4" t="s">
        <v>4688</v>
      </c>
      <c r="K308" s="4" t="s">
        <v>4689</v>
      </c>
    </row>
    <row r="309" spans="1:11" ht="13">
      <c r="A309" s="4" t="s">
        <v>4690</v>
      </c>
      <c r="B309" s="4" t="s">
        <v>4691</v>
      </c>
      <c r="C309" s="4" t="s">
        <v>4692</v>
      </c>
      <c r="D309" s="4" t="e">
        <v>#N/A</v>
      </c>
      <c r="F309" s="4" t="s">
        <v>4693</v>
      </c>
      <c r="G309" s="4" t="s">
        <v>4694</v>
      </c>
      <c r="H309" s="4" t="s">
        <v>4696</v>
      </c>
      <c r="I309" s="4" t="s">
        <v>4697</v>
      </c>
      <c r="J309" s="4" t="s">
        <v>4698</v>
      </c>
      <c r="K309" s="4" t="s">
        <v>4699</v>
      </c>
    </row>
    <row r="310" spans="1:11" ht="13">
      <c r="A310" s="4" t="s">
        <v>4700</v>
      </c>
      <c r="B310" s="4" t="s">
        <v>4701</v>
      </c>
      <c r="C310" s="4" t="s">
        <v>4702</v>
      </c>
      <c r="D310" s="4" t="s">
        <v>4703</v>
      </c>
      <c r="E310" s="4" t="s">
        <v>4704</v>
      </c>
      <c r="F310" s="4" t="e">
        <v>#N/A</v>
      </c>
      <c r="H310" s="4" t="s">
        <v>4705</v>
      </c>
      <c r="I310" s="4" t="s">
        <v>4706</v>
      </c>
      <c r="J310" s="4" t="s">
        <v>4707</v>
      </c>
      <c r="K310" s="4" t="s">
        <v>4708</v>
      </c>
    </row>
    <row r="311" spans="1:11" ht="13">
      <c r="A311" s="4" t="s">
        <v>4709</v>
      </c>
      <c r="B311" s="4" t="e">
        <v>#N/A</v>
      </c>
      <c r="D311" s="4" t="s">
        <v>4710</v>
      </c>
      <c r="E311" s="4" t="s">
        <v>4711</v>
      </c>
      <c r="F311" s="4" t="s">
        <v>4712</v>
      </c>
      <c r="G311" s="4" t="s">
        <v>4713</v>
      </c>
      <c r="H311" s="4" t="s">
        <v>4714</v>
      </c>
      <c r="I311" s="4" t="s">
        <v>4715</v>
      </c>
      <c r="J311" s="4" t="s">
        <v>4716</v>
      </c>
      <c r="K311" s="4" t="s">
        <v>4717</v>
      </c>
    </row>
    <row r="312" spans="1:11" ht="13">
      <c r="A312" s="4" t="s">
        <v>4718</v>
      </c>
      <c r="B312" s="4" t="s">
        <v>4720</v>
      </c>
      <c r="C312" s="4" t="s">
        <v>4721</v>
      </c>
      <c r="D312" s="4" t="e">
        <v>#N/A</v>
      </c>
      <c r="F312" s="4" t="s">
        <v>4722</v>
      </c>
      <c r="G312" s="4" t="s">
        <v>4723</v>
      </c>
      <c r="H312" s="4" t="s">
        <v>4724</v>
      </c>
      <c r="I312" s="4" t="s">
        <v>4725</v>
      </c>
      <c r="J312" s="4" t="s">
        <v>4726</v>
      </c>
      <c r="K312" s="4" t="s">
        <v>4727</v>
      </c>
    </row>
    <row r="313" spans="1:11" ht="13">
      <c r="A313" s="4" t="s">
        <v>4728</v>
      </c>
      <c r="B313" s="4" t="s">
        <v>4729</v>
      </c>
      <c r="C313" s="4" t="s">
        <v>4730</v>
      </c>
      <c r="D313" s="4" t="e">
        <v>#N/A</v>
      </c>
      <c r="F313" s="4" t="s">
        <v>4731</v>
      </c>
      <c r="G313" s="4" t="s">
        <v>4732</v>
      </c>
      <c r="H313" s="4" t="s">
        <v>4733</v>
      </c>
      <c r="I313" s="4" t="s">
        <v>4734</v>
      </c>
      <c r="J313" s="4" t="s">
        <v>4735</v>
      </c>
      <c r="K313" s="4" t="s">
        <v>4736</v>
      </c>
    </row>
    <row r="314" spans="1:11" ht="13">
      <c r="A314" s="4" t="s">
        <v>4737</v>
      </c>
      <c r="B314" s="4" t="s">
        <v>4738</v>
      </c>
      <c r="C314" s="4" t="s">
        <v>4739</v>
      </c>
      <c r="D314" s="4" t="e">
        <v>#N/A</v>
      </c>
      <c r="F314" s="4" t="s">
        <v>4740</v>
      </c>
      <c r="G314" s="4" t="s">
        <v>4741</v>
      </c>
      <c r="H314" s="4" t="s">
        <v>4742</v>
      </c>
      <c r="I314" s="4" t="s">
        <v>4743</v>
      </c>
      <c r="J314" s="4" t="e">
        <v>#N/A</v>
      </c>
    </row>
    <row r="315" spans="1:11" ht="13">
      <c r="A315" s="4" t="s">
        <v>4744</v>
      </c>
      <c r="B315" s="4" t="s">
        <v>4745</v>
      </c>
      <c r="C315" s="4" t="s">
        <v>4746</v>
      </c>
      <c r="D315" s="4" t="s">
        <v>4747</v>
      </c>
      <c r="E315" s="4" t="s">
        <v>4748</v>
      </c>
      <c r="F315" s="4" t="s">
        <v>4749</v>
      </c>
      <c r="G315" s="4" t="s">
        <v>4750</v>
      </c>
      <c r="H315" s="4" t="s">
        <v>4751</v>
      </c>
      <c r="I315" s="4" t="s">
        <v>4752</v>
      </c>
      <c r="J315" s="4" t="s">
        <v>4753</v>
      </c>
      <c r="K315" s="4" t="s">
        <v>4754</v>
      </c>
    </row>
    <row r="316" spans="1:11" ht="13">
      <c r="A316" s="4" t="s">
        <v>4755</v>
      </c>
      <c r="B316" s="4" t="s">
        <v>4756</v>
      </c>
      <c r="C316" s="4" t="s">
        <v>4757</v>
      </c>
      <c r="D316" s="4" t="s">
        <v>4758</v>
      </c>
      <c r="E316" s="4" t="s">
        <v>4759</v>
      </c>
      <c r="F316" s="4" t="e">
        <v>#N/A</v>
      </c>
      <c r="H316" s="4" t="s">
        <v>4760</v>
      </c>
      <c r="I316" s="4" t="s">
        <v>4761</v>
      </c>
      <c r="J316" s="4" t="s">
        <v>4762</v>
      </c>
      <c r="K316" s="4" t="s">
        <v>4763</v>
      </c>
    </row>
    <row r="317" spans="1:11" ht="13">
      <c r="A317" s="4" t="s">
        <v>4764</v>
      </c>
      <c r="B317" s="4" t="s">
        <v>4765</v>
      </c>
      <c r="C317" s="4" t="s">
        <v>4766</v>
      </c>
      <c r="D317" s="4" t="e">
        <v>#N/A</v>
      </c>
      <c r="F317" s="4" t="s">
        <v>4767</v>
      </c>
      <c r="G317" s="4" t="s">
        <v>4768</v>
      </c>
      <c r="H317" s="4" t="e">
        <v>#N/A</v>
      </c>
      <c r="J317" s="4"/>
    </row>
    <row r="318" spans="1:11" ht="13">
      <c r="A318" s="4" t="s">
        <v>4769</v>
      </c>
      <c r="B318" s="4" t="s">
        <v>4770</v>
      </c>
      <c r="C318" s="4" t="s">
        <v>4771</v>
      </c>
      <c r="D318" s="4" t="s">
        <v>4772</v>
      </c>
      <c r="E318" s="4" t="s">
        <v>4773</v>
      </c>
      <c r="F318" s="4" t="s">
        <v>4774</v>
      </c>
      <c r="G318" s="4" t="s">
        <v>4775</v>
      </c>
      <c r="H318" s="4" t="s">
        <v>4776</v>
      </c>
      <c r="I318" s="4" t="s">
        <v>4777</v>
      </c>
      <c r="J318" s="4" t="s">
        <v>4778</v>
      </c>
      <c r="K318" s="4" t="s">
        <v>4779</v>
      </c>
    </row>
    <row r="319" spans="1:11" ht="13">
      <c r="A319" s="4" t="s">
        <v>4781</v>
      </c>
      <c r="B319" s="4" t="s">
        <v>4782</v>
      </c>
      <c r="C319" s="4" t="s">
        <v>4783</v>
      </c>
      <c r="D319" s="4" t="e">
        <v>#N/A</v>
      </c>
      <c r="F319" s="4" t="s">
        <v>4784</v>
      </c>
      <c r="G319" s="4" t="s">
        <v>4785</v>
      </c>
      <c r="H319" s="4" t="s">
        <v>4786</v>
      </c>
      <c r="I319" s="4" t="s">
        <v>4787</v>
      </c>
      <c r="J319" s="4" t="e">
        <v>#N/A</v>
      </c>
    </row>
    <row r="320" spans="1:11" ht="13">
      <c r="A320" s="4" t="s">
        <v>4788</v>
      </c>
      <c r="B320" s="4" t="s">
        <v>4789</v>
      </c>
      <c r="C320" s="4" t="s">
        <v>4790</v>
      </c>
      <c r="D320" s="4" t="s">
        <v>4791</v>
      </c>
      <c r="E320" s="4" t="s">
        <v>4792</v>
      </c>
      <c r="F320" s="4" t="s">
        <v>4793</v>
      </c>
      <c r="G320" s="4" t="s">
        <v>4794</v>
      </c>
      <c r="H320" s="4" t="s">
        <v>4795</v>
      </c>
      <c r="I320" s="4" t="s">
        <v>4796</v>
      </c>
      <c r="J320" s="4" t="s">
        <v>4797</v>
      </c>
      <c r="K320" s="4" t="s">
        <v>4798</v>
      </c>
    </row>
    <row r="321" spans="1:11" ht="13">
      <c r="A321" s="4" t="s">
        <v>4799</v>
      </c>
      <c r="B321" s="4" t="e">
        <v>#N/A</v>
      </c>
      <c r="D321" s="4" t="s">
        <v>4800</v>
      </c>
      <c r="E321" s="4" t="s">
        <v>4801</v>
      </c>
      <c r="F321" s="4" t="s">
        <v>4802</v>
      </c>
      <c r="G321" s="4" t="s">
        <v>4803</v>
      </c>
      <c r="H321" s="4" t="e">
        <v>#N/A</v>
      </c>
      <c r="J321" s="4" t="e">
        <v>#N/A</v>
      </c>
    </row>
    <row r="322" spans="1:11" ht="13">
      <c r="A322" s="4" t="s">
        <v>4804</v>
      </c>
      <c r="B322" s="4" t="s">
        <v>4805</v>
      </c>
      <c r="C322" s="4" t="s">
        <v>4806</v>
      </c>
      <c r="D322" s="4" t="s">
        <v>4807</v>
      </c>
      <c r="E322" s="4" t="s">
        <v>4808</v>
      </c>
      <c r="F322" s="4" t="s">
        <v>4809</v>
      </c>
      <c r="G322" s="4" t="s">
        <v>4810</v>
      </c>
      <c r="H322" s="4" t="s">
        <v>4811</v>
      </c>
      <c r="I322" s="4" t="s">
        <v>4812</v>
      </c>
      <c r="J322" s="4" t="e">
        <v>#N/A</v>
      </c>
    </row>
    <row r="323" spans="1:11" ht="13">
      <c r="A323" s="4" t="s">
        <v>4813</v>
      </c>
      <c r="B323" s="4" t="s">
        <v>4814</v>
      </c>
      <c r="C323" s="4" t="s">
        <v>4815</v>
      </c>
      <c r="D323" s="4" t="e">
        <v>#N/A</v>
      </c>
      <c r="F323" s="4" t="s">
        <v>4816</v>
      </c>
      <c r="G323" s="4" t="s">
        <v>4817</v>
      </c>
      <c r="H323" s="4" t="s">
        <v>4818</v>
      </c>
      <c r="I323" s="4" t="s">
        <v>4819</v>
      </c>
      <c r="J323" s="4" t="s">
        <v>4820</v>
      </c>
      <c r="K323" s="4" t="s">
        <v>4821</v>
      </c>
    </row>
    <row r="324" spans="1:11" ht="13">
      <c r="A324" s="4" t="s">
        <v>4822</v>
      </c>
      <c r="B324" s="4" t="s">
        <v>4823</v>
      </c>
      <c r="C324" s="4" t="s">
        <v>4824</v>
      </c>
      <c r="D324" s="4" t="s">
        <v>4825</v>
      </c>
      <c r="E324" s="4" t="s">
        <v>4826</v>
      </c>
      <c r="F324" s="4" t="s">
        <v>4827</v>
      </c>
      <c r="G324" s="4" t="s">
        <v>4828</v>
      </c>
      <c r="H324" s="4" t="e">
        <v>#N/A</v>
      </c>
      <c r="J324" s="4" t="s">
        <v>4829</v>
      </c>
      <c r="K324" s="4" t="s">
        <v>4830</v>
      </c>
    </row>
    <row r="325" spans="1:11" ht="13">
      <c r="A325" s="4" t="s">
        <v>4831</v>
      </c>
      <c r="B325" s="4" t="s">
        <v>4832</v>
      </c>
      <c r="C325" s="4" t="s">
        <v>4833</v>
      </c>
      <c r="D325" s="4" t="s">
        <v>4834</v>
      </c>
      <c r="E325" s="4" t="s">
        <v>4835</v>
      </c>
      <c r="F325" s="4" t="e">
        <v>#N/A</v>
      </c>
      <c r="H325" s="4" t="s">
        <v>4836</v>
      </c>
      <c r="I325" s="4" t="s">
        <v>4837</v>
      </c>
      <c r="J325" s="4" t="s">
        <v>4838</v>
      </c>
      <c r="K325" s="4" t="s">
        <v>4839</v>
      </c>
    </row>
    <row r="326" spans="1:11" ht="13">
      <c r="A326" s="4" t="s">
        <v>4840</v>
      </c>
      <c r="B326" s="4" t="s">
        <v>4841</v>
      </c>
      <c r="C326" s="4" t="s">
        <v>4842</v>
      </c>
      <c r="D326" s="4" t="e">
        <v>#N/A</v>
      </c>
      <c r="F326" s="4" t="e">
        <v>#N/A</v>
      </c>
      <c r="H326" s="4" t="e">
        <v>#N/A</v>
      </c>
      <c r="J326" s="4" t="s">
        <v>4843</v>
      </c>
      <c r="K326" s="4" t="s">
        <v>4844</v>
      </c>
    </row>
    <row r="327" spans="1:11" ht="13">
      <c r="A327" s="4" t="s">
        <v>4845</v>
      </c>
      <c r="B327" s="4" t="s">
        <v>4847</v>
      </c>
      <c r="C327" s="4" t="s">
        <v>4848</v>
      </c>
      <c r="D327" s="4" t="e">
        <v>#N/A</v>
      </c>
      <c r="F327" s="4" t="s">
        <v>4849</v>
      </c>
      <c r="G327" s="4" t="s">
        <v>4850</v>
      </c>
      <c r="H327" s="4" t="e">
        <v>#N/A</v>
      </c>
      <c r="J327" s="4" t="s">
        <v>4851</v>
      </c>
      <c r="K327" s="4" t="s">
        <v>4852</v>
      </c>
    </row>
    <row r="328" spans="1:11" ht="13">
      <c r="A328" s="4" t="s">
        <v>4853</v>
      </c>
      <c r="B328" s="4" t="s">
        <v>4854</v>
      </c>
      <c r="C328" s="4" t="s">
        <v>4855</v>
      </c>
      <c r="D328" s="4" t="s">
        <v>4856</v>
      </c>
      <c r="E328" s="4" t="s">
        <v>4857</v>
      </c>
      <c r="F328" s="4" t="s">
        <v>4858</v>
      </c>
      <c r="G328" s="4" t="s">
        <v>4859</v>
      </c>
      <c r="H328" s="4" t="s">
        <v>4860</v>
      </c>
      <c r="I328" s="4" t="s">
        <v>4861</v>
      </c>
      <c r="J328" s="4" t="s">
        <v>4862</v>
      </c>
      <c r="K328" s="4" t="s">
        <v>4863</v>
      </c>
    </row>
    <row r="329" spans="1:11" ht="13">
      <c r="A329" s="4" t="s">
        <v>4864</v>
      </c>
      <c r="B329" s="4" t="s">
        <v>4865</v>
      </c>
      <c r="C329" s="4" t="s">
        <v>4866</v>
      </c>
      <c r="D329" s="4" t="s">
        <v>4867</v>
      </c>
      <c r="E329" s="4" t="s">
        <v>4868</v>
      </c>
      <c r="F329" s="4" t="s">
        <v>4869</v>
      </c>
      <c r="G329" s="4" t="s">
        <v>4870</v>
      </c>
      <c r="H329" s="4" t="s">
        <v>4871</v>
      </c>
      <c r="I329" s="4" t="s">
        <v>4872</v>
      </c>
      <c r="J329" s="4" t="s">
        <v>4873</v>
      </c>
      <c r="K329" s="4" t="s">
        <v>4874</v>
      </c>
    </row>
    <row r="330" spans="1:11" ht="13">
      <c r="A330" s="4" t="s">
        <v>4875</v>
      </c>
      <c r="B330" s="4" t="s">
        <v>4876</v>
      </c>
      <c r="C330" s="4" t="s">
        <v>4877</v>
      </c>
      <c r="D330" s="4" t="e">
        <v>#N/A</v>
      </c>
      <c r="F330" s="4" t="s">
        <v>4878</v>
      </c>
      <c r="G330" s="4" t="s">
        <v>4879</v>
      </c>
      <c r="H330" s="4" t="s">
        <v>4880</v>
      </c>
      <c r="I330" s="4" t="s">
        <v>4881</v>
      </c>
      <c r="J330" s="4" t="s">
        <v>4882</v>
      </c>
      <c r="K330" s="4" t="s">
        <v>4883</v>
      </c>
    </row>
    <row r="331" spans="1:11" ht="13">
      <c r="A331" s="4" t="s">
        <v>4884</v>
      </c>
      <c r="B331" s="4" t="s">
        <v>4885</v>
      </c>
      <c r="C331" s="4" t="s">
        <v>4886</v>
      </c>
      <c r="D331" s="4" t="e">
        <v>#N/A</v>
      </c>
      <c r="F331" s="4" t="s">
        <v>4887</v>
      </c>
      <c r="G331" s="4" t="s">
        <v>4888</v>
      </c>
      <c r="H331" s="4" t="s">
        <v>4889</v>
      </c>
      <c r="I331" s="4" t="s">
        <v>4890</v>
      </c>
      <c r="J331" s="4" t="s">
        <v>4891</v>
      </c>
      <c r="K331" s="4" t="s">
        <v>4892</v>
      </c>
    </row>
    <row r="332" spans="1:11" ht="13">
      <c r="A332" s="4" t="s">
        <v>4893</v>
      </c>
      <c r="B332" s="4" t="s">
        <v>4894</v>
      </c>
      <c r="C332" s="4" t="s">
        <v>4895</v>
      </c>
      <c r="D332" s="4" t="e">
        <v>#N/A</v>
      </c>
      <c r="F332" s="4" t="s">
        <v>4896</v>
      </c>
      <c r="G332" s="4" t="s">
        <v>4897</v>
      </c>
      <c r="H332" s="4" t="s">
        <v>4898</v>
      </c>
      <c r="I332" s="4" t="s">
        <v>4899</v>
      </c>
      <c r="J332" s="4" t="s">
        <v>4900</v>
      </c>
      <c r="K332" s="4" t="s">
        <v>4901</v>
      </c>
    </row>
    <row r="333" spans="1:11" ht="13">
      <c r="A333" s="4" t="s">
        <v>4902</v>
      </c>
      <c r="B333" s="4" t="e">
        <v>#N/A</v>
      </c>
      <c r="D333" s="4" t="e">
        <v>#N/A</v>
      </c>
      <c r="F333" s="4" t="e">
        <v>#N/A</v>
      </c>
      <c r="H333" s="4" t="s">
        <v>4903</v>
      </c>
      <c r="I333" s="4" t="s">
        <v>4904</v>
      </c>
      <c r="J333" s="4" t="e">
        <v>#N/A</v>
      </c>
    </row>
    <row r="334" spans="1:11" ht="13">
      <c r="A334" s="4" t="s">
        <v>4906</v>
      </c>
      <c r="B334" s="4" t="s">
        <v>4907</v>
      </c>
      <c r="C334" s="4" t="s">
        <v>4908</v>
      </c>
      <c r="D334" s="4" t="s">
        <v>4909</v>
      </c>
      <c r="E334" s="4" t="s">
        <v>4910</v>
      </c>
      <c r="F334" s="4" t="s">
        <v>4911</v>
      </c>
      <c r="G334" s="4" t="s">
        <v>4912</v>
      </c>
      <c r="H334" s="4" t="s">
        <v>4913</v>
      </c>
      <c r="I334" s="4" t="s">
        <v>4914</v>
      </c>
      <c r="J334" s="4" t="s">
        <v>4915</v>
      </c>
      <c r="K334" s="4" t="s">
        <v>4916</v>
      </c>
    </row>
    <row r="335" spans="1:11" ht="13">
      <c r="A335" s="4" t="s">
        <v>4917</v>
      </c>
      <c r="B335" s="4" t="s">
        <v>4918</v>
      </c>
      <c r="C335" s="4" t="s">
        <v>4919</v>
      </c>
      <c r="D335" s="4" t="s">
        <v>4920</v>
      </c>
      <c r="E335" s="4" t="s">
        <v>4921</v>
      </c>
      <c r="F335" s="4" t="s">
        <v>4922</v>
      </c>
      <c r="G335" s="4" t="s">
        <v>4923</v>
      </c>
      <c r="H335" s="4" t="e">
        <v>#N/A</v>
      </c>
      <c r="J335" s="4" t="s">
        <v>4924</v>
      </c>
      <c r="K335" s="4" t="s">
        <v>4925</v>
      </c>
    </row>
    <row r="336" spans="1:11" ht="13">
      <c r="A336" s="4" t="s">
        <v>4926</v>
      </c>
      <c r="B336" s="4" t="s">
        <v>4927</v>
      </c>
      <c r="C336" s="4" t="s">
        <v>4928</v>
      </c>
      <c r="D336" s="4" t="s">
        <v>4929</v>
      </c>
      <c r="E336" s="4" t="s">
        <v>4930</v>
      </c>
      <c r="F336" s="4" t="s">
        <v>4931</v>
      </c>
      <c r="G336" s="4" t="s">
        <v>4932</v>
      </c>
      <c r="H336" s="4" t="s">
        <v>4933</v>
      </c>
      <c r="I336" s="4" t="s">
        <v>4934</v>
      </c>
      <c r="J336" s="4" t="s">
        <v>4935</v>
      </c>
      <c r="K336" s="4" t="s">
        <v>4936</v>
      </c>
    </row>
    <row r="337" spans="1:11" ht="13">
      <c r="A337" s="4" t="s">
        <v>4937</v>
      </c>
      <c r="B337" s="4" t="s">
        <v>4938</v>
      </c>
      <c r="C337" s="4" t="s">
        <v>4939</v>
      </c>
      <c r="D337" s="4" t="s">
        <v>4940</v>
      </c>
      <c r="E337" s="4" t="s">
        <v>4941</v>
      </c>
      <c r="F337" s="4" t="s">
        <v>4942</v>
      </c>
      <c r="G337" s="4" t="s">
        <v>4943</v>
      </c>
      <c r="H337" s="4" t="e">
        <v>#N/A</v>
      </c>
      <c r="J337" s="4" t="s">
        <v>4944</v>
      </c>
      <c r="K337" s="4" t="s">
        <v>4945</v>
      </c>
    </row>
    <row r="338" spans="1:11" ht="13">
      <c r="A338" s="4" t="s">
        <v>4946</v>
      </c>
      <c r="B338" s="4" t="s">
        <v>4947</v>
      </c>
      <c r="C338" s="4" t="s">
        <v>4948</v>
      </c>
      <c r="D338" s="4" t="e">
        <v>#N/A</v>
      </c>
      <c r="F338" s="4" t="s">
        <v>4949</v>
      </c>
      <c r="G338" s="4" t="s">
        <v>4950</v>
      </c>
      <c r="H338" s="4" t="s">
        <v>4951</v>
      </c>
      <c r="I338" s="4" t="s">
        <v>4952</v>
      </c>
      <c r="J338" s="4" t="s">
        <v>4953</v>
      </c>
      <c r="K338" s="4" t="s">
        <v>4954</v>
      </c>
    </row>
    <row r="339" spans="1:11" ht="13">
      <c r="A339" s="4" t="s">
        <v>4955</v>
      </c>
      <c r="B339" s="4" t="s">
        <v>4956</v>
      </c>
      <c r="C339" s="4" t="s">
        <v>4957</v>
      </c>
      <c r="D339" s="4" t="s">
        <v>4958</v>
      </c>
      <c r="E339" s="4" t="s">
        <v>4959</v>
      </c>
      <c r="F339" s="4" t="e">
        <v>#N/A</v>
      </c>
      <c r="H339" s="4" t="s">
        <v>4960</v>
      </c>
      <c r="I339" s="4" t="s">
        <v>4961</v>
      </c>
      <c r="J339" s="4" t="s">
        <v>4962</v>
      </c>
      <c r="K339" s="4" t="s">
        <v>4963</v>
      </c>
    </row>
    <row r="340" spans="1:11" ht="13">
      <c r="A340" s="4" t="s">
        <v>4965</v>
      </c>
      <c r="B340" s="4" t="s">
        <v>4966</v>
      </c>
      <c r="C340" s="4" t="s">
        <v>4967</v>
      </c>
      <c r="D340" s="4" t="e">
        <v>#N/A</v>
      </c>
      <c r="F340" s="4" t="s">
        <v>4968</v>
      </c>
      <c r="G340" s="4" t="s">
        <v>4969</v>
      </c>
      <c r="H340" s="4"/>
      <c r="J340" s="4"/>
    </row>
    <row r="341" spans="1:11" ht="13">
      <c r="A341" s="4" t="s">
        <v>4970</v>
      </c>
      <c r="B341" s="4" t="s">
        <v>4971</v>
      </c>
      <c r="C341" s="4" t="s">
        <v>4972</v>
      </c>
      <c r="D341" s="4" t="s">
        <v>4973</v>
      </c>
      <c r="E341" s="4" t="s">
        <v>4974</v>
      </c>
      <c r="F341" s="4" t="s">
        <v>4975</v>
      </c>
      <c r="G341" s="4" t="s">
        <v>4976</v>
      </c>
      <c r="H341" s="4" t="s">
        <v>4977</v>
      </c>
      <c r="I341" s="4" t="s">
        <v>4978</v>
      </c>
      <c r="J341" s="4" t="s">
        <v>4979</v>
      </c>
      <c r="K341" s="4" t="s">
        <v>4980</v>
      </c>
    </row>
    <row r="342" spans="1:11" ht="13">
      <c r="A342" s="4" t="s">
        <v>4981</v>
      </c>
      <c r="B342" s="4" t="s">
        <v>4982</v>
      </c>
      <c r="C342" s="4" t="s">
        <v>4983</v>
      </c>
      <c r="D342" s="4" t="s">
        <v>4984</v>
      </c>
      <c r="E342" s="4" t="s">
        <v>4985</v>
      </c>
      <c r="F342" s="4" t="s">
        <v>4986</v>
      </c>
      <c r="G342" s="4" t="s">
        <v>4987</v>
      </c>
      <c r="H342" s="4" t="s">
        <v>4988</v>
      </c>
      <c r="I342" s="4" t="s">
        <v>4989</v>
      </c>
      <c r="J342" s="4" t="s">
        <v>4990</v>
      </c>
      <c r="K342" s="4" t="s">
        <v>4991</v>
      </c>
    </row>
    <row r="343" spans="1:11" ht="13">
      <c r="A343" s="4" t="s">
        <v>4992</v>
      </c>
      <c r="B343" s="4" t="s">
        <v>4993</v>
      </c>
      <c r="C343" s="4" t="s">
        <v>4994</v>
      </c>
      <c r="D343" s="4" t="e">
        <v>#N/A</v>
      </c>
      <c r="F343" s="4" t="s">
        <v>4995</v>
      </c>
      <c r="G343" s="4" t="s">
        <v>4996</v>
      </c>
      <c r="H343" s="4" t="s">
        <v>4997</v>
      </c>
      <c r="I343" s="4" t="s">
        <v>4998</v>
      </c>
      <c r="J343" s="4" t="s">
        <v>4999</v>
      </c>
      <c r="K343" s="4" t="s">
        <v>5000</v>
      </c>
    </row>
    <row r="344" spans="1:11" ht="13">
      <c r="A344" s="4" t="s">
        <v>5001</v>
      </c>
      <c r="B344" s="4" t="s">
        <v>5002</v>
      </c>
      <c r="C344" s="4" t="s">
        <v>5003</v>
      </c>
      <c r="D344" s="4" t="s">
        <v>5004</v>
      </c>
      <c r="E344" s="4" t="s">
        <v>5005</v>
      </c>
      <c r="F344" s="4" t="e">
        <v>#N/A</v>
      </c>
      <c r="H344" s="4" t="s">
        <v>5006</v>
      </c>
      <c r="I344" s="4" t="s">
        <v>5008</v>
      </c>
      <c r="J344" s="4" t="e">
        <v>#N/A</v>
      </c>
    </row>
    <row r="345" spans="1:11" ht="13">
      <c r="A345" s="4" t="s">
        <v>5009</v>
      </c>
      <c r="B345" s="4" t="s">
        <v>5010</v>
      </c>
      <c r="C345" s="4" t="s">
        <v>5011</v>
      </c>
      <c r="D345" s="4" t="s">
        <v>5012</v>
      </c>
      <c r="E345" s="4" t="s">
        <v>5013</v>
      </c>
      <c r="F345" s="4" t="s">
        <v>5014</v>
      </c>
      <c r="G345" s="4" t="s">
        <v>5015</v>
      </c>
      <c r="H345" s="4" t="s">
        <v>5016</v>
      </c>
      <c r="I345" s="4" t="s">
        <v>5017</v>
      </c>
      <c r="J345" s="4" t="e">
        <v>#N/A</v>
      </c>
    </row>
    <row r="346" spans="1:11" ht="13">
      <c r="A346" s="4" t="s">
        <v>5018</v>
      </c>
      <c r="B346" s="4" t="s">
        <v>5019</v>
      </c>
      <c r="C346" s="4" t="s">
        <v>5020</v>
      </c>
      <c r="D346" s="4" t="s">
        <v>5021</v>
      </c>
      <c r="E346" s="4" t="s">
        <v>5022</v>
      </c>
      <c r="F346" s="4" t="s">
        <v>5023</v>
      </c>
      <c r="G346" s="4" t="s">
        <v>5024</v>
      </c>
      <c r="H346" s="4" t="e">
        <v>#N/A</v>
      </c>
      <c r="J346" s="4" t="s">
        <v>5025</v>
      </c>
      <c r="K346" s="4" t="s">
        <v>5026</v>
      </c>
    </row>
    <row r="347" spans="1:11" ht="13">
      <c r="A347" s="4" t="s">
        <v>5027</v>
      </c>
      <c r="B347" s="4" t="s">
        <v>5028</v>
      </c>
      <c r="C347" s="4" t="s">
        <v>5029</v>
      </c>
      <c r="D347" s="4" t="s">
        <v>5030</v>
      </c>
      <c r="E347" s="4" t="s">
        <v>5031</v>
      </c>
      <c r="F347" s="4" t="s">
        <v>5032</v>
      </c>
      <c r="G347" s="4" t="s">
        <v>5033</v>
      </c>
      <c r="H347" s="4" t="s">
        <v>5034</v>
      </c>
      <c r="I347" s="4" t="s">
        <v>5035</v>
      </c>
      <c r="J347" s="4" t="e">
        <v>#N/A</v>
      </c>
    </row>
    <row r="348" spans="1:11" ht="13">
      <c r="A348" s="4" t="s">
        <v>5036</v>
      </c>
      <c r="B348" s="4" t="s">
        <v>5037</v>
      </c>
      <c r="C348" s="4" t="s">
        <v>5038</v>
      </c>
      <c r="D348" s="4" t="e">
        <v>#N/A</v>
      </c>
      <c r="F348" s="4" t="s">
        <v>5039</v>
      </c>
      <c r="G348" s="4" t="s">
        <v>5040</v>
      </c>
      <c r="H348" s="4" t="e">
        <v>#N/A</v>
      </c>
      <c r="J348" s="4" t="s">
        <v>5041</v>
      </c>
      <c r="K348" s="4" t="s">
        <v>5042</v>
      </c>
    </row>
    <row r="349" spans="1:11" ht="13">
      <c r="A349" s="4" t="s">
        <v>5043</v>
      </c>
      <c r="B349" s="4" t="s">
        <v>5044</v>
      </c>
      <c r="C349" s="4" t="s">
        <v>5045</v>
      </c>
      <c r="D349" s="4" t="s">
        <v>5046</v>
      </c>
      <c r="E349" s="4" t="s">
        <v>5047</v>
      </c>
      <c r="F349" s="4" t="s">
        <v>5048</v>
      </c>
      <c r="G349" s="4" t="s">
        <v>5049</v>
      </c>
      <c r="H349" s="4" t="s">
        <v>5050</v>
      </c>
      <c r="I349" s="4" t="s">
        <v>5051</v>
      </c>
      <c r="J349" s="4" t="s">
        <v>5052</v>
      </c>
      <c r="K349" s="4" t="s">
        <v>5053</v>
      </c>
    </row>
    <row r="350" spans="1:11" ht="13">
      <c r="A350" s="4" t="s">
        <v>5054</v>
      </c>
      <c r="B350" s="4" t="s">
        <v>5055</v>
      </c>
      <c r="C350" s="4" t="s">
        <v>5056</v>
      </c>
      <c r="D350" s="4" t="s">
        <v>5057</v>
      </c>
      <c r="E350" s="4" t="s">
        <v>5058</v>
      </c>
      <c r="F350" s="4" t="s">
        <v>5059</v>
      </c>
      <c r="G350" s="4" t="s">
        <v>5060</v>
      </c>
      <c r="H350" s="4" t="s">
        <v>5061</v>
      </c>
      <c r="I350" s="4" t="s">
        <v>5062</v>
      </c>
      <c r="J350" s="4" t="s">
        <v>5063</v>
      </c>
      <c r="K350" s="4" t="s">
        <v>5064</v>
      </c>
    </row>
    <row r="351" spans="1:11" ht="13">
      <c r="A351" s="4" t="s">
        <v>5065</v>
      </c>
      <c r="B351" s="4" t="s">
        <v>5066</v>
      </c>
      <c r="C351" s="4" t="s">
        <v>5067</v>
      </c>
      <c r="D351" s="4" t="e">
        <v>#N/A</v>
      </c>
      <c r="F351" s="4" t="s">
        <v>5068</v>
      </c>
      <c r="G351" s="4" t="s">
        <v>5069</v>
      </c>
      <c r="H351" s="4" t="s">
        <v>5070</v>
      </c>
      <c r="I351" s="4" t="s">
        <v>5071</v>
      </c>
      <c r="J351" s="4" t="e">
        <v>#N/A</v>
      </c>
    </row>
    <row r="352" spans="1:11" ht="13">
      <c r="A352" s="4" t="s">
        <v>5073</v>
      </c>
      <c r="B352" s="4" t="s">
        <v>5074</v>
      </c>
      <c r="C352" s="4" t="s">
        <v>5075</v>
      </c>
      <c r="D352" s="4" t="e">
        <v>#N/A</v>
      </c>
      <c r="F352" s="4" t="s">
        <v>5076</v>
      </c>
      <c r="G352" s="4" t="s">
        <v>5077</v>
      </c>
      <c r="H352" s="4" t="e">
        <v>#N/A</v>
      </c>
      <c r="J352" s="4" t="s">
        <v>5078</v>
      </c>
      <c r="K352" s="4" t="s">
        <v>5079</v>
      </c>
    </row>
    <row r="353" spans="1:11" ht="13">
      <c r="A353" s="4" t="s">
        <v>5080</v>
      </c>
      <c r="B353" s="4" t="s">
        <v>5081</v>
      </c>
      <c r="C353" s="4" t="s">
        <v>5082</v>
      </c>
      <c r="D353" s="4" t="s">
        <v>5083</v>
      </c>
      <c r="E353" s="4" t="s">
        <v>5084</v>
      </c>
      <c r="F353" s="4" t="e">
        <v>#N/A</v>
      </c>
      <c r="H353" s="4" t="e">
        <v>#N/A</v>
      </c>
      <c r="J353" s="4" t="s">
        <v>5085</v>
      </c>
      <c r="K353" s="4" t="s">
        <v>5086</v>
      </c>
    </row>
    <row r="354" spans="1:11" ht="13">
      <c r="A354" s="4" t="s">
        <v>5087</v>
      </c>
      <c r="B354" s="4" t="s">
        <v>5088</v>
      </c>
      <c r="C354" s="4" t="s">
        <v>5089</v>
      </c>
      <c r="D354" s="4" t="s">
        <v>5090</v>
      </c>
      <c r="E354" s="4" t="s">
        <v>5091</v>
      </c>
      <c r="F354" s="4" t="s">
        <v>5092</v>
      </c>
      <c r="G354" s="4" t="s">
        <v>5093</v>
      </c>
      <c r="H354" s="4"/>
      <c r="J354" s="4"/>
    </row>
    <row r="355" spans="1:11" ht="13">
      <c r="A355" s="4" t="s">
        <v>5094</v>
      </c>
      <c r="B355" s="4" t="e">
        <v>#N/A</v>
      </c>
      <c r="D355" s="4" t="e">
        <v>#N/A</v>
      </c>
      <c r="F355" s="4" t="e">
        <v>#N/A</v>
      </c>
      <c r="H355" s="4" t="s">
        <v>5095</v>
      </c>
      <c r="I355" s="4" t="s">
        <v>5096</v>
      </c>
      <c r="J355" s="4" t="s">
        <v>5097</v>
      </c>
      <c r="K355" s="4" t="s">
        <v>5098</v>
      </c>
    </row>
    <row r="356" spans="1:11" ht="13">
      <c r="A356" s="4" t="s">
        <v>5099</v>
      </c>
      <c r="B356" s="4" t="s">
        <v>5100</v>
      </c>
      <c r="C356" s="4" t="s">
        <v>5101</v>
      </c>
      <c r="D356" s="4" t="e">
        <v>#N/A</v>
      </c>
      <c r="F356" s="4" t="s">
        <v>5102</v>
      </c>
      <c r="G356" s="4" t="s">
        <v>5103</v>
      </c>
      <c r="H356" s="4" t="s">
        <v>5104</v>
      </c>
      <c r="I356" s="4" t="s">
        <v>5105</v>
      </c>
      <c r="J356" s="4" t="e">
        <v>#N/A</v>
      </c>
    </row>
    <row r="357" spans="1:11" ht="13">
      <c r="A357" s="4" t="s">
        <v>5106</v>
      </c>
      <c r="B357" s="4" t="s">
        <v>5107</v>
      </c>
      <c r="C357" s="4" t="s">
        <v>5108</v>
      </c>
      <c r="D357" s="4" t="s">
        <v>5109</v>
      </c>
      <c r="E357" s="4" t="s">
        <v>5110</v>
      </c>
      <c r="F357" s="4" t="s">
        <v>5111</v>
      </c>
      <c r="G357" s="4" t="s">
        <v>5112</v>
      </c>
      <c r="H357" s="4" t="s">
        <v>5113</v>
      </c>
      <c r="I357" s="4" t="s">
        <v>5114</v>
      </c>
      <c r="J357" s="4" t="e">
        <v>#N/A</v>
      </c>
    </row>
    <row r="358" spans="1:11" ht="13">
      <c r="A358" s="4" t="s">
        <v>5115</v>
      </c>
      <c r="B358" s="4" t="s">
        <v>5116</v>
      </c>
      <c r="C358" s="4" t="s">
        <v>5117</v>
      </c>
      <c r="D358" s="4" t="e">
        <v>#N/A</v>
      </c>
      <c r="F358" s="4" t="s">
        <v>5118</v>
      </c>
      <c r="G358" s="4" t="s">
        <v>5119</v>
      </c>
      <c r="H358" s="4" t="s">
        <v>5120</v>
      </c>
      <c r="I358" s="4" t="s">
        <v>5121</v>
      </c>
      <c r="J358" s="4" t="s">
        <v>5122</v>
      </c>
      <c r="K358" s="4" t="s">
        <v>5123</v>
      </c>
    </row>
    <row r="359" spans="1:11" ht="13">
      <c r="A359" s="4" t="s">
        <v>5125</v>
      </c>
      <c r="B359" s="4" t="e">
        <v>#N/A</v>
      </c>
      <c r="D359" s="4" t="e">
        <v>#N/A</v>
      </c>
      <c r="F359" s="4" t="s">
        <v>5126</v>
      </c>
      <c r="G359" s="4" t="s">
        <v>5127</v>
      </c>
      <c r="H359" s="4" t="e">
        <v>#N/A</v>
      </c>
      <c r="J359" s="4" t="s">
        <v>5128</v>
      </c>
      <c r="K359" s="4" t="s">
        <v>5129</v>
      </c>
    </row>
    <row r="360" spans="1:11" ht="13">
      <c r="A360" s="4" t="s">
        <v>5130</v>
      </c>
      <c r="B360" s="4" t="s">
        <v>5131</v>
      </c>
      <c r="C360" s="4" t="s">
        <v>5132</v>
      </c>
      <c r="D360" s="4" t="e">
        <v>#N/A</v>
      </c>
      <c r="F360" s="4" t="e">
        <v>#N/A</v>
      </c>
      <c r="H360" s="4" t="s">
        <v>5133</v>
      </c>
      <c r="I360" s="4" t="s">
        <v>5134</v>
      </c>
      <c r="J360" s="4" t="e">
        <v>#N/A</v>
      </c>
    </row>
    <row r="361" spans="1:11" ht="13">
      <c r="A361" s="4" t="s">
        <v>5135</v>
      </c>
      <c r="B361" s="4" t="s">
        <v>5136</v>
      </c>
      <c r="C361" s="4" t="s">
        <v>5137</v>
      </c>
      <c r="D361" s="4" t="s">
        <v>5138</v>
      </c>
      <c r="E361" s="4" t="s">
        <v>5139</v>
      </c>
      <c r="F361" s="4" t="e">
        <v>#N/A</v>
      </c>
      <c r="H361" s="4" t="e">
        <v>#N/A</v>
      </c>
      <c r="J361" s="4" t="s">
        <v>5140</v>
      </c>
      <c r="K361" s="4" t="s">
        <v>5141</v>
      </c>
    </row>
    <row r="362" spans="1:11" ht="13">
      <c r="A362" s="4" t="s">
        <v>5142</v>
      </c>
      <c r="B362" s="4" t="s">
        <v>5143</v>
      </c>
      <c r="C362" s="4" t="s">
        <v>5144</v>
      </c>
      <c r="D362" s="4" t="e">
        <v>#N/A</v>
      </c>
      <c r="F362" s="4" t="e">
        <v>#N/A</v>
      </c>
      <c r="H362" s="4" t="s">
        <v>5145</v>
      </c>
      <c r="I362" s="4" t="s">
        <v>5146</v>
      </c>
      <c r="J362" s="4" t="s">
        <v>5147</v>
      </c>
      <c r="K362" s="4" t="s">
        <v>5148</v>
      </c>
    </row>
    <row r="363" spans="1:11" ht="13">
      <c r="A363" s="4" t="s">
        <v>5149</v>
      </c>
      <c r="B363" s="4" t="s">
        <v>5150</v>
      </c>
      <c r="C363" s="4" t="s">
        <v>5151</v>
      </c>
      <c r="D363" s="4" t="s">
        <v>5152</v>
      </c>
      <c r="E363" s="4" t="s">
        <v>5153</v>
      </c>
      <c r="F363" s="4" t="s">
        <v>5154</v>
      </c>
      <c r="G363" s="4" t="s">
        <v>5155</v>
      </c>
      <c r="H363" s="4" t="e">
        <v>#N/A</v>
      </c>
      <c r="J363" s="4" t="s">
        <v>5156</v>
      </c>
      <c r="K363" s="4" t="s">
        <v>5157</v>
      </c>
    </row>
    <row r="364" spans="1:11" ht="13">
      <c r="A364" s="4" t="s">
        <v>5158</v>
      </c>
      <c r="B364" s="4" t="s">
        <v>5159</v>
      </c>
      <c r="C364" s="4" t="s">
        <v>5160</v>
      </c>
      <c r="D364" s="4" t="s">
        <v>5161</v>
      </c>
      <c r="E364" s="4" t="s">
        <v>5162</v>
      </c>
      <c r="F364" s="4" t="e">
        <v>#N/A</v>
      </c>
      <c r="H364" s="4" t="s">
        <v>5163</v>
      </c>
      <c r="I364" s="4" t="s">
        <v>5164</v>
      </c>
      <c r="J364" s="4" t="s">
        <v>5165</v>
      </c>
      <c r="K364" s="4" t="s">
        <v>5167</v>
      </c>
    </row>
    <row r="365" spans="1:11" ht="13">
      <c r="A365" s="4" t="s">
        <v>5168</v>
      </c>
      <c r="B365" s="4" t="e">
        <v>#N/A</v>
      </c>
      <c r="D365" s="4" t="s">
        <v>5169</v>
      </c>
      <c r="E365" s="4" t="s">
        <v>5170</v>
      </c>
      <c r="F365" s="4" t="e">
        <v>#N/A</v>
      </c>
      <c r="H365" s="4" t="s">
        <v>5171</v>
      </c>
      <c r="I365" s="4" t="s">
        <v>5172</v>
      </c>
      <c r="J365" s="4" t="s">
        <v>5173</v>
      </c>
      <c r="K365" s="4" t="s">
        <v>5174</v>
      </c>
    </row>
    <row r="366" spans="1:11" ht="13">
      <c r="A366" s="4" t="s">
        <v>5175</v>
      </c>
      <c r="B366" s="4" t="s">
        <v>5176</v>
      </c>
      <c r="C366" s="4" t="s">
        <v>5177</v>
      </c>
      <c r="D366" s="4" t="s">
        <v>5178</v>
      </c>
      <c r="E366" s="4" t="s">
        <v>5179</v>
      </c>
      <c r="F366" s="4" t="s">
        <v>5180</v>
      </c>
      <c r="G366" s="4" t="s">
        <v>5181</v>
      </c>
      <c r="H366" s="4" t="s">
        <v>5182</v>
      </c>
      <c r="I366" s="4" t="s">
        <v>5183</v>
      </c>
      <c r="J366" s="4" t="s">
        <v>5184</v>
      </c>
      <c r="K366" s="4" t="s">
        <v>5185</v>
      </c>
    </row>
    <row r="367" spans="1:11" ht="13">
      <c r="A367" s="4" t="s">
        <v>5186</v>
      </c>
      <c r="B367" s="4" t="s">
        <v>5187</v>
      </c>
      <c r="C367" s="4" t="s">
        <v>5188</v>
      </c>
      <c r="D367" s="4" t="s">
        <v>5189</v>
      </c>
      <c r="E367" s="4" t="s">
        <v>5190</v>
      </c>
      <c r="F367" s="4" t="s">
        <v>5191</v>
      </c>
      <c r="G367" s="4" t="s">
        <v>5192</v>
      </c>
      <c r="H367" s="4" t="s">
        <v>5193</v>
      </c>
      <c r="I367" s="4" t="s">
        <v>5194</v>
      </c>
      <c r="J367" s="4" t="s">
        <v>5195</v>
      </c>
      <c r="K367" s="4" t="s">
        <v>5196</v>
      </c>
    </row>
    <row r="368" spans="1:11" ht="13">
      <c r="A368" s="4" t="s">
        <v>5197</v>
      </c>
      <c r="B368" s="4" t="s">
        <v>5198</v>
      </c>
      <c r="C368" s="4" t="s">
        <v>5199</v>
      </c>
      <c r="D368" s="4" t="s">
        <v>5200</v>
      </c>
      <c r="E368" s="4" t="s">
        <v>5201</v>
      </c>
      <c r="F368" s="4" t="e">
        <v>#N/A</v>
      </c>
      <c r="H368" s="4" t="s">
        <v>5202</v>
      </c>
      <c r="I368" s="4" t="s">
        <v>5203</v>
      </c>
      <c r="J368" s="4" t="s">
        <v>5204</v>
      </c>
      <c r="K368" s="4" t="s">
        <v>5205</v>
      </c>
    </row>
    <row r="369" spans="1:11" ht="13">
      <c r="A369" s="4" t="s">
        <v>5206</v>
      </c>
      <c r="B369" s="4" t="s">
        <v>5207</v>
      </c>
      <c r="C369" s="4" t="s">
        <v>5208</v>
      </c>
      <c r="D369" s="4" t="s">
        <v>5209</v>
      </c>
      <c r="E369" s="4" t="s">
        <v>5210</v>
      </c>
      <c r="F369" s="4" t="s">
        <v>5211</v>
      </c>
      <c r="G369" s="4" t="s">
        <v>5212</v>
      </c>
      <c r="H369" s="4" t="s">
        <v>5214</v>
      </c>
      <c r="I369" s="4" t="s">
        <v>5215</v>
      </c>
      <c r="J369" s="4" t="s">
        <v>5216</v>
      </c>
      <c r="K369" s="4" t="s">
        <v>5217</v>
      </c>
    </row>
    <row r="370" spans="1:11" ht="13">
      <c r="A370" s="4" t="s">
        <v>5218</v>
      </c>
      <c r="B370" s="4" t="s">
        <v>5219</v>
      </c>
      <c r="C370" s="4" t="s">
        <v>5220</v>
      </c>
      <c r="D370" s="4" t="e">
        <v>#N/A</v>
      </c>
      <c r="F370" s="4" t="s">
        <v>5221</v>
      </c>
      <c r="G370" s="4" t="s">
        <v>5222</v>
      </c>
      <c r="H370" s="4" t="e">
        <v>#N/A</v>
      </c>
      <c r="J370" s="4" t="e">
        <v>#N/A</v>
      </c>
    </row>
    <row r="371" spans="1:11" ht="13">
      <c r="A371" s="4" t="s">
        <v>5223</v>
      </c>
      <c r="B371" s="4" t="s">
        <v>5224</v>
      </c>
      <c r="C371" s="4" t="s">
        <v>5225</v>
      </c>
      <c r="D371" s="4" t="s">
        <v>5226</v>
      </c>
      <c r="E371" s="4" t="s">
        <v>5227</v>
      </c>
      <c r="F371" s="4" t="s">
        <v>5228</v>
      </c>
      <c r="G371" s="4" t="s">
        <v>5229</v>
      </c>
      <c r="H371" s="4" t="e">
        <v>#N/A</v>
      </c>
      <c r="J371" s="4" t="s">
        <v>5230</v>
      </c>
      <c r="K371" s="4" t="s">
        <v>5231</v>
      </c>
    </row>
    <row r="372" spans="1:11" ht="13">
      <c r="A372" s="4" t="s">
        <v>5232</v>
      </c>
      <c r="B372" s="4" t="s">
        <v>5233</v>
      </c>
      <c r="C372" s="4" t="s">
        <v>5234</v>
      </c>
      <c r="D372" s="4" t="e">
        <v>#N/A</v>
      </c>
      <c r="F372" s="4" t="s">
        <v>5235</v>
      </c>
      <c r="G372" s="4" t="s">
        <v>5236</v>
      </c>
      <c r="H372" s="4" t="s">
        <v>5237</v>
      </c>
      <c r="I372" s="4" t="s">
        <v>5238</v>
      </c>
      <c r="J372" s="4" t="s">
        <v>5239</v>
      </c>
      <c r="K372" s="4" t="s">
        <v>5240</v>
      </c>
    </row>
    <row r="373" spans="1:11" ht="13">
      <c r="A373" s="4" t="s">
        <v>5241</v>
      </c>
      <c r="B373" s="4" t="e">
        <v>#N/A</v>
      </c>
      <c r="D373" s="4" t="s">
        <v>5242</v>
      </c>
      <c r="E373" s="4" t="s">
        <v>5243</v>
      </c>
      <c r="F373" s="4" t="e">
        <v>#N/A</v>
      </c>
      <c r="H373" s="4" t="e">
        <v>#N/A</v>
      </c>
      <c r="J373" s="4" t="s">
        <v>5244</v>
      </c>
      <c r="K373" s="4" t="s">
        <v>5245</v>
      </c>
    </row>
    <row r="374" spans="1:11" ht="13">
      <c r="A374" s="4" t="s">
        <v>5246</v>
      </c>
      <c r="B374" s="4" t="s">
        <v>5247</v>
      </c>
      <c r="C374" s="4" t="s">
        <v>5248</v>
      </c>
      <c r="D374" s="4" t="s">
        <v>5249</v>
      </c>
      <c r="E374" s="4" t="s">
        <v>5250</v>
      </c>
      <c r="F374" s="4" t="s">
        <v>5251</v>
      </c>
      <c r="G374" s="4" t="s">
        <v>5252</v>
      </c>
      <c r="H374" s="4" t="s">
        <v>5253</v>
      </c>
      <c r="I374" s="4" t="s">
        <v>5254</v>
      </c>
      <c r="J374" s="4" t="s">
        <v>5255</v>
      </c>
      <c r="K374" s="4" t="s">
        <v>5256</v>
      </c>
    </row>
    <row r="375" spans="1:11" ht="13">
      <c r="A375" s="4" t="s">
        <v>5257</v>
      </c>
      <c r="B375" s="4" t="s">
        <v>5258</v>
      </c>
      <c r="C375" s="4" t="s">
        <v>5259</v>
      </c>
      <c r="D375" s="4" t="e">
        <v>#N/A</v>
      </c>
      <c r="F375" s="4" t="s">
        <v>5260</v>
      </c>
      <c r="G375" s="4" t="s">
        <v>5261</v>
      </c>
      <c r="H375" s="4" t="s">
        <v>5262</v>
      </c>
      <c r="I375" s="4" t="s">
        <v>5263</v>
      </c>
      <c r="J375" s="4" t="s">
        <v>5264</v>
      </c>
      <c r="K375" s="4" t="s">
        <v>5266</v>
      </c>
    </row>
    <row r="376" spans="1:11" ht="13">
      <c r="A376" s="4" t="s">
        <v>5267</v>
      </c>
      <c r="B376" s="4" t="s">
        <v>5268</v>
      </c>
      <c r="C376" s="4" t="s">
        <v>135</v>
      </c>
      <c r="D376" s="4" t="s">
        <v>5269</v>
      </c>
      <c r="E376" s="4" t="s">
        <v>5270</v>
      </c>
      <c r="F376" s="4" t="e">
        <v>#N/A</v>
      </c>
      <c r="H376" s="4" t="s">
        <v>5271</v>
      </c>
      <c r="I376" s="4" t="s">
        <v>5272</v>
      </c>
      <c r="J376" s="4" t="s">
        <v>5273</v>
      </c>
      <c r="K376" s="4" t="s">
        <v>5274</v>
      </c>
    </row>
    <row r="377" spans="1:11" ht="13">
      <c r="A377" s="4" t="s">
        <v>5275</v>
      </c>
      <c r="B377" s="4" t="s">
        <v>5276</v>
      </c>
      <c r="C377" s="4" t="s">
        <v>5277</v>
      </c>
      <c r="D377" s="4" t="s">
        <v>5278</v>
      </c>
      <c r="E377" s="4" t="s">
        <v>5279</v>
      </c>
      <c r="F377" s="4" t="s">
        <v>5280</v>
      </c>
      <c r="G377" s="4" t="s">
        <v>5281</v>
      </c>
      <c r="H377" s="4" t="e">
        <v>#N/A</v>
      </c>
      <c r="J377" s="4" t="s">
        <v>5282</v>
      </c>
      <c r="K377" s="4" t="s">
        <v>5283</v>
      </c>
    </row>
    <row r="378" spans="1:11" ht="13">
      <c r="A378" s="4" t="s">
        <v>5284</v>
      </c>
      <c r="B378" s="4" t="s">
        <v>5285</v>
      </c>
      <c r="C378" s="4" t="s">
        <v>5286</v>
      </c>
      <c r="D378" s="4" t="s">
        <v>5287</v>
      </c>
      <c r="E378" s="4" t="s">
        <v>5288</v>
      </c>
      <c r="F378" s="4" t="s">
        <v>5289</v>
      </c>
      <c r="G378" s="4" t="s">
        <v>5290</v>
      </c>
      <c r="H378" s="4" t="s">
        <v>5291</v>
      </c>
      <c r="I378" s="4" t="s">
        <v>5292</v>
      </c>
      <c r="J378" s="4" t="s">
        <v>5293</v>
      </c>
      <c r="K378" s="4" t="s">
        <v>5294</v>
      </c>
    </row>
    <row r="379" spans="1:11" ht="13">
      <c r="A379" s="4" t="s">
        <v>5295</v>
      </c>
      <c r="B379" s="4" t="s">
        <v>5296</v>
      </c>
      <c r="C379" s="4" t="s">
        <v>5297</v>
      </c>
      <c r="D379" s="4" t="e">
        <v>#N/A</v>
      </c>
      <c r="F379" s="4" t="s">
        <v>5298</v>
      </c>
      <c r="G379" s="4" t="s">
        <v>5299</v>
      </c>
      <c r="H379" s="4" t="e">
        <v>#N/A</v>
      </c>
      <c r="J379" s="4" t="s">
        <v>5300</v>
      </c>
      <c r="K379" s="4" t="s">
        <v>5301</v>
      </c>
    </row>
    <row r="380" spans="1:11" ht="13">
      <c r="A380" s="4" t="s">
        <v>5302</v>
      </c>
      <c r="B380" s="4" t="e">
        <v>#N/A</v>
      </c>
      <c r="D380" s="4" t="s">
        <v>5303</v>
      </c>
      <c r="E380" s="4" t="s">
        <v>5304</v>
      </c>
      <c r="F380" s="4" t="s">
        <v>5305</v>
      </c>
      <c r="G380" s="4" t="s">
        <v>5306</v>
      </c>
      <c r="H380" s="4" t="s">
        <v>5307</v>
      </c>
      <c r="I380" s="4" t="s">
        <v>5309</v>
      </c>
      <c r="J380" s="4" t="e">
        <v>#N/A</v>
      </c>
    </row>
    <row r="381" spans="1:11" ht="13">
      <c r="A381" s="4" t="s">
        <v>5310</v>
      </c>
      <c r="B381" s="4" t="s">
        <v>5311</v>
      </c>
      <c r="C381" s="4" t="s">
        <v>5312</v>
      </c>
      <c r="D381" s="4" t="e">
        <v>#N/A</v>
      </c>
      <c r="F381" s="4" t="s">
        <v>5313</v>
      </c>
      <c r="G381" s="4" t="s">
        <v>5314</v>
      </c>
      <c r="H381" s="4" t="s">
        <v>5315</v>
      </c>
      <c r="I381" s="4" t="s">
        <v>5316</v>
      </c>
      <c r="J381" s="4" t="e">
        <v>#N/A</v>
      </c>
    </row>
    <row r="382" spans="1:11" ht="13">
      <c r="A382" s="4" t="s">
        <v>5317</v>
      </c>
      <c r="B382" s="4" t="s">
        <v>5318</v>
      </c>
      <c r="C382" s="4" t="s">
        <v>5319</v>
      </c>
      <c r="D382" s="4" t="s">
        <v>5320</v>
      </c>
      <c r="E382" s="4" t="s">
        <v>5321</v>
      </c>
      <c r="F382" s="4" t="s">
        <v>5322</v>
      </c>
      <c r="G382" s="4" t="s">
        <v>5323</v>
      </c>
      <c r="H382" s="4" t="s">
        <v>5324</v>
      </c>
      <c r="I382" s="4" t="s">
        <v>5325</v>
      </c>
      <c r="J382" s="4" t="s">
        <v>5326</v>
      </c>
      <c r="K382" s="4" t="s">
        <v>5327</v>
      </c>
    </row>
    <row r="383" spans="1:11" ht="13">
      <c r="A383" s="4" t="s">
        <v>5328</v>
      </c>
      <c r="B383" s="4" t="s">
        <v>5329</v>
      </c>
      <c r="C383" s="4" t="s">
        <v>5330</v>
      </c>
      <c r="D383" s="4" t="s">
        <v>5331</v>
      </c>
      <c r="E383" s="4" t="s">
        <v>5332</v>
      </c>
      <c r="F383" s="4" t="e">
        <v>#N/A</v>
      </c>
      <c r="H383" s="4" t="e">
        <v>#N/A</v>
      </c>
      <c r="J383" s="4" t="s">
        <v>5333</v>
      </c>
      <c r="K383" s="4" t="s">
        <v>5334</v>
      </c>
    </row>
    <row r="384" spans="1:11" ht="13">
      <c r="A384" s="4" t="s">
        <v>5335</v>
      </c>
      <c r="B384" s="4" t="s">
        <v>5336</v>
      </c>
      <c r="C384" s="4" t="s">
        <v>5337</v>
      </c>
      <c r="D384" s="4" t="s">
        <v>5338</v>
      </c>
      <c r="E384" s="4" t="s">
        <v>5339</v>
      </c>
      <c r="F384" s="4" t="s">
        <v>5340</v>
      </c>
      <c r="G384" s="4" t="s">
        <v>5341</v>
      </c>
      <c r="H384" s="4" t="e">
        <v>#N/A</v>
      </c>
      <c r="J384" s="4" t="s">
        <v>5342</v>
      </c>
      <c r="K384" s="4" t="s">
        <v>5343</v>
      </c>
    </row>
    <row r="385" spans="1:11" ht="13">
      <c r="A385" s="4" t="s">
        <v>5344</v>
      </c>
      <c r="B385" s="4" t="e">
        <v>#N/A</v>
      </c>
      <c r="D385" s="4" t="s">
        <v>5345</v>
      </c>
      <c r="E385" s="4" t="s">
        <v>5346</v>
      </c>
      <c r="F385" s="4" t="s">
        <v>5347</v>
      </c>
      <c r="G385" s="4" t="s">
        <v>5348</v>
      </c>
      <c r="H385" s="4" t="s">
        <v>5349</v>
      </c>
      <c r="I385" s="4" t="s">
        <v>5351</v>
      </c>
      <c r="J385" s="4" t="s">
        <v>5352</v>
      </c>
      <c r="K385" s="4" t="s">
        <v>5353</v>
      </c>
    </row>
    <row r="386" spans="1:11" ht="13">
      <c r="A386" s="4" t="s">
        <v>5354</v>
      </c>
      <c r="B386" s="4" t="s">
        <v>5355</v>
      </c>
      <c r="C386" s="4" t="s">
        <v>5356</v>
      </c>
      <c r="D386" s="4" t="s">
        <v>5357</v>
      </c>
      <c r="E386" s="4" t="s">
        <v>5358</v>
      </c>
      <c r="F386" s="4" t="s">
        <v>5359</v>
      </c>
      <c r="G386" s="4" t="s">
        <v>5360</v>
      </c>
      <c r="H386" s="4" t="e">
        <v>#N/A</v>
      </c>
      <c r="J386" s="4" t="s">
        <v>5361</v>
      </c>
      <c r="K386" s="4" t="s">
        <v>5362</v>
      </c>
    </row>
    <row r="387" spans="1:11" ht="13">
      <c r="A387" s="4" t="s">
        <v>5363</v>
      </c>
      <c r="B387" s="4" t="e">
        <v>#N/A</v>
      </c>
      <c r="D387" s="4" t="s">
        <v>5364</v>
      </c>
      <c r="E387" s="4" t="s">
        <v>5365</v>
      </c>
      <c r="F387" s="4" t="e">
        <v>#N/A</v>
      </c>
      <c r="H387" s="4" t="s">
        <v>5366</v>
      </c>
      <c r="I387" s="4" t="s">
        <v>5367</v>
      </c>
      <c r="J387" s="4"/>
    </row>
    <row r="388" spans="1:11" ht="13">
      <c r="A388" s="4" t="s">
        <v>5368</v>
      </c>
      <c r="B388" s="4" t="s">
        <v>5369</v>
      </c>
      <c r="C388" s="4" t="s">
        <v>5370</v>
      </c>
      <c r="D388" s="4" t="s">
        <v>5371</v>
      </c>
      <c r="E388" s="4" t="s">
        <v>5372</v>
      </c>
      <c r="F388" s="4" t="s">
        <v>5373</v>
      </c>
      <c r="G388" s="4" t="s">
        <v>5374</v>
      </c>
      <c r="H388" s="4" t="s">
        <v>5375</v>
      </c>
      <c r="I388" s="4" t="s">
        <v>5376</v>
      </c>
      <c r="J388" s="4" t="s">
        <v>5377</v>
      </c>
      <c r="K388" s="4" t="s">
        <v>5378</v>
      </c>
    </row>
    <row r="389" spans="1:11" ht="13">
      <c r="A389" s="4" t="s">
        <v>5379</v>
      </c>
      <c r="B389" s="4" t="e">
        <v>#N/A</v>
      </c>
      <c r="D389" s="4" t="s">
        <v>5380</v>
      </c>
      <c r="E389" s="4" t="s">
        <v>5381</v>
      </c>
      <c r="F389" s="4" t="e">
        <v>#N/A</v>
      </c>
      <c r="H389" s="4" t="e">
        <v>#N/A</v>
      </c>
      <c r="J389" s="4" t="s">
        <v>5382</v>
      </c>
      <c r="K389" s="4" t="s">
        <v>5383</v>
      </c>
    </row>
    <row r="390" spans="1:11" ht="13">
      <c r="A390" s="4" t="s">
        <v>5384</v>
      </c>
      <c r="B390" s="4" t="s">
        <v>5385</v>
      </c>
      <c r="C390" s="4" t="s">
        <v>5386</v>
      </c>
      <c r="D390" s="4" t="s">
        <v>5387</v>
      </c>
      <c r="E390" s="4" t="s">
        <v>5388</v>
      </c>
      <c r="F390" s="4" t="s">
        <v>5389</v>
      </c>
      <c r="G390" s="4" t="s">
        <v>5390</v>
      </c>
      <c r="H390" s="4" t="s">
        <v>5391</v>
      </c>
      <c r="I390" s="4" t="s">
        <v>5392</v>
      </c>
      <c r="J390" s="4" t="s">
        <v>5393</v>
      </c>
      <c r="K390" s="4" t="s">
        <v>5394</v>
      </c>
    </row>
    <row r="391" spans="1:11" ht="13">
      <c r="A391" s="4" t="s">
        <v>5395</v>
      </c>
      <c r="B391" s="4" t="s">
        <v>5396</v>
      </c>
      <c r="C391" s="4" t="s">
        <v>5397</v>
      </c>
      <c r="D391" s="4" t="s">
        <v>5398</v>
      </c>
      <c r="E391" s="4" t="s">
        <v>5399</v>
      </c>
      <c r="F391" s="4" t="e">
        <v>#N/A</v>
      </c>
      <c r="H391" s="4" t="s">
        <v>5401</v>
      </c>
      <c r="I391" s="4" t="s">
        <v>5402</v>
      </c>
      <c r="J391" s="4" t="e">
        <v>#N/A</v>
      </c>
    </row>
    <row r="392" spans="1:11" ht="13">
      <c r="A392" s="4" t="s">
        <v>5403</v>
      </c>
      <c r="B392" s="4" t="s">
        <v>5404</v>
      </c>
      <c r="C392" s="4" t="s">
        <v>5405</v>
      </c>
      <c r="D392" s="4" t="s">
        <v>5406</v>
      </c>
      <c r="E392" s="4" t="s">
        <v>5407</v>
      </c>
      <c r="F392" s="4" t="s">
        <v>5408</v>
      </c>
      <c r="G392" s="4" t="s">
        <v>5409</v>
      </c>
      <c r="H392" s="4" t="s">
        <v>5410</v>
      </c>
      <c r="I392" s="4" t="s">
        <v>5411</v>
      </c>
      <c r="J392" s="4" t="s">
        <v>5412</v>
      </c>
      <c r="K392" s="4" t="s">
        <v>5413</v>
      </c>
    </row>
    <row r="393" spans="1:11" ht="13">
      <c r="A393" s="4" t="s">
        <v>5414</v>
      </c>
      <c r="B393" s="4" t="s">
        <v>5415</v>
      </c>
      <c r="C393" s="4" t="s">
        <v>5416</v>
      </c>
      <c r="D393" s="4"/>
      <c r="F393" s="4"/>
      <c r="H393" s="4"/>
      <c r="J393" s="4"/>
    </row>
    <row r="394" spans="1:11" ht="13">
      <c r="A394" s="4" t="s">
        <v>5417</v>
      </c>
      <c r="B394" s="4" t="e">
        <v>#N/A</v>
      </c>
      <c r="D394" s="4" t="e">
        <v>#N/A</v>
      </c>
      <c r="F394" s="4" t="s">
        <v>5418</v>
      </c>
      <c r="G394" s="4" t="s">
        <v>5419</v>
      </c>
      <c r="H394" s="4" t="s">
        <v>5420</v>
      </c>
      <c r="I394" s="4" t="s">
        <v>5421</v>
      </c>
      <c r="J394" s="4" t="s">
        <v>5422</v>
      </c>
      <c r="K394" s="4" t="s">
        <v>5423</v>
      </c>
    </row>
    <row r="395" spans="1:11" ht="13">
      <c r="A395" s="4" t="s">
        <v>5424</v>
      </c>
      <c r="B395" s="4" t="s">
        <v>5425</v>
      </c>
      <c r="C395" s="4" t="s">
        <v>5426</v>
      </c>
      <c r="D395" s="4" t="s">
        <v>5427</v>
      </c>
      <c r="E395" s="4" t="s">
        <v>5428</v>
      </c>
      <c r="F395" s="4" t="s">
        <v>5429</v>
      </c>
      <c r="G395" s="4" t="s">
        <v>5430</v>
      </c>
      <c r="H395" s="4" t="s">
        <v>5431</v>
      </c>
      <c r="I395" s="4" t="s">
        <v>5432</v>
      </c>
      <c r="J395" s="4" t="s">
        <v>5433</v>
      </c>
      <c r="K395" s="4" t="s">
        <v>5434</v>
      </c>
    </row>
    <row r="396" spans="1:11" ht="13">
      <c r="A396" s="4" t="s">
        <v>5435</v>
      </c>
      <c r="B396" s="4" t="s">
        <v>5436</v>
      </c>
      <c r="C396" s="4" t="s">
        <v>5437</v>
      </c>
      <c r="D396" s="4" t="e">
        <v>#N/A</v>
      </c>
      <c r="F396" s="4" t="e">
        <v>#N/A</v>
      </c>
      <c r="H396" s="4" t="s">
        <v>5438</v>
      </c>
      <c r="I396" s="4" t="s">
        <v>5439</v>
      </c>
      <c r="J396" s="4" t="s">
        <v>5440</v>
      </c>
      <c r="K396" s="4" t="s">
        <v>5442</v>
      </c>
    </row>
    <row r="397" spans="1:11" ht="13">
      <c r="A397" s="4" t="s">
        <v>5443</v>
      </c>
      <c r="B397" s="4" t="s">
        <v>5444</v>
      </c>
      <c r="C397" s="4" t="s">
        <v>5445</v>
      </c>
      <c r="D397" s="4" t="e">
        <v>#N/A</v>
      </c>
      <c r="F397" s="4" t="s">
        <v>5446</v>
      </c>
      <c r="G397" s="4" t="s">
        <v>5447</v>
      </c>
      <c r="H397" s="4" t="s">
        <v>5448</v>
      </c>
      <c r="I397" s="4" t="s">
        <v>5449</v>
      </c>
      <c r="J397" s="4" t="e">
        <v>#N/A</v>
      </c>
    </row>
    <row r="398" spans="1:11" ht="13">
      <c r="A398" s="4" t="s">
        <v>5450</v>
      </c>
      <c r="B398" s="4" t="s">
        <v>5451</v>
      </c>
      <c r="C398" s="4" t="s">
        <v>5452</v>
      </c>
      <c r="D398" s="4" t="s">
        <v>5453</v>
      </c>
      <c r="E398" s="4" t="s">
        <v>5454</v>
      </c>
      <c r="F398" s="4" t="s">
        <v>5455</v>
      </c>
      <c r="G398" s="4" t="s">
        <v>5456</v>
      </c>
      <c r="H398" s="4" t="s">
        <v>5457</v>
      </c>
      <c r="I398" s="4" t="s">
        <v>5458</v>
      </c>
      <c r="J398" s="4" t="s">
        <v>5459</v>
      </c>
      <c r="K398" s="4" t="s">
        <v>5460</v>
      </c>
    </row>
    <row r="399" spans="1:11" ht="13">
      <c r="A399" s="4" t="s">
        <v>5461</v>
      </c>
      <c r="B399" s="4" t="s">
        <v>5462</v>
      </c>
      <c r="C399" s="4" t="s">
        <v>5463</v>
      </c>
      <c r="D399" s="4" t="e">
        <v>#N/A</v>
      </c>
      <c r="F399" s="4" t="s">
        <v>5464</v>
      </c>
      <c r="G399" s="4" t="s">
        <v>5465</v>
      </c>
      <c r="H399" s="4" t="e">
        <v>#N/A</v>
      </c>
      <c r="J399" s="4" t="s">
        <v>5466</v>
      </c>
      <c r="K399" s="4" t="s">
        <v>5467</v>
      </c>
    </row>
    <row r="400" spans="1:11" ht="13">
      <c r="A400" s="4" t="s">
        <v>5468</v>
      </c>
      <c r="B400" s="4" t="s">
        <v>5469</v>
      </c>
      <c r="C400" s="4" t="s">
        <v>5470</v>
      </c>
      <c r="D400" s="4" t="s">
        <v>5471</v>
      </c>
      <c r="E400" s="4" t="s">
        <v>5472</v>
      </c>
      <c r="F400" s="4" t="s">
        <v>5473</v>
      </c>
      <c r="G400" s="4" t="s">
        <v>5474</v>
      </c>
      <c r="H400" s="4" t="s">
        <v>5475</v>
      </c>
      <c r="I400" s="4" t="s">
        <v>5476</v>
      </c>
      <c r="J400" s="4" t="s">
        <v>5477</v>
      </c>
      <c r="K400" s="4" t="s">
        <v>5478</v>
      </c>
    </row>
    <row r="401" spans="1:11" ht="13">
      <c r="A401" s="4" t="s">
        <v>5479</v>
      </c>
      <c r="B401" s="4" t="s">
        <v>5480</v>
      </c>
      <c r="C401" s="4" t="s">
        <v>5481</v>
      </c>
      <c r="D401" s="4" t="s">
        <v>5482</v>
      </c>
      <c r="E401" s="4" t="s">
        <v>5483</v>
      </c>
      <c r="F401" s="4" t="s">
        <v>5484</v>
      </c>
      <c r="G401" s="4" t="s">
        <v>5485</v>
      </c>
      <c r="H401" s="4" t="s">
        <v>5486</v>
      </c>
      <c r="I401" s="4" t="s">
        <v>5487</v>
      </c>
      <c r="J401" s="4" t="s">
        <v>5488</v>
      </c>
      <c r="K401" s="4" t="s">
        <v>5490</v>
      </c>
    </row>
    <row r="402" spans="1:11" ht="13">
      <c r="A402" s="4" t="s">
        <v>5491</v>
      </c>
      <c r="B402" s="4" t="s">
        <v>5492</v>
      </c>
      <c r="C402" s="4" t="s">
        <v>5493</v>
      </c>
      <c r="D402" s="4" t="s">
        <v>5494</v>
      </c>
      <c r="E402" s="4" t="s">
        <v>5495</v>
      </c>
      <c r="F402" s="4" t="e">
        <v>#N/A</v>
      </c>
      <c r="H402" s="4" t="e">
        <v>#N/A</v>
      </c>
      <c r="J402" s="4" t="s">
        <v>5496</v>
      </c>
      <c r="K402" s="4" t="s">
        <v>5497</v>
      </c>
    </row>
    <row r="403" spans="1:11" ht="13">
      <c r="A403" s="4" t="s">
        <v>5498</v>
      </c>
      <c r="B403" s="4" t="e">
        <v>#N/A</v>
      </c>
      <c r="D403" s="4" t="s">
        <v>5499</v>
      </c>
      <c r="E403" s="4" t="s">
        <v>5500</v>
      </c>
      <c r="F403" s="4"/>
      <c r="H403" s="4"/>
      <c r="J403" s="4" t="s">
        <v>5501</v>
      </c>
      <c r="K403" s="4" t="s">
        <v>5502</v>
      </c>
    </row>
    <row r="404" spans="1:11" ht="13">
      <c r="A404" s="4" t="s">
        <v>5503</v>
      </c>
      <c r="B404" s="4" t="s">
        <v>5504</v>
      </c>
      <c r="C404" s="4" t="s">
        <v>5505</v>
      </c>
      <c r="D404" s="4" t="e">
        <v>#N/A</v>
      </c>
      <c r="F404" s="4" t="s">
        <v>5506</v>
      </c>
      <c r="G404" s="4" t="s">
        <v>5507</v>
      </c>
      <c r="H404" s="4" t="s">
        <v>5508</v>
      </c>
      <c r="I404" s="4" t="s">
        <v>5509</v>
      </c>
      <c r="J404" s="4" t="s">
        <v>5510</v>
      </c>
      <c r="K404" s="4" t="s">
        <v>5511</v>
      </c>
    </row>
    <row r="405" spans="1:11" ht="13">
      <c r="A405" s="4" t="s">
        <v>5512</v>
      </c>
      <c r="B405" s="4" t="s">
        <v>5513</v>
      </c>
      <c r="C405" s="4" t="s">
        <v>5514</v>
      </c>
      <c r="D405" s="4" t="e">
        <v>#N/A</v>
      </c>
      <c r="F405" s="4" t="s">
        <v>5515</v>
      </c>
      <c r="G405" s="4" t="s">
        <v>5516</v>
      </c>
      <c r="H405" s="4" t="s">
        <v>5517</v>
      </c>
      <c r="I405" s="4" t="s">
        <v>5518</v>
      </c>
      <c r="J405" s="4"/>
    </row>
    <row r="406" spans="1:11" ht="13">
      <c r="A406" s="4" t="s">
        <v>5519</v>
      </c>
      <c r="B406" s="4" t="s">
        <v>5520</v>
      </c>
      <c r="C406" s="4" t="s">
        <v>5521</v>
      </c>
      <c r="D406" s="4" t="s">
        <v>5522</v>
      </c>
      <c r="E406" s="4" t="s">
        <v>5523</v>
      </c>
      <c r="F406" s="4" t="s">
        <v>5524</v>
      </c>
      <c r="G406" s="4" t="s">
        <v>5525</v>
      </c>
      <c r="H406" s="4" t="s">
        <v>5526</v>
      </c>
      <c r="I406" s="4" t="s">
        <v>5527</v>
      </c>
      <c r="J406" s="4" t="s">
        <v>5528</v>
      </c>
      <c r="K406" s="4" t="s">
        <v>5529</v>
      </c>
    </row>
    <row r="407" spans="1:11" ht="13">
      <c r="A407" s="4" t="s">
        <v>5530</v>
      </c>
      <c r="B407" s="4" t="e">
        <v>#N/A</v>
      </c>
      <c r="D407" s="4" t="s">
        <v>5531</v>
      </c>
      <c r="E407" s="4" t="s">
        <v>5532</v>
      </c>
      <c r="F407" s="4" t="e">
        <v>#N/A</v>
      </c>
      <c r="H407" s="4" t="s">
        <v>5533</v>
      </c>
      <c r="I407" s="4" t="s">
        <v>5534</v>
      </c>
      <c r="J407" s="4" t="s">
        <v>5535</v>
      </c>
      <c r="K407" s="4" t="s">
        <v>5536</v>
      </c>
    </row>
    <row r="408" spans="1:11" ht="13">
      <c r="A408" s="4" t="s">
        <v>5537</v>
      </c>
      <c r="B408" s="4" t="s">
        <v>5538</v>
      </c>
      <c r="C408" s="4" t="s">
        <v>5539</v>
      </c>
      <c r="D408" s="4" t="e">
        <v>#N/A</v>
      </c>
      <c r="F408" s="4" t="s">
        <v>5541</v>
      </c>
      <c r="G408" s="4" t="s">
        <v>5542</v>
      </c>
      <c r="H408" s="4" t="s">
        <v>5543</v>
      </c>
      <c r="I408" s="4" t="s">
        <v>5544</v>
      </c>
      <c r="J408" s="4" t="e">
        <v>#N/A</v>
      </c>
    </row>
    <row r="409" spans="1:11" ht="13">
      <c r="A409" s="4" t="s">
        <v>5545</v>
      </c>
      <c r="B409" s="4" t="e">
        <v>#N/A</v>
      </c>
      <c r="D409" s="4" t="s">
        <v>5546</v>
      </c>
      <c r="E409" s="4" t="s">
        <v>5547</v>
      </c>
      <c r="F409" s="4" t="s">
        <v>5548</v>
      </c>
      <c r="G409" s="4" t="s">
        <v>5549</v>
      </c>
      <c r="H409" s="4" t="e">
        <v>#N/A</v>
      </c>
      <c r="J409" s="4" t="s">
        <v>5550</v>
      </c>
      <c r="K409" s="4" t="s">
        <v>5551</v>
      </c>
    </row>
    <row r="410" spans="1:11" ht="13">
      <c r="A410" s="4" t="s">
        <v>5552</v>
      </c>
      <c r="B410" s="4" t="s">
        <v>5553</v>
      </c>
      <c r="C410" s="4" t="s">
        <v>5554</v>
      </c>
      <c r="D410" s="4" t="s">
        <v>5555</v>
      </c>
      <c r="E410" s="4" t="s">
        <v>5556</v>
      </c>
      <c r="F410" s="4" t="s">
        <v>5557</v>
      </c>
      <c r="G410" s="4" t="s">
        <v>5558</v>
      </c>
      <c r="H410" s="4" t="s">
        <v>5559</v>
      </c>
      <c r="I410" s="4" t="s">
        <v>5560</v>
      </c>
      <c r="J410" s="4" t="s">
        <v>5561</v>
      </c>
      <c r="K410" s="4" t="s">
        <v>5562</v>
      </c>
    </row>
    <row r="411" spans="1:11" ht="13">
      <c r="A411" s="4" t="s">
        <v>5563</v>
      </c>
      <c r="B411" s="4" t="s">
        <v>5564</v>
      </c>
      <c r="C411" s="4" t="s">
        <v>5565</v>
      </c>
      <c r="D411" s="4" t="s">
        <v>5566</v>
      </c>
      <c r="E411" s="4" t="s">
        <v>5567</v>
      </c>
      <c r="F411" s="4" t="e">
        <v>#N/A</v>
      </c>
      <c r="H411" s="4" t="e">
        <v>#N/A</v>
      </c>
      <c r="J411" s="4" t="e">
        <v>#N/A</v>
      </c>
    </row>
    <row r="412" spans="1:11" ht="13">
      <c r="A412" s="4" t="s">
        <v>5568</v>
      </c>
      <c r="B412" s="4" t="s">
        <v>5569</v>
      </c>
      <c r="C412" s="4" t="s">
        <v>5570</v>
      </c>
      <c r="D412" s="4" t="s">
        <v>5571</v>
      </c>
      <c r="E412" s="4" t="s">
        <v>5572</v>
      </c>
      <c r="F412" s="4" t="s">
        <v>5573</v>
      </c>
      <c r="G412" s="4" t="s">
        <v>5574</v>
      </c>
      <c r="H412" s="4" t="s">
        <v>5575</v>
      </c>
      <c r="I412" s="4" t="s">
        <v>5576</v>
      </c>
      <c r="J412" s="4"/>
    </row>
    <row r="413" spans="1:11" ht="13">
      <c r="A413" s="4" t="s">
        <v>5577</v>
      </c>
      <c r="B413" s="4" t="e">
        <v>#N/A</v>
      </c>
      <c r="D413" s="4" t="e">
        <v>#N/A</v>
      </c>
      <c r="F413" s="4" t="e">
        <v>#N/A</v>
      </c>
      <c r="H413" s="4" t="e">
        <v>#N/A</v>
      </c>
      <c r="J413" s="4" t="s">
        <v>5578</v>
      </c>
      <c r="K413" s="4" t="s">
        <v>5579</v>
      </c>
    </row>
    <row r="414" spans="1:11" ht="13">
      <c r="A414" s="4" t="s">
        <v>5580</v>
      </c>
      <c r="B414" s="4" t="s">
        <v>5582</v>
      </c>
      <c r="C414" s="4" t="s">
        <v>5583</v>
      </c>
      <c r="D414" s="4" t="s">
        <v>5584</v>
      </c>
      <c r="E414" s="4" t="s">
        <v>5585</v>
      </c>
      <c r="F414" s="4" t="s">
        <v>5586</v>
      </c>
      <c r="G414" s="4" t="s">
        <v>5587</v>
      </c>
      <c r="H414" s="4" t="s">
        <v>5588</v>
      </c>
      <c r="I414" s="4" t="s">
        <v>5589</v>
      </c>
      <c r="J414" s="4" t="s">
        <v>5590</v>
      </c>
      <c r="K414" s="4" t="s">
        <v>5591</v>
      </c>
    </row>
    <row r="415" spans="1:11" ht="13">
      <c r="A415" s="4" t="s">
        <v>5592</v>
      </c>
      <c r="B415" s="4" t="s">
        <v>5593</v>
      </c>
      <c r="C415" s="4" t="s">
        <v>5594</v>
      </c>
      <c r="D415" s="4" t="e">
        <v>#N/A</v>
      </c>
      <c r="F415" s="4" t="s">
        <v>5595</v>
      </c>
      <c r="G415" s="4" t="s">
        <v>5596</v>
      </c>
      <c r="H415" s="4" t="e">
        <v>#N/A</v>
      </c>
      <c r="J415" s="4" t="s">
        <v>5597</v>
      </c>
      <c r="K415" s="4" t="s">
        <v>5598</v>
      </c>
    </row>
    <row r="416" spans="1:11" ht="13">
      <c r="A416" s="4" t="s">
        <v>5599</v>
      </c>
      <c r="B416" s="4" t="s">
        <v>5600</v>
      </c>
      <c r="C416" s="4" t="s">
        <v>5601</v>
      </c>
      <c r="D416" s="4" t="s">
        <v>5602</v>
      </c>
      <c r="E416" s="4" t="s">
        <v>5603</v>
      </c>
      <c r="F416" s="4" t="s">
        <v>5604</v>
      </c>
      <c r="G416" s="4" t="s">
        <v>5605</v>
      </c>
      <c r="H416" s="4" t="e">
        <v>#N/A</v>
      </c>
      <c r="J416" s="4" t="s">
        <v>5606</v>
      </c>
      <c r="K416" s="4" t="s">
        <v>5607</v>
      </c>
    </row>
    <row r="417" spans="1:11" ht="13">
      <c r="A417" s="4" t="s">
        <v>5608</v>
      </c>
      <c r="B417" s="4" t="s">
        <v>5609</v>
      </c>
      <c r="C417" s="4" t="s">
        <v>5610</v>
      </c>
      <c r="D417" s="4" t="s">
        <v>5611</v>
      </c>
      <c r="E417" s="4" t="s">
        <v>5612</v>
      </c>
      <c r="F417" s="4" t="s">
        <v>5613</v>
      </c>
      <c r="G417" s="4" t="s">
        <v>5614</v>
      </c>
      <c r="H417" s="4" t="s">
        <v>5615</v>
      </c>
      <c r="I417" s="4" t="s">
        <v>5616</v>
      </c>
      <c r="J417" s="4" t="s">
        <v>5617</v>
      </c>
      <c r="K417" s="4" t="s">
        <v>5618</v>
      </c>
    </row>
    <row r="418" spans="1:11" ht="13">
      <c r="A418" s="4" t="s">
        <v>5619</v>
      </c>
      <c r="B418" s="4" t="s">
        <v>5620</v>
      </c>
      <c r="C418" s="4" t="s">
        <v>5621</v>
      </c>
      <c r="D418" s="4" t="s">
        <v>5622</v>
      </c>
      <c r="E418" s="4" t="s">
        <v>5623</v>
      </c>
      <c r="F418" s="4" t="s">
        <v>5624</v>
      </c>
      <c r="G418" s="4" t="s">
        <v>5625</v>
      </c>
      <c r="H418" s="4"/>
      <c r="J418" s="4" t="s">
        <v>5626</v>
      </c>
      <c r="K418" s="4" t="s">
        <v>5627</v>
      </c>
    </row>
    <row r="419" spans="1:11" ht="13">
      <c r="A419" s="4" t="s">
        <v>5628</v>
      </c>
      <c r="B419" s="4" t="s">
        <v>5629</v>
      </c>
      <c r="C419" s="4" t="s">
        <v>5630</v>
      </c>
      <c r="D419" s="4" t="s">
        <v>5631</v>
      </c>
      <c r="E419" s="4" t="s">
        <v>5632</v>
      </c>
      <c r="F419" s="4" t="s">
        <v>5633</v>
      </c>
      <c r="G419" s="4" t="s">
        <v>5634</v>
      </c>
      <c r="H419" s="4" t="s">
        <v>5635</v>
      </c>
      <c r="I419" s="4" t="s">
        <v>5636</v>
      </c>
      <c r="J419" s="4" t="s">
        <v>5637</v>
      </c>
      <c r="K419" s="4" t="s">
        <v>5639</v>
      </c>
    </row>
    <row r="420" spans="1:11" ht="13">
      <c r="A420" s="4" t="s">
        <v>5640</v>
      </c>
      <c r="B420" s="4" t="s">
        <v>5641</v>
      </c>
      <c r="C420" s="4" t="s">
        <v>5642</v>
      </c>
      <c r="D420" s="4" t="s">
        <v>5643</v>
      </c>
      <c r="E420" s="4" t="s">
        <v>5644</v>
      </c>
      <c r="F420" s="4" t="s">
        <v>5645</v>
      </c>
      <c r="G420" s="4" t="s">
        <v>5646</v>
      </c>
      <c r="H420" s="4" t="s">
        <v>5647</v>
      </c>
      <c r="I420" s="4" t="s">
        <v>5648</v>
      </c>
      <c r="J420" s="4" t="s">
        <v>5649</v>
      </c>
      <c r="K420" s="4" t="s">
        <v>5650</v>
      </c>
    </row>
    <row r="421" spans="1:11" ht="13">
      <c r="A421" s="4" t="s">
        <v>5651</v>
      </c>
      <c r="B421" s="4" t="s">
        <v>5652</v>
      </c>
      <c r="C421" s="4" t="s">
        <v>5653</v>
      </c>
      <c r="D421" s="4" t="s">
        <v>5654</v>
      </c>
      <c r="E421" s="4" t="s">
        <v>5655</v>
      </c>
      <c r="F421" s="4" t="e">
        <v>#N/A</v>
      </c>
      <c r="H421" s="4" t="s">
        <v>5656</v>
      </c>
      <c r="I421" s="4" t="s">
        <v>5657</v>
      </c>
      <c r="J421" s="4" t="s">
        <v>5658</v>
      </c>
      <c r="K421" s="4" t="s">
        <v>5659</v>
      </c>
    </row>
    <row r="422" spans="1:11" ht="13">
      <c r="A422" s="4" t="s">
        <v>5660</v>
      </c>
      <c r="B422" s="4" t="s">
        <v>5661</v>
      </c>
      <c r="C422" s="4" t="s">
        <v>5662</v>
      </c>
      <c r="D422" s="4" t="e">
        <v>#N/A</v>
      </c>
      <c r="F422" s="4" t="s">
        <v>5663</v>
      </c>
      <c r="G422" s="4" t="s">
        <v>5664</v>
      </c>
      <c r="H422" s="4" t="s">
        <v>5665</v>
      </c>
      <c r="I422" s="4" t="s">
        <v>5666</v>
      </c>
      <c r="J422" s="4" t="e">
        <v>#N/A</v>
      </c>
    </row>
    <row r="423" spans="1:11" ht="13">
      <c r="A423" s="4" t="s">
        <v>5667</v>
      </c>
      <c r="B423" s="4" t="s">
        <v>5668</v>
      </c>
      <c r="C423" s="4" t="s">
        <v>5669</v>
      </c>
      <c r="D423" s="4" t="s">
        <v>5670</v>
      </c>
      <c r="E423" s="4" t="s">
        <v>5671</v>
      </c>
      <c r="F423" s="4" t="s">
        <v>5672</v>
      </c>
      <c r="G423" s="4" t="s">
        <v>5673</v>
      </c>
      <c r="H423" s="4" t="s">
        <v>5674</v>
      </c>
      <c r="I423" s="4" t="s">
        <v>5675</v>
      </c>
      <c r="J423" s="4" t="s">
        <v>5676</v>
      </c>
      <c r="K423" s="4" t="s">
        <v>5677</v>
      </c>
    </row>
    <row r="424" spans="1:11" ht="13">
      <c r="A424" s="4" t="s">
        <v>5678</v>
      </c>
      <c r="B424" s="4" t="s">
        <v>5679</v>
      </c>
      <c r="C424" s="4" t="s">
        <v>5680</v>
      </c>
      <c r="D424" s="4" t="e">
        <v>#N/A</v>
      </c>
      <c r="F424" s="4" t="s">
        <v>5681</v>
      </c>
      <c r="G424" s="4" t="s">
        <v>5682</v>
      </c>
      <c r="H424" s="4" t="e">
        <v>#N/A</v>
      </c>
      <c r="J424" s="4" t="e">
        <v>#N/A</v>
      </c>
    </row>
    <row r="425" spans="1:11" ht="13">
      <c r="A425" s="4" t="s">
        <v>5683</v>
      </c>
      <c r="B425" s="4" t="e">
        <v>#N/A</v>
      </c>
      <c r="D425" s="4" t="s">
        <v>5684</v>
      </c>
      <c r="E425" s="4" t="s">
        <v>5685</v>
      </c>
      <c r="F425" s="4" t="s">
        <v>5686</v>
      </c>
      <c r="G425" s="4" t="s">
        <v>5687</v>
      </c>
      <c r="H425" s="4" t="s">
        <v>5688</v>
      </c>
      <c r="I425" s="4" t="s">
        <v>5690</v>
      </c>
      <c r="J425" s="4" t="s">
        <v>5691</v>
      </c>
      <c r="K425" s="4" t="s">
        <v>5692</v>
      </c>
    </row>
    <row r="426" spans="1:11" ht="13">
      <c r="A426" s="4" t="s">
        <v>5693</v>
      </c>
      <c r="B426" s="4" t="s">
        <v>5694</v>
      </c>
      <c r="C426" s="4" t="s">
        <v>5695</v>
      </c>
      <c r="D426" s="4" t="s">
        <v>5696</v>
      </c>
      <c r="E426" s="4" t="s">
        <v>5697</v>
      </c>
      <c r="F426" s="4" t="s">
        <v>5698</v>
      </c>
      <c r="G426" s="4" t="s">
        <v>5699</v>
      </c>
      <c r="H426" s="4" t="s">
        <v>5700</v>
      </c>
      <c r="I426" s="4" t="s">
        <v>5701</v>
      </c>
      <c r="J426" s="4" t="s">
        <v>5702</v>
      </c>
      <c r="K426" s="4" t="s">
        <v>5703</v>
      </c>
    </row>
    <row r="427" spans="1:11" ht="13">
      <c r="A427" s="4" t="s">
        <v>5704</v>
      </c>
      <c r="B427" s="4" t="s">
        <v>5705</v>
      </c>
      <c r="C427" s="4" t="s">
        <v>5706</v>
      </c>
      <c r="D427" s="4" t="s">
        <v>5707</v>
      </c>
      <c r="E427" s="4" t="s">
        <v>5708</v>
      </c>
      <c r="F427" s="4" t="e">
        <v>#N/A</v>
      </c>
      <c r="H427" s="4" t="s">
        <v>5709</v>
      </c>
      <c r="I427" s="4" t="s">
        <v>5710</v>
      </c>
      <c r="J427" s="4" t="s">
        <v>5711</v>
      </c>
      <c r="K427" s="4" t="s">
        <v>5712</v>
      </c>
    </row>
    <row r="428" spans="1:11" ht="13">
      <c r="A428" s="4" t="s">
        <v>5713</v>
      </c>
      <c r="B428" s="4" t="s">
        <v>5714</v>
      </c>
      <c r="C428" s="4" t="s">
        <v>5715</v>
      </c>
      <c r="D428" s="4" t="s">
        <v>5716</v>
      </c>
      <c r="E428" s="4" t="s">
        <v>5717</v>
      </c>
      <c r="F428" s="4" t="s">
        <v>5718</v>
      </c>
      <c r="G428" s="4" t="s">
        <v>5719</v>
      </c>
      <c r="H428" s="4" t="s">
        <v>5720</v>
      </c>
      <c r="I428" s="4" t="s">
        <v>5721</v>
      </c>
      <c r="J428" s="4" t="s">
        <v>5722</v>
      </c>
      <c r="K428" s="4" t="s">
        <v>5723</v>
      </c>
    </row>
    <row r="429" spans="1:11" ht="13">
      <c r="A429" s="4" t="s">
        <v>5724</v>
      </c>
      <c r="B429" s="4" t="s">
        <v>5725</v>
      </c>
      <c r="C429" s="4" t="s">
        <v>5726</v>
      </c>
      <c r="D429" s="4" t="e">
        <v>#N/A</v>
      </c>
      <c r="F429" s="4" t="s">
        <v>5727</v>
      </c>
      <c r="G429" s="4" t="s">
        <v>5728</v>
      </c>
      <c r="H429" s="4" t="s">
        <v>5729</v>
      </c>
      <c r="I429" s="4" t="s">
        <v>5730</v>
      </c>
      <c r="J429" s="4" t="s">
        <v>5731</v>
      </c>
      <c r="K429" s="4" t="s">
        <v>5732</v>
      </c>
    </row>
    <row r="430" spans="1:11" ht="13">
      <c r="A430" s="4" t="s">
        <v>5733</v>
      </c>
      <c r="B430" s="4" t="s">
        <v>5734</v>
      </c>
      <c r="C430" s="4" t="s">
        <v>5735</v>
      </c>
      <c r="D430" s="4" t="e">
        <v>#N/A</v>
      </c>
      <c r="F430" s="4" t="s">
        <v>5737</v>
      </c>
      <c r="G430" s="4" t="s">
        <v>5738</v>
      </c>
      <c r="H430" s="4" t="s">
        <v>5739</v>
      </c>
      <c r="I430" s="4" t="s">
        <v>5740</v>
      </c>
      <c r="J430" s="4" t="s">
        <v>5741</v>
      </c>
      <c r="K430" s="4" t="s">
        <v>5742</v>
      </c>
    </row>
    <row r="431" spans="1:11" ht="13">
      <c r="A431" s="26">
        <f>SUM(C431:K431)</f>
        <v>1620</v>
      </c>
      <c r="C431" s="4">
        <f t="shared" ref="C431" si="0">COUNTA(C2:C430)</f>
        <v>338</v>
      </c>
      <c r="E431" s="4">
        <f t="shared" ref="E431" si="1">COUNTA(E2:E430)</f>
        <v>320</v>
      </c>
      <c r="G431" s="4">
        <f t="shared" ref="G431" si="2">COUNTA(G2:G430)</f>
        <v>321</v>
      </c>
      <c r="I431" s="4">
        <f t="shared" ref="I431" si="3">COUNTA(I2:I430)</f>
        <v>312</v>
      </c>
      <c r="K431" s="4">
        <f>COUNTA(K2:K430)</f>
        <v>329</v>
      </c>
    </row>
    <row r="432" spans="1:11" ht="13">
      <c r="A432" s="27">
        <f>A431/2140</f>
        <v>0.7570093457943925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241"/>
  <sheetViews>
    <sheetView workbookViewId="0"/>
  </sheetViews>
  <sheetFormatPr baseColWidth="10" defaultColWidth="14.5" defaultRowHeight="15.75" customHeight="1"/>
  <cols>
    <col min="1" max="1" width="72" customWidth="1"/>
    <col min="2" max="2" width="44.5" customWidth="1"/>
    <col min="3" max="3" width="71.5" customWidth="1"/>
    <col min="4" max="4" width="28.6640625" customWidth="1"/>
    <col min="5" max="5" width="39.6640625" customWidth="1"/>
    <col min="6" max="6" width="84.5" customWidth="1"/>
    <col min="7" max="7" width="37.5" customWidth="1"/>
    <col min="8" max="8" width="68.33203125" customWidth="1"/>
    <col min="9" max="9" width="89.83203125" customWidth="1"/>
    <col min="11" max="11" width="43.33203125" customWidth="1"/>
    <col min="12" max="12" width="84.5" customWidth="1"/>
    <col min="14" max="14" width="46.33203125" customWidth="1"/>
    <col min="15" max="15" width="90.1640625" customWidth="1"/>
  </cols>
  <sheetData>
    <row r="1" spans="1:15" ht="15.75" customHeight="1">
      <c r="B1" s="4" t="s">
        <v>2</v>
      </c>
      <c r="E1" s="4" t="s">
        <v>6</v>
      </c>
      <c r="H1" s="4" t="s">
        <v>7</v>
      </c>
      <c r="K1" s="4" t="s">
        <v>8</v>
      </c>
      <c r="N1" s="4" t="s">
        <v>11</v>
      </c>
    </row>
    <row r="2" spans="1:15" ht="15.75" customHeight="1">
      <c r="A2" s="4" t="s">
        <v>15</v>
      </c>
      <c r="B2" s="4" t="s">
        <v>226</v>
      </c>
      <c r="C2" s="4" t="s">
        <v>228</v>
      </c>
      <c r="E2" s="4" t="s">
        <v>230</v>
      </c>
      <c r="F2" s="4" t="s">
        <v>233</v>
      </c>
      <c r="H2" s="4" t="s">
        <v>235</v>
      </c>
      <c r="I2" s="4" t="s">
        <v>236</v>
      </c>
      <c r="K2" s="4" t="s">
        <v>237</v>
      </c>
      <c r="L2" s="4" t="s">
        <v>238</v>
      </c>
      <c r="N2" s="4" t="s">
        <v>240</v>
      </c>
      <c r="O2" s="4" t="s">
        <v>241</v>
      </c>
    </row>
    <row r="3" spans="1:15" ht="15.75" customHeight="1">
      <c r="A3" s="4" t="s">
        <v>243</v>
      </c>
      <c r="B3" s="4" t="s">
        <v>245</v>
      </c>
      <c r="C3" s="4" t="s">
        <v>247</v>
      </c>
      <c r="E3" s="4" t="e">
        <v>#N/A</v>
      </c>
      <c r="H3" s="4" t="s">
        <v>250</v>
      </c>
      <c r="I3" s="4" t="s">
        <v>253</v>
      </c>
      <c r="K3" s="4" t="s">
        <v>254</v>
      </c>
      <c r="L3" s="4" t="s">
        <v>256</v>
      </c>
      <c r="N3" s="4" t="e">
        <v>#N/A</v>
      </c>
    </row>
    <row r="4" spans="1:15" ht="15.75" customHeight="1">
      <c r="A4" s="4" t="s">
        <v>259</v>
      </c>
      <c r="B4" s="4" t="e">
        <v>#N/A</v>
      </c>
      <c r="E4" s="4" t="s">
        <v>261</v>
      </c>
      <c r="F4" s="4" t="s">
        <v>263</v>
      </c>
      <c r="H4" s="4" t="e">
        <v>#N/A</v>
      </c>
      <c r="K4" s="4" t="e">
        <v>#N/A</v>
      </c>
      <c r="N4" s="4" t="s">
        <v>267</v>
      </c>
      <c r="O4" s="4" t="s">
        <v>268</v>
      </c>
    </row>
    <row r="5" spans="1:15" ht="15.75" customHeight="1">
      <c r="A5" s="4" t="s">
        <v>271</v>
      </c>
      <c r="B5" s="4" t="s">
        <v>272</v>
      </c>
      <c r="C5" s="4" t="s">
        <v>275</v>
      </c>
      <c r="E5" s="4" t="s">
        <v>276</v>
      </c>
      <c r="F5" s="4" t="s">
        <v>278</v>
      </c>
      <c r="H5" s="4" t="s">
        <v>279</v>
      </c>
      <c r="I5" s="4" t="s">
        <v>281</v>
      </c>
      <c r="K5" s="4" t="s">
        <v>283</v>
      </c>
      <c r="L5" s="4" t="s">
        <v>284</v>
      </c>
      <c r="N5" s="4" t="s">
        <v>285</v>
      </c>
      <c r="O5" s="4" t="s">
        <v>286</v>
      </c>
    </row>
    <row r="6" spans="1:15" ht="15.75" customHeight="1">
      <c r="A6" s="4" t="s">
        <v>288</v>
      </c>
      <c r="B6" s="4" t="e">
        <v>#N/A</v>
      </c>
      <c r="E6" s="4" t="e">
        <v>#N/A</v>
      </c>
      <c r="H6" s="4" t="s">
        <v>291</v>
      </c>
      <c r="I6" s="4" t="s">
        <v>293</v>
      </c>
      <c r="K6" s="4"/>
      <c r="N6" s="4" t="s">
        <v>294</v>
      </c>
      <c r="O6" s="4" t="s">
        <v>295</v>
      </c>
    </row>
    <row r="7" spans="1:15" ht="15.75" customHeight="1">
      <c r="A7" s="4" t="s">
        <v>296</v>
      </c>
      <c r="B7" s="4" t="s">
        <v>297</v>
      </c>
      <c r="C7" s="4" t="s">
        <v>298</v>
      </c>
      <c r="E7" s="4" t="s">
        <v>300</v>
      </c>
      <c r="F7" s="4" t="s">
        <v>302</v>
      </c>
      <c r="H7" s="4" t="s">
        <v>304</v>
      </c>
      <c r="I7" s="4" t="s">
        <v>306</v>
      </c>
      <c r="K7" s="4" t="s">
        <v>307</v>
      </c>
      <c r="L7" s="4" t="s">
        <v>309</v>
      </c>
      <c r="N7" s="4" t="s">
        <v>310</v>
      </c>
      <c r="O7" s="4" t="s">
        <v>313</v>
      </c>
    </row>
    <row r="8" spans="1:15" ht="15.75" customHeight="1">
      <c r="A8" s="4" t="s">
        <v>315</v>
      </c>
      <c r="B8" s="4" t="s">
        <v>317</v>
      </c>
      <c r="C8" s="4" t="s">
        <v>319</v>
      </c>
      <c r="E8" s="4" t="s">
        <v>321</v>
      </c>
      <c r="F8" s="4" t="s">
        <v>322</v>
      </c>
      <c r="H8" s="4" t="s">
        <v>324</v>
      </c>
      <c r="I8" s="4" t="s">
        <v>325</v>
      </c>
      <c r="K8" s="4" t="s">
        <v>327</v>
      </c>
      <c r="L8" s="4" t="s">
        <v>329</v>
      </c>
      <c r="N8" s="4" t="s">
        <v>330</v>
      </c>
      <c r="O8" s="4" t="s">
        <v>332</v>
      </c>
    </row>
    <row r="9" spans="1:15" ht="15.75" customHeight="1">
      <c r="A9" s="4" t="s">
        <v>334</v>
      </c>
      <c r="B9" s="4" t="s">
        <v>336</v>
      </c>
      <c r="C9" s="4" t="s">
        <v>337</v>
      </c>
      <c r="E9" s="4" t="s">
        <v>340</v>
      </c>
      <c r="F9" s="4" t="s">
        <v>341</v>
      </c>
      <c r="H9" s="4" t="s">
        <v>343</v>
      </c>
      <c r="I9" s="4" t="s">
        <v>345</v>
      </c>
      <c r="K9" s="4" t="s">
        <v>347</v>
      </c>
      <c r="L9" s="4" t="s">
        <v>348</v>
      </c>
      <c r="N9" s="4" t="s">
        <v>350</v>
      </c>
      <c r="O9" s="4" t="s">
        <v>351</v>
      </c>
    </row>
    <row r="10" spans="1:15" ht="15.75" customHeight="1">
      <c r="A10" s="4" t="s">
        <v>353</v>
      </c>
      <c r="B10" s="4" t="s">
        <v>355</v>
      </c>
      <c r="C10" s="4" t="s">
        <v>357</v>
      </c>
      <c r="E10" s="4" t="s">
        <v>358</v>
      </c>
      <c r="F10" s="4" t="s">
        <v>360</v>
      </c>
      <c r="H10" s="4" t="s">
        <v>363</v>
      </c>
      <c r="I10" s="4" t="s">
        <v>365</v>
      </c>
      <c r="K10" s="4" t="s">
        <v>366</v>
      </c>
      <c r="L10" s="4" t="s">
        <v>369</v>
      </c>
      <c r="N10" s="4" t="s">
        <v>371</v>
      </c>
      <c r="O10" s="4" t="s">
        <v>372</v>
      </c>
    </row>
    <row r="11" spans="1:15" ht="15.75" customHeight="1">
      <c r="A11" s="4" t="s">
        <v>374</v>
      </c>
      <c r="B11" s="4" t="s">
        <v>376</v>
      </c>
      <c r="C11" s="4" t="s">
        <v>378</v>
      </c>
      <c r="E11" s="4" t="e">
        <v>#N/A</v>
      </c>
      <c r="H11" s="4" t="e">
        <v>#N/A</v>
      </c>
      <c r="K11" s="4" t="s">
        <v>382</v>
      </c>
      <c r="L11" s="4" t="s">
        <v>383</v>
      </c>
      <c r="N11" s="4" t="e">
        <v>#N/A</v>
      </c>
    </row>
    <row r="12" spans="1:15" ht="15.75" customHeight="1">
      <c r="A12" s="4" t="s">
        <v>387</v>
      </c>
      <c r="B12" s="4" t="s">
        <v>389</v>
      </c>
      <c r="C12" s="4" t="s">
        <v>391</v>
      </c>
      <c r="E12" s="4" t="s">
        <v>393</v>
      </c>
      <c r="F12" s="4" t="s">
        <v>394</v>
      </c>
      <c r="H12" s="4" t="s">
        <v>396</v>
      </c>
      <c r="I12" s="4" t="s">
        <v>398</v>
      </c>
      <c r="K12" s="4" t="s">
        <v>400</v>
      </c>
      <c r="L12" s="4" t="s">
        <v>401</v>
      </c>
      <c r="N12" s="4" t="s">
        <v>403</v>
      </c>
      <c r="O12" s="4" t="s">
        <v>405</v>
      </c>
    </row>
    <row r="13" spans="1:15" ht="15.75" customHeight="1">
      <c r="A13" s="4" t="s">
        <v>407</v>
      </c>
      <c r="B13" s="4" t="e">
        <v>#N/A</v>
      </c>
      <c r="E13" s="4" t="s">
        <v>410</v>
      </c>
      <c r="F13" s="4" t="s">
        <v>412</v>
      </c>
      <c r="H13" s="4" t="e">
        <v>#N/A</v>
      </c>
      <c r="K13" s="4" t="s">
        <v>415</v>
      </c>
      <c r="L13" s="4" t="s">
        <v>416</v>
      </c>
      <c r="N13" s="4" t="e">
        <v>#N/A</v>
      </c>
    </row>
    <row r="14" spans="1:15" ht="15.75" customHeight="1">
      <c r="A14" s="4" t="s">
        <v>420</v>
      </c>
      <c r="B14" s="4" t="s">
        <v>421</v>
      </c>
      <c r="C14" s="4" t="s">
        <v>423</v>
      </c>
      <c r="E14" s="4" t="s">
        <v>424</v>
      </c>
      <c r="F14" s="4" t="s">
        <v>427</v>
      </c>
      <c r="H14" s="4" t="s">
        <v>429</v>
      </c>
      <c r="I14" s="4" t="s">
        <v>431</v>
      </c>
      <c r="K14" s="4" t="s">
        <v>433</v>
      </c>
      <c r="L14" s="4" t="s">
        <v>435</v>
      </c>
      <c r="N14" s="4" t="e">
        <v>#N/A</v>
      </c>
    </row>
    <row r="15" spans="1:15" ht="15.75" customHeight="1">
      <c r="A15" s="4" t="s">
        <v>439</v>
      </c>
      <c r="B15" s="4" t="s">
        <v>441</v>
      </c>
      <c r="C15" s="4" t="s">
        <v>442</v>
      </c>
      <c r="E15" s="4" t="s">
        <v>444</v>
      </c>
      <c r="F15" s="4" t="s">
        <v>446</v>
      </c>
      <c r="H15" s="4" t="e">
        <v>#N/A</v>
      </c>
      <c r="K15" s="4" t="s">
        <v>448</v>
      </c>
      <c r="L15" s="4" t="s">
        <v>450</v>
      </c>
      <c r="N15" s="4" t="s">
        <v>451</v>
      </c>
      <c r="O15" s="4" t="s">
        <v>456</v>
      </c>
    </row>
    <row r="16" spans="1:15" ht="15.75" customHeight="1">
      <c r="A16" s="4" t="s">
        <v>458</v>
      </c>
      <c r="B16" s="4" t="e">
        <v>#N/A</v>
      </c>
      <c r="E16" s="4" t="s">
        <v>461</v>
      </c>
      <c r="F16" s="4" t="s">
        <v>462</v>
      </c>
      <c r="H16" s="4" t="s">
        <v>463</v>
      </c>
      <c r="I16" s="4" t="s">
        <v>465</v>
      </c>
      <c r="K16" s="4" t="e">
        <v>#N/A</v>
      </c>
      <c r="N16" s="4" t="s">
        <v>467</v>
      </c>
      <c r="O16" s="4" t="s">
        <v>135</v>
      </c>
    </row>
    <row r="17" spans="1:15" ht="15.75" customHeight="1">
      <c r="A17" s="4" t="s">
        <v>469</v>
      </c>
      <c r="B17" s="4" t="s">
        <v>471</v>
      </c>
      <c r="C17" s="4" t="s">
        <v>473</v>
      </c>
      <c r="E17" s="4" t="e">
        <v>#N/A</v>
      </c>
      <c r="H17" s="4" t="s">
        <v>475</v>
      </c>
      <c r="I17" s="4" t="s">
        <v>477</v>
      </c>
      <c r="K17" s="4" t="s">
        <v>478</v>
      </c>
      <c r="L17" s="4" t="s">
        <v>479</v>
      </c>
      <c r="N17" s="4" t="s">
        <v>480</v>
      </c>
      <c r="O17" s="4" t="s">
        <v>481</v>
      </c>
    </row>
    <row r="18" spans="1:15" ht="15.75" customHeight="1">
      <c r="A18" s="4" t="s">
        <v>484</v>
      </c>
      <c r="B18" s="4" t="e">
        <v>#N/A</v>
      </c>
      <c r="E18" s="4" t="s">
        <v>486</v>
      </c>
      <c r="F18" s="4" t="s">
        <v>488</v>
      </c>
      <c r="H18" s="4" t="s">
        <v>490</v>
      </c>
      <c r="I18" s="4" t="s">
        <v>492</v>
      </c>
      <c r="K18" s="4" t="e">
        <v>#N/A</v>
      </c>
      <c r="N18" s="4" t="s">
        <v>496</v>
      </c>
      <c r="O18" s="4" t="s">
        <v>498</v>
      </c>
    </row>
    <row r="19" spans="1:15" ht="15.75" customHeight="1">
      <c r="A19" s="4" t="s">
        <v>500</v>
      </c>
      <c r="B19" s="4" t="s">
        <v>502</v>
      </c>
      <c r="C19" s="4" t="s">
        <v>504</v>
      </c>
      <c r="E19" s="4" t="s">
        <v>505</v>
      </c>
      <c r="F19" s="4" t="s">
        <v>507</v>
      </c>
      <c r="H19" s="4" t="s">
        <v>509</v>
      </c>
      <c r="I19" s="4" t="s">
        <v>511</v>
      </c>
      <c r="K19" s="4" t="s">
        <v>513</v>
      </c>
      <c r="L19" s="4" t="s">
        <v>514</v>
      </c>
      <c r="N19" s="4" t="s">
        <v>516</v>
      </c>
      <c r="O19" s="4" t="s">
        <v>518</v>
      </c>
    </row>
    <row r="20" spans="1:15" ht="15.75" customHeight="1">
      <c r="A20" s="4" t="s">
        <v>520</v>
      </c>
      <c r="B20" s="4" t="e">
        <v>#N/A</v>
      </c>
      <c r="E20" s="4" t="s">
        <v>522</v>
      </c>
      <c r="F20" s="4" t="s">
        <v>524</v>
      </c>
      <c r="H20" s="4" t="s">
        <v>526</v>
      </c>
      <c r="I20" s="4" t="s">
        <v>528</v>
      </c>
      <c r="K20" s="4" t="e">
        <v>#N/A</v>
      </c>
      <c r="N20" s="4" t="e">
        <v>#N/A</v>
      </c>
    </row>
    <row r="21" spans="1:15" ht="15.75" customHeight="1">
      <c r="A21" s="4" t="s">
        <v>531</v>
      </c>
      <c r="B21" s="4"/>
      <c r="E21" s="4" t="s">
        <v>533</v>
      </c>
      <c r="F21" s="4" t="s">
        <v>535</v>
      </c>
      <c r="H21" s="4" t="s">
        <v>537</v>
      </c>
      <c r="I21" s="4" t="s">
        <v>539</v>
      </c>
      <c r="K21" s="4" t="s">
        <v>541</v>
      </c>
      <c r="L21" s="4" t="s">
        <v>543</v>
      </c>
      <c r="N21" s="4" t="s">
        <v>544</v>
      </c>
      <c r="O21" s="4" t="s">
        <v>545</v>
      </c>
    </row>
    <row r="22" spans="1:15" ht="15.75" customHeight="1">
      <c r="A22" s="4" t="s">
        <v>548</v>
      </c>
      <c r="B22" s="4" t="s">
        <v>550</v>
      </c>
      <c r="C22" s="4" t="s">
        <v>552</v>
      </c>
      <c r="E22" s="4" t="s">
        <v>554</v>
      </c>
      <c r="F22" s="4" t="s">
        <v>557</v>
      </c>
      <c r="H22" s="4" t="s">
        <v>558</v>
      </c>
      <c r="I22" s="4" t="s">
        <v>560</v>
      </c>
      <c r="K22" s="4" t="s">
        <v>563</v>
      </c>
      <c r="L22" s="4" t="s">
        <v>566</v>
      </c>
      <c r="N22" s="4" t="s">
        <v>570</v>
      </c>
      <c r="O22" s="4" t="s">
        <v>572</v>
      </c>
    </row>
    <row r="23" spans="1:15" ht="15.75" customHeight="1">
      <c r="A23" s="4" t="s">
        <v>575</v>
      </c>
      <c r="B23" s="4" t="s">
        <v>577</v>
      </c>
      <c r="C23" s="4" t="s">
        <v>579</v>
      </c>
      <c r="E23" s="4" t="e">
        <v>#N/A</v>
      </c>
      <c r="H23" s="4" t="s">
        <v>582</v>
      </c>
      <c r="I23" s="4" t="s">
        <v>584</v>
      </c>
      <c r="K23" s="4" t="s">
        <v>585</v>
      </c>
      <c r="L23" s="4" t="s">
        <v>586</v>
      </c>
      <c r="N23" s="4" t="s">
        <v>588</v>
      </c>
      <c r="O23" s="4" t="s">
        <v>590</v>
      </c>
    </row>
    <row r="24" spans="1:15" ht="15.75" customHeight="1">
      <c r="A24" s="4" t="s">
        <v>592</v>
      </c>
      <c r="B24" s="4" t="s">
        <v>594</v>
      </c>
      <c r="C24" s="4" t="s">
        <v>595</v>
      </c>
      <c r="E24" s="4" t="s">
        <v>596</v>
      </c>
      <c r="F24" s="4" t="s">
        <v>597</v>
      </c>
      <c r="H24" s="4" t="s">
        <v>599</v>
      </c>
      <c r="I24" s="4" t="s">
        <v>601</v>
      </c>
      <c r="K24" s="4" t="e">
        <v>#N/A</v>
      </c>
      <c r="N24" s="4" t="s">
        <v>604</v>
      </c>
      <c r="O24" s="4" t="s">
        <v>606</v>
      </c>
    </row>
    <row r="25" spans="1:15" ht="15.75" customHeight="1">
      <c r="A25" s="4" t="s">
        <v>608</v>
      </c>
      <c r="B25" s="4" t="s">
        <v>614</v>
      </c>
      <c r="C25" s="4" t="s">
        <v>616</v>
      </c>
      <c r="E25" s="4" t="s">
        <v>618</v>
      </c>
      <c r="F25" s="4" t="s">
        <v>619</v>
      </c>
      <c r="H25" s="4" t="s">
        <v>621</v>
      </c>
      <c r="I25" s="4" t="s">
        <v>622</v>
      </c>
      <c r="K25" s="4" t="s">
        <v>624</v>
      </c>
      <c r="L25" s="4" t="s">
        <v>625</v>
      </c>
      <c r="N25" s="4" t="e">
        <v>#N/A</v>
      </c>
    </row>
    <row r="26" spans="1:15" ht="15.75" customHeight="1">
      <c r="A26" s="4" t="s">
        <v>628</v>
      </c>
      <c r="B26" s="4" t="s">
        <v>630</v>
      </c>
      <c r="C26" s="4" t="s">
        <v>632</v>
      </c>
      <c r="E26" s="4" t="s">
        <v>633</v>
      </c>
      <c r="F26" s="4" t="s">
        <v>635</v>
      </c>
      <c r="H26" s="4" t="s">
        <v>636</v>
      </c>
      <c r="I26" s="4" t="s">
        <v>638</v>
      </c>
      <c r="K26" s="4" t="s">
        <v>639</v>
      </c>
      <c r="L26" s="4" t="s">
        <v>641</v>
      </c>
      <c r="N26" s="4" t="s">
        <v>643</v>
      </c>
      <c r="O26" s="4" t="s">
        <v>645</v>
      </c>
    </row>
    <row r="27" spans="1:15" ht="15.75" customHeight="1">
      <c r="A27" s="4" t="s">
        <v>648</v>
      </c>
      <c r="B27" s="4" t="s">
        <v>649</v>
      </c>
      <c r="C27" s="4" t="s">
        <v>651</v>
      </c>
      <c r="E27" s="4" t="s">
        <v>652</v>
      </c>
      <c r="F27" s="4" t="s">
        <v>653</v>
      </c>
      <c r="H27" s="4" t="e">
        <v>#N/A</v>
      </c>
      <c r="K27" s="4" t="s">
        <v>655</v>
      </c>
      <c r="L27" s="4" t="s">
        <v>656</v>
      </c>
      <c r="N27" s="4" t="e">
        <v>#N/A</v>
      </c>
    </row>
    <row r="28" spans="1:15" ht="15.75" customHeight="1">
      <c r="A28" s="4" t="s">
        <v>658</v>
      </c>
      <c r="B28" s="4" t="s">
        <v>661</v>
      </c>
      <c r="C28" s="4" t="s">
        <v>662</v>
      </c>
      <c r="E28" s="4" t="s">
        <v>664</v>
      </c>
      <c r="F28" s="4" t="s">
        <v>666</v>
      </c>
      <c r="H28" s="4" t="s">
        <v>667</v>
      </c>
      <c r="I28" s="4" t="s">
        <v>669</v>
      </c>
      <c r="K28" s="4" t="s">
        <v>671</v>
      </c>
      <c r="L28" s="4" t="s">
        <v>672</v>
      </c>
      <c r="N28" s="4" t="s">
        <v>674</v>
      </c>
      <c r="O28" s="4" t="s">
        <v>675</v>
      </c>
    </row>
    <row r="29" spans="1:15" ht="15.75" customHeight="1">
      <c r="A29" s="4" t="s">
        <v>677</v>
      </c>
      <c r="B29" s="4" t="e">
        <v>#N/A</v>
      </c>
      <c r="E29" s="4" t="s">
        <v>680</v>
      </c>
      <c r="F29" s="4" t="s">
        <v>682</v>
      </c>
      <c r="H29" s="4" t="e">
        <v>#N/A</v>
      </c>
      <c r="K29" s="4" t="s">
        <v>685</v>
      </c>
      <c r="L29" s="4" t="s">
        <v>687</v>
      </c>
      <c r="N29" s="4" t="s">
        <v>689</v>
      </c>
      <c r="O29" s="4" t="s">
        <v>690</v>
      </c>
    </row>
    <row r="30" spans="1:15" ht="15.75" customHeight="1">
      <c r="A30" s="4" t="s">
        <v>692</v>
      </c>
      <c r="B30" s="4" t="e">
        <v>#N/A</v>
      </c>
      <c r="E30" s="4" t="e">
        <v>#N/A</v>
      </c>
      <c r="H30" s="4" t="s">
        <v>699</v>
      </c>
      <c r="I30" s="4" t="s">
        <v>700</v>
      </c>
      <c r="K30" s="4" t="s">
        <v>701</v>
      </c>
      <c r="L30" s="4" t="s">
        <v>704</v>
      </c>
      <c r="N30" s="4" t="s">
        <v>705</v>
      </c>
      <c r="O30" s="4" t="s">
        <v>708</v>
      </c>
    </row>
    <row r="31" spans="1:15" ht="15.75" customHeight="1">
      <c r="A31" s="4" t="s">
        <v>710</v>
      </c>
      <c r="B31" s="4" t="s">
        <v>712</v>
      </c>
      <c r="C31" s="4" t="s">
        <v>714</v>
      </c>
      <c r="E31" s="4" t="s">
        <v>716</v>
      </c>
      <c r="F31" s="4" t="s">
        <v>718</v>
      </c>
      <c r="H31" s="4" t="e">
        <v>#N/A</v>
      </c>
      <c r="K31" s="4" t="e">
        <v>#N/A</v>
      </c>
      <c r="N31" s="4" t="e">
        <v>#N/A</v>
      </c>
    </row>
    <row r="32" spans="1:15" ht="15.75" customHeight="1">
      <c r="A32" s="4" t="s">
        <v>724</v>
      </c>
      <c r="B32" s="4" t="s">
        <v>726</v>
      </c>
      <c r="C32" s="4" t="s">
        <v>728</v>
      </c>
      <c r="E32" s="4" t="s">
        <v>729</v>
      </c>
      <c r="F32" s="4" t="s">
        <v>731</v>
      </c>
      <c r="H32" s="4" t="s">
        <v>733</v>
      </c>
      <c r="I32" s="4" t="s">
        <v>736</v>
      </c>
      <c r="K32" s="4" t="s">
        <v>737</v>
      </c>
      <c r="L32" s="4" t="s">
        <v>740</v>
      </c>
      <c r="N32" s="4" t="s">
        <v>746</v>
      </c>
      <c r="O32" s="4" t="s">
        <v>749</v>
      </c>
    </row>
    <row r="33" spans="1:15" ht="15.75" customHeight="1">
      <c r="A33" s="4" t="s">
        <v>752</v>
      </c>
      <c r="B33" s="4" t="s">
        <v>753</v>
      </c>
      <c r="C33" s="4" t="s">
        <v>755</v>
      </c>
      <c r="E33" s="4" t="s">
        <v>756</v>
      </c>
      <c r="F33" s="4" t="s">
        <v>758</v>
      </c>
      <c r="H33" s="4" t="s">
        <v>760</v>
      </c>
      <c r="I33" s="4" t="s">
        <v>763</v>
      </c>
      <c r="K33" s="4" t="s">
        <v>765</v>
      </c>
      <c r="L33" s="4" t="s">
        <v>766</v>
      </c>
      <c r="N33" s="4" t="s">
        <v>768</v>
      </c>
      <c r="O33" s="4" t="s">
        <v>770</v>
      </c>
    </row>
    <row r="34" spans="1:15" ht="15.75" customHeight="1">
      <c r="A34" s="4" t="s">
        <v>773</v>
      </c>
      <c r="B34" s="4" t="s">
        <v>774</v>
      </c>
      <c r="C34" s="4" t="s">
        <v>135</v>
      </c>
      <c r="D34" s="4" t="s">
        <v>776</v>
      </c>
      <c r="E34" s="4" t="e">
        <v>#N/A</v>
      </c>
      <c r="H34" s="4" t="s">
        <v>781</v>
      </c>
      <c r="I34" s="4" t="s">
        <v>783</v>
      </c>
      <c r="K34" s="4" t="e">
        <v>#N/A</v>
      </c>
      <c r="N34" s="4" t="e">
        <v>#N/A</v>
      </c>
    </row>
    <row r="35" spans="1:15" ht="15.75" customHeight="1">
      <c r="A35" s="4" t="s">
        <v>787</v>
      </c>
      <c r="B35" s="4" t="s">
        <v>788</v>
      </c>
      <c r="C35" s="4" t="s">
        <v>790</v>
      </c>
      <c r="E35" s="4" t="e">
        <v>#N/A</v>
      </c>
      <c r="H35" s="4" t="s">
        <v>792</v>
      </c>
      <c r="I35" s="4" t="s">
        <v>794</v>
      </c>
      <c r="K35" s="4" t="s">
        <v>795</v>
      </c>
      <c r="L35" s="4" t="s">
        <v>798</v>
      </c>
      <c r="N35" s="4" t="e">
        <v>#N/A</v>
      </c>
    </row>
    <row r="36" spans="1:15" ht="15.75" customHeight="1">
      <c r="A36" s="4" t="s">
        <v>801</v>
      </c>
      <c r="B36" s="4" t="s">
        <v>802</v>
      </c>
      <c r="C36" s="4" t="s">
        <v>804</v>
      </c>
      <c r="E36" s="4" t="e">
        <v>#N/A</v>
      </c>
      <c r="H36" s="4" t="s">
        <v>807</v>
      </c>
      <c r="I36" s="4" t="s">
        <v>809</v>
      </c>
      <c r="K36" s="4" t="s">
        <v>811</v>
      </c>
      <c r="L36" s="4" t="s">
        <v>812</v>
      </c>
      <c r="N36" s="4" t="s">
        <v>814</v>
      </c>
      <c r="O36" s="4" t="s">
        <v>816</v>
      </c>
    </row>
    <row r="37" spans="1:15" ht="15.75" customHeight="1">
      <c r="A37" s="4" t="s">
        <v>819</v>
      </c>
      <c r="B37" s="4" t="s">
        <v>821</v>
      </c>
      <c r="C37" s="4" t="s">
        <v>823</v>
      </c>
      <c r="E37" s="4" t="e">
        <v>#N/A</v>
      </c>
      <c r="H37" s="4" t="s">
        <v>826</v>
      </c>
      <c r="I37" s="4" t="s">
        <v>828</v>
      </c>
      <c r="K37" s="4" t="s">
        <v>829</v>
      </c>
      <c r="L37" s="4" t="s">
        <v>830</v>
      </c>
      <c r="N37" s="4" t="s">
        <v>832</v>
      </c>
      <c r="O37" s="4" t="s">
        <v>834</v>
      </c>
    </row>
    <row r="38" spans="1:15" ht="15.75" customHeight="1">
      <c r="A38" s="4" t="s">
        <v>835</v>
      </c>
      <c r="B38" s="4" t="e">
        <v>#N/A</v>
      </c>
      <c r="E38" s="4" t="s">
        <v>838</v>
      </c>
      <c r="F38" s="4" t="s">
        <v>840</v>
      </c>
      <c r="H38" s="4" t="s">
        <v>841</v>
      </c>
      <c r="I38" s="4" t="s">
        <v>843</v>
      </c>
      <c r="K38" s="4" t="s">
        <v>844</v>
      </c>
      <c r="L38" s="4" t="s">
        <v>846</v>
      </c>
      <c r="N38" s="4" t="s">
        <v>848</v>
      </c>
      <c r="O38" s="4" t="s">
        <v>850</v>
      </c>
    </row>
    <row r="39" spans="1:15" ht="15.75" customHeight="1">
      <c r="A39" s="4" t="s">
        <v>851</v>
      </c>
      <c r="B39" s="4" t="s">
        <v>853</v>
      </c>
      <c r="C39" s="4" t="s">
        <v>855</v>
      </c>
      <c r="E39" s="4" t="s">
        <v>856</v>
      </c>
      <c r="F39" s="4" t="s">
        <v>859</v>
      </c>
      <c r="H39" s="4" t="s">
        <v>860</v>
      </c>
      <c r="I39" s="4" t="s">
        <v>861</v>
      </c>
      <c r="K39" s="4" t="s">
        <v>862</v>
      </c>
      <c r="L39" s="4" t="s">
        <v>863</v>
      </c>
      <c r="N39" s="4" t="e">
        <v>#N/A</v>
      </c>
    </row>
    <row r="40" spans="1:15" ht="15.75" customHeight="1">
      <c r="A40" s="4" t="s">
        <v>866</v>
      </c>
      <c r="B40" s="4" t="e">
        <v>#N/A</v>
      </c>
      <c r="E40" s="4" t="e">
        <v>#N/A</v>
      </c>
      <c r="H40" s="4" t="s">
        <v>871</v>
      </c>
      <c r="I40" s="4" t="s">
        <v>872</v>
      </c>
      <c r="K40" s="4" t="s">
        <v>874</v>
      </c>
      <c r="L40" s="4" t="s">
        <v>875</v>
      </c>
      <c r="N40" s="4" t="s">
        <v>877</v>
      </c>
      <c r="O40" s="4" t="s">
        <v>880</v>
      </c>
    </row>
    <row r="41" spans="1:15" ht="15.75" customHeight="1">
      <c r="A41" s="4" t="s">
        <v>882</v>
      </c>
      <c r="B41" s="4" t="s">
        <v>884</v>
      </c>
      <c r="C41" s="4" t="s">
        <v>885</v>
      </c>
      <c r="E41" s="4" t="s">
        <v>887</v>
      </c>
      <c r="F41" s="4" t="s">
        <v>889</v>
      </c>
      <c r="H41" s="4" t="s">
        <v>891</v>
      </c>
      <c r="I41" s="4" t="s">
        <v>892</v>
      </c>
      <c r="K41" s="4" t="s">
        <v>895</v>
      </c>
      <c r="L41" s="4" t="s">
        <v>896</v>
      </c>
      <c r="N41" s="4" t="s">
        <v>898</v>
      </c>
      <c r="O41" s="4" t="s">
        <v>900</v>
      </c>
    </row>
    <row r="42" spans="1:15" ht="15.75" customHeight="1">
      <c r="A42" s="4" t="s">
        <v>902</v>
      </c>
      <c r="B42" s="4" t="s">
        <v>903</v>
      </c>
      <c r="C42" s="4" t="s">
        <v>904</v>
      </c>
      <c r="E42" s="4" t="s">
        <v>905</v>
      </c>
      <c r="F42" s="4" t="s">
        <v>906</v>
      </c>
      <c r="H42" s="4" t="e">
        <v>#N/A</v>
      </c>
      <c r="K42" s="4" t="s">
        <v>908</v>
      </c>
      <c r="L42" s="4" t="s">
        <v>911</v>
      </c>
      <c r="N42" s="4" t="s">
        <v>913</v>
      </c>
      <c r="O42" s="4" t="s">
        <v>915</v>
      </c>
    </row>
    <row r="43" spans="1:15" ht="15.75" customHeight="1">
      <c r="A43" s="4" t="s">
        <v>917</v>
      </c>
      <c r="B43" s="4" t="s">
        <v>919</v>
      </c>
      <c r="C43" s="4" t="s">
        <v>921</v>
      </c>
      <c r="E43" s="4" t="s">
        <v>923</v>
      </c>
      <c r="F43" s="4" t="s">
        <v>925</v>
      </c>
      <c r="H43" s="4" t="s">
        <v>927</v>
      </c>
      <c r="I43" s="4" t="s">
        <v>928</v>
      </c>
      <c r="K43" s="4" t="s">
        <v>930</v>
      </c>
      <c r="L43" s="4" t="s">
        <v>931</v>
      </c>
      <c r="N43" s="4" t="e">
        <v>#N/A</v>
      </c>
    </row>
    <row r="44" spans="1:15" ht="15.75" customHeight="1">
      <c r="A44" s="4" t="s">
        <v>933</v>
      </c>
      <c r="B44" s="4" t="s">
        <v>935</v>
      </c>
      <c r="C44" s="4" t="s">
        <v>938</v>
      </c>
      <c r="E44" s="4" t="s">
        <v>939</v>
      </c>
      <c r="F44" s="4" t="s">
        <v>941</v>
      </c>
      <c r="H44" s="4" t="s">
        <v>944</v>
      </c>
      <c r="I44" s="4" t="s">
        <v>945</v>
      </c>
      <c r="K44" s="4" t="e">
        <v>#N/A</v>
      </c>
      <c r="N44" s="4" t="e">
        <v>#N/A</v>
      </c>
    </row>
    <row r="45" spans="1:15" ht="15.75" customHeight="1">
      <c r="A45" s="4" t="s">
        <v>950</v>
      </c>
      <c r="B45" s="4" t="s">
        <v>951</v>
      </c>
      <c r="C45" s="4" t="s">
        <v>953</v>
      </c>
      <c r="E45" s="4" t="s">
        <v>954</v>
      </c>
      <c r="F45" s="4" t="s">
        <v>957</v>
      </c>
      <c r="H45" s="4" t="s">
        <v>958</v>
      </c>
      <c r="I45" s="4" t="s">
        <v>960</v>
      </c>
      <c r="K45" s="4" t="e">
        <v>#N/A</v>
      </c>
      <c r="N45" s="4" t="e">
        <v>#N/A</v>
      </c>
    </row>
    <row r="46" spans="1:15" ht="15.75" customHeight="1">
      <c r="A46" s="4" t="s">
        <v>964</v>
      </c>
      <c r="B46" s="4" t="e">
        <v>#N/A</v>
      </c>
      <c r="E46" s="4" t="s">
        <v>967</v>
      </c>
      <c r="F46" s="4" t="s">
        <v>969</v>
      </c>
      <c r="H46" s="4" t="s">
        <v>970</v>
      </c>
      <c r="I46" s="4" t="s">
        <v>972</v>
      </c>
      <c r="K46" s="4" t="e">
        <v>#N/A</v>
      </c>
      <c r="N46" s="4" t="s">
        <v>974</v>
      </c>
      <c r="O46" s="4" t="s">
        <v>976</v>
      </c>
    </row>
    <row r="47" spans="1:15" ht="15.75" customHeight="1">
      <c r="A47" s="4" t="s">
        <v>978</v>
      </c>
      <c r="B47" s="4" t="s">
        <v>979</v>
      </c>
      <c r="C47" s="4" t="s">
        <v>981</v>
      </c>
      <c r="E47" s="4" t="s">
        <v>982</v>
      </c>
      <c r="F47" s="4" t="s">
        <v>984</v>
      </c>
      <c r="H47" s="4" t="e">
        <v>#N/A</v>
      </c>
      <c r="K47" s="4" t="s">
        <v>986</v>
      </c>
      <c r="L47" s="4" t="s">
        <v>987</v>
      </c>
      <c r="N47" s="4" t="s">
        <v>989</v>
      </c>
      <c r="O47" s="4" t="s">
        <v>991</v>
      </c>
    </row>
    <row r="48" spans="1:15" ht="15.75" customHeight="1">
      <c r="A48" s="4" t="s">
        <v>994</v>
      </c>
      <c r="B48" s="4" t="s">
        <v>995</v>
      </c>
      <c r="C48" s="4" t="s">
        <v>997</v>
      </c>
      <c r="E48" s="4" t="s">
        <v>999</v>
      </c>
      <c r="F48" s="4" t="s">
        <v>1001</v>
      </c>
      <c r="H48" s="4" t="s">
        <v>1003</v>
      </c>
      <c r="I48" s="4" t="s">
        <v>1005</v>
      </c>
      <c r="K48" s="4" t="s">
        <v>1006</v>
      </c>
      <c r="L48" s="4" t="s">
        <v>1008</v>
      </c>
      <c r="N48" s="4" t="e">
        <v>#N/A</v>
      </c>
    </row>
    <row r="49" spans="1:15" ht="15.75" customHeight="1">
      <c r="A49" s="4" t="s">
        <v>1011</v>
      </c>
      <c r="B49" s="4" t="s">
        <v>1012</v>
      </c>
      <c r="C49" s="4" t="s">
        <v>1014</v>
      </c>
      <c r="E49" s="4" t="s">
        <v>1015</v>
      </c>
      <c r="F49" s="4" t="s">
        <v>1017</v>
      </c>
      <c r="H49" s="4" t="s">
        <v>1020</v>
      </c>
      <c r="I49" s="4" t="s">
        <v>1022</v>
      </c>
      <c r="K49" s="4" t="e">
        <v>#N/A</v>
      </c>
      <c r="N49" s="4" t="s">
        <v>1024</v>
      </c>
      <c r="O49" s="4" t="s">
        <v>1025</v>
      </c>
    </row>
    <row r="50" spans="1:15" ht="15.75" customHeight="1">
      <c r="A50" s="4" t="s">
        <v>1027</v>
      </c>
      <c r="B50" s="4" t="s">
        <v>1028</v>
      </c>
      <c r="C50" s="4" t="s">
        <v>1030</v>
      </c>
      <c r="E50" s="4" t="e">
        <v>#N/A</v>
      </c>
      <c r="H50" s="4" t="s">
        <v>1035</v>
      </c>
      <c r="I50" s="4" t="s">
        <v>1037</v>
      </c>
      <c r="K50" s="4" t="s">
        <v>1039</v>
      </c>
      <c r="L50" s="4" t="s">
        <v>1041</v>
      </c>
      <c r="N50" s="4" t="s">
        <v>1043</v>
      </c>
      <c r="O50" s="4" t="s">
        <v>1045</v>
      </c>
    </row>
    <row r="51" spans="1:15" ht="15.75" customHeight="1">
      <c r="A51" s="4" t="s">
        <v>1048</v>
      </c>
      <c r="B51" s="4" t="s">
        <v>1050</v>
      </c>
      <c r="C51" s="4" t="s">
        <v>1051</v>
      </c>
      <c r="E51" s="4" t="s">
        <v>1053</v>
      </c>
      <c r="F51" s="4" t="s">
        <v>1056</v>
      </c>
      <c r="H51" s="4" t="s">
        <v>1057</v>
      </c>
      <c r="I51" s="4" t="s">
        <v>1060</v>
      </c>
      <c r="K51" s="4" t="s">
        <v>1062</v>
      </c>
      <c r="L51" s="4" t="s">
        <v>1063</v>
      </c>
      <c r="N51" s="4" t="s">
        <v>1065</v>
      </c>
      <c r="O51" s="4" t="s">
        <v>1067</v>
      </c>
    </row>
    <row r="52" spans="1:15" ht="13">
      <c r="A52" s="4" t="s">
        <v>1069</v>
      </c>
      <c r="B52" s="4" t="s">
        <v>1071</v>
      </c>
      <c r="C52" s="4" t="s">
        <v>1073</v>
      </c>
      <c r="E52" s="4" t="e">
        <v>#N/A</v>
      </c>
      <c r="H52" s="4" t="s">
        <v>1076</v>
      </c>
      <c r="I52" s="4" t="s">
        <v>1078</v>
      </c>
      <c r="K52" s="4" t="s">
        <v>1079</v>
      </c>
      <c r="L52" s="4" t="s">
        <v>1081</v>
      </c>
      <c r="N52" s="4" t="s">
        <v>1082</v>
      </c>
      <c r="O52" s="4" t="s">
        <v>1084</v>
      </c>
    </row>
    <row r="53" spans="1:15" ht="13">
      <c r="A53" s="4" t="s">
        <v>1086</v>
      </c>
      <c r="B53" s="4" t="s">
        <v>1088</v>
      </c>
      <c r="C53" s="4" t="s">
        <v>1090</v>
      </c>
      <c r="E53" s="4" t="e">
        <v>#N/A</v>
      </c>
      <c r="H53" s="4" t="s">
        <v>1091</v>
      </c>
      <c r="I53" s="4" t="s">
        <v>1092</v>
      </c>
      <c r="K53" s="4" t="e">
        <v>#N/A</v>
      </c>
      <c r="N53" s="4" t="e">
        <v>#N/A</v>
      </c>
    </row>
    <row r="54" spans="1:15" ht="13">
      <c r="A54" s="4" t="s">
        <v>1096</v>
      </c>
      <c r="B54" s="4" t="e">
        <v>#N/A</v>
      </c>
      <c r="E54" s="4" t="e">
        <v>#N/A</v>
      </c>
      <c r="H54" s="4" t="s">
        <v>1099</v>
      </c>
      <c r="I54" s="4" t="s">
        <v>1100</v>
      </c>
      <c r="K54" s="4" t="e">
        <v>#N/A</v>
      </c>
      <c r="N54" s="4" t="e">
        <v>#N/A</v>
      </c>
    </row>
    <row r="55" spans="1:15" ht="13">
      <c r="A55" s="4" t="s">
        <v>1103</v>
      </c>
      <c r="B55" s="4" t="s">
        <v>1105</v>
      </c>
      <c r="C55" s="4" t="s">
        <v>1107</v>
      </c>
      <c r="E55" s="4" t="s">
        <v>1108</v>
      </c>
      <c r="F55" s="4" t="s">
        <v>1110</v>
      </c>
      <c r="H55" s="4" t="s">
        <v>1111</v>
      </c>
      <c r="I55" s="4" t="s">
        <v>1113</v>
      </c>
      <c r="K55" s="4" t="e">
        <v>#N/A</v>
      </c>
      <c r="N55" s="4" t="s">
        <v>1115</v>
      </c>
      <c r="O55" s="4" t="s">
        <v>1117</v>
      </c>
    </row>
    <row r="56" spans="1:15" ht="13">
      <c r="A56" s="4" t="s">
        <v>1120</v>
      </c>
      <c r="B56" s="4" t="s">
        <v>1123</v>
      </c>
      <c r="C56" s="4" t="s">
        <v>1126</v>
      </c>
      <c r="E56" s="4" t="s">
        <v>1127</v>
      </c>
      <c r="F56" s="4" t="s">
        <v>1130</v>
      </c>
      <c r="H56" s="4" t="s">
        <v>1131</v>
      </c>
      <c r="I56" s="4" t="s">
        <v>1133</v>
      </c>
      <c r="K56" s="4" t="s">
        <v>1135</v>
      </c>
      <c r="L56" s="4" t="s">
        <v>1137</v>
      </c>
      <c r="N56" s="4" t="s">
        <v>1139</v>
      </c>
      <c r="O56" s="4" t="s">
        <v>1140</v>
      </c>
    </row>
    <row r="57" spans="1:15" ht="13">
      <c r="A57" s="4" t="s">
        <v>1142</v>
      </c>
      <c r="B57" s="4" t="e">
        <v>#N/A</v>
      </c>
      <c r="E57" s="4" t="s">
        <v>1145</v>
      </c>
      <c r="F57" s="4" t="s">
        <v>1147</v>
      </c>
      <c r="H57" s="4" t="s">
        <v>1149</v>
      </c>
      <c r="I57" s="4" t="s">
        <v>1151</v>
      </c>
      <c r="K57" s="4" t="e">
        <v>#N/A</v>
      </c>
      <c r="N57" s="4" t="s">
        <v>1154</v>
      </c>
      <c r="O57" s="4" t="s">
        <v>1155</v>
      </c>
    </row>
    <row r="58" spans="1:15" ht="13">
      <c r="A58" s="4" t="s">
        <v>1158</v>
      </c>
      <c r="B58" s="4" t="s">
        <v>1159</v>
      </c>
      <c r="C58" s="4" t="s">
        <v>1163</v>
      </c>
      <c r="E58" s="4" t="e">
        <v>#N/A</v>
      </c>
      <c r="H58" s="4" t="s">
        <v>1165</v>
      </c>
      <c r="I58" s="4" t="s">
        <v>1166</v>
      </c>
      <c r="K58" s="4" t="s">
        <v>1168</v>
      </c>
      <c r="L58" s="4" t="s">
        <v>1169</v>
      </c>
      <c r="N58" s="4" t="s">
        <v>1170</v>
      </c>
      <c r="O58" s="4" t="s">
        <v>135</v>
      </c>
    </row>
    <row r="59" spans="1:15" ht="13">
      <c r="A59" s="4" t="s">
        <v>1173</v>
      </c>
      <c r="B59" s="4" t="e">
        <v>#N/A</v>
      </c>
      <c r="E59" s="4" t="s">
        <v>1175</v>
      </c>
      <c r="F59" s="4" t="s">
        <v>1177</v>
      </c>
      <c r="H59" s="4" t="e">
        <v>#N/A</v>
      </c>
      <c r="K59" s="4" t="e">
        <v>#N/A</v>
      </c>
      <c r="N59" s="4" t="s">
        <v>1178</v>
      </c>
      <c r="O59" s="4" t="s">
        <v>1179</v>
      </c>
    </row>
    <row r="60" spans="1:15" ht="13">
      <c r="A60" s="4" t="s">
        <v>1181</v>
      </c>
      <c r="B60" s="4" t="s">
        <v>1183</v>
      </c>
      <c r="C60" s="4" t="s">
        <v>1185</v>
      </c>
      <c r="E60" s="4" t="e">
        <v>#N/A</v>
      </c>
      <c r="H60" s="4" t="e">
        <v>#N/A</v>
      </c>
      <c r="K60" s="4" t="s">
        <v>1188</v>
      </c>
      <c r="L60" s="4" t="s">
        <v>1190</v>
      </c>
      <c r="N60" s="4" t="s">
        <v>1191</v>
      </c>
      <c r="O60" s="4" t="s">
        <v>1192</v>
      </c>
    </row>
    <row r="61" spans="1:15" ht="13">
      <c r="A61" s="4" t="s">
        <v>1193</v>
      </c>
      <c r="B61" s="4" t="s">
        <v>1194</v>
      </c>
      <c r="C61" s="4" t="s">
        <v>1196</v>
      </c>
      <c r="E61" s="4" t="s">
        <v>1198</v>
      </c>
      <c r="F61" s="4" t="s">
        <v>1200</v>
      </c>
      <c r="H61" s="4" t="s">
        <v>1201</v>
      </c>
      <c r="I61" s="4" t="s">
        <v>1203</v>
      </c>
      <c r="K61" s="4" t="s">
        <v>1205</v>
      </c>
      <c r="L61" s="4" t="s">
        <v>1206</v>
      </c>
      <c r="N61" s="4" t="s">
        <v>1208</v>
      </c>
      <c r="O61" s="4" t="s">
        <v>1209</v>
      </c>
    </row>
    <row r="62" spans="1:15" ht="13">
      <c r="A62" s="4" t="s">
        <v>1213</v>
      </c>
      <c r="B62" s="4" t="e">
        <v>#N/A</v>
      </c>
      <c r="E62" s="4" t="s">
        <v>1215</v>
      </c>
      <c r="F62" s="4" t="s">
        <v>1217</v>
      </c>
      <c r="H62" s="4" t="s">
        <v>1219</v>
      </c>
      <c r="I62" s="4" t="s">
        <v>1221</v>
      </c>
      <c r="K62" s="4" t="e">
        <v>#N/A</v>
      </c>
      <c r="N62" s="4" t="e">
        <v>#N/A</v>
      </c>
    </row>
    <row r="63" spans="1:15" ht="13">
      <c r="A63" s="4" t="s">
        <v>1224</v>
      </c>
      <c r="B63" s="4" t="e">
        <v>#N/A</v>
      </c>
      <c r="E63" s="4" t="s">
        <v>1227</v>
      </c>
      <c r="F63" s="4" t="s">
        <v>1228</v>
      </c>
      <c r="H63" s="4" t="s">
        <v>1229</v>
      </c>
      <c r="I63" s="4" t="s">
        <v>1231</v>
      </c>
      <c r="K63" s="4" t="s">
        <v>1233</v>
      </c>
      <c r="L63" s="4" t="s">
        <v>1236</v>
      </c>
      <c r="N63" s="4" t="s">
        <v>1237</v>
      </c>
      <c r="O63" s="4" t="s">
        <v>1239</v>
      </c>
    </row>
    <row r="64" spans="1:15" ht="13">
      <c r="A64" s="4" t="s">
        <v>1242</v>
      </c>
      <c r="B64" s="4" t="s">
        <v>1243</v>
      </c>
      <c r="C64" s="4" t="s">
        <v>1245</v>
      </c>
      <c r="E64" s="4" t="e">
        <v>#N/A</v>
      </c>
      <c r="H64" s="4" t="s">
        <v>1248</v>
      </c>
      <c r="I64" s="4" t="s">
        <v>1250</v>
      </c>
      <c r="K64" s="4" t="s">
        <v>1252</v>
      </c>
      <c r="L64" s="4" t="s">
        <v>1254</v>
      </c>
      <c r="N64" s="4" t="s">
        <v>1256</v>
      </c>
      <c r="O64" s="4" t="s">
        <v>1257</v>
      </c>
    </row>
    <row r="65" spans="1:15" ht="13">
      <c r="A65" s="4" t="s">
        <v>1260</v>
      </c>
      <c r="B65" s="4" t="s">
        <v>1261</v>
      </c>
      <c r="C65" s="4" t="s">
        <v>1263</v>
      </c>
      <c r="E65" s="4" t="s">
        <v>1264</v>
      </c>
      <c r="F65" s="4" t="s">
        <v>1266</v>
      </c>
      <c r="H65" s="4" t="s">
        <v>1268</v>
      </c>
      <c r="I65" s="4" t="s">
        <v>1270</v>
      </c>
      <c r="K65" s="4" t="s">
        <v>1272</v>
      </c>
      <c r="L65" s="4" t="s">
        <v>1274</v>
      </c>
      <c r="N65" s="4"/>
    </row>
    <row r="66" spans="1:15" ht="13">
      <c r="A66" s="4" t="s">
        <v>1277</v>
      </c>
      <c r="B66" s="4" t="s">
        <v>1279</v>
      </c>
      <c r="C66" s="4" t="s">
        <v>1280</v>
      </c>
      <c r="E66" s="4" t="s">
        <v>1282</v>
      </c>
      <c r="F66" s="4" t="s">
        <v>1284</v>
      </c>
      <c r="H66" s="4" t="e">
        <v>#N/A</v>
      </c>
      <c r="K66" s="4" t="e">
        <v>#N/A</v>
      </c>
      <c r="N66" s="4" t="s">
        <v>1286</v>
      </c>
      <c r="O66" s="4" t="s">
        <v>1288</v>
      </c>
    </row>
    <row r="67" spans="1:15" ht="13">
      <c r="A67" s="4" t="s">
        <v>1289</v>
      </c>
      <c r="B67" s="4" t="s">
        <v>1290</v>
      </c>
      <c r="C67" s="4" t="s">
        <v>1292</v>
      </c>
      <c r="E67" s="4" t="s">
        <v>1293</v>
      </c>
      <c r="F67" s="4" t="s">
        <v>1295</v>
      </c>
      <c r="H67" s="4" t="s">
        <v>1296</v>
      </c>
      <c r="I67" s="4" t="s">
        <v>1298</v>
      </c>
      <c r="K67" s="4" t="s">
        <v>1300</v>
      </c>
      <c r="L67" s="4" t="s">
        <v>1302</v>
      </c>
      <c r="N67" s="4" t="s">
        <v>1303</v>
      </c>
      <c r="O67" s="4" t="s">
        <v>1306</v>
      </c>
    </row>
    <row r="68" spans="1:15" ht="13">
      <c r="A68" s="4" t="s">
        <v>1308</v>
      </c>
      <c r="B68" s="4" t="s">
        <v>1309</v>
      </c>
      <c r="C68" s="4" t="s">
        <v>1311</v>
      </c>
      <c r="E68" s="4" t="s">
        <v>1313</v>
      </c>
      <c r="F68" s="4" t="s">
        <v>1314</v>
      </c>
      <c r="H68" s="4" t="s">
        <v>1316</v>
      </c>
      <c r="I68" s="4" t="s">
        <v>1318</v>
      </c>
      <c r="K68" s="4" t="e">
        <v>#N/A</v>
      </c>
      <c r="N68" s="4" t="s">
        <v>1320</v>
      </c>
      <c r="O68" s="4" t="s">
        <v>1322</v>
      </c>
    </row>
    <row r="69" spans="1:15" ht="13">
      <c r="A69" s="4" t="s">
        <v>1323</v>
      </c>
      <c r="B69" s="4" t="s">
        <v>1325</v>
      </c>
      <c r="C69" s="4" t="s">
        <v>1327</v>
      </c>
      <c r="E69" s="4" t="e">
        <v>#N/A</v>
      </c>
      <c r="H69" s="4" t="s">
        <v>1330</v>
      </c>
      <c r="I69" s="4" t="s">
        <v>1331</v>
      </c>
      <c r="K69" s="4" t="s">
        <v>1333</v>
      </c>
      <c r="L69" s="4" t="s">
        <v>1335</v>
      </c>
      <c r="N69" s="4" t="s">
        <v>1336</v>
      </c>
      <c r="O69" s="4" t="s">
        <v>1338</v>
      </c>
    </row>
    <row r="70" spans="1:15" ht="13">
      <c r="A70" s="4" t="s">
        <v>1340</v>
      </c>
      <c r="B70" s="4" t="s">
        <v>1342</v>
      </c>
      <c r="C70" s="4" t="s">
        <v>1344</v>
      </c>
      <c r="E70" s="4" t="s">
        <v>1346</v>
      </c>
      <c r="F70" s="4" t="s">
        <v>1347</v>
      </c>
      <c r="H70" s="4" t="s">
        <v>1349</v>
      </c>
      <c r="I70" s="4" t="s">
        <v>1351</v>
      </c>
      <c r="K70" s="4" t="s">
        <v>1353</v>
      </c>
      <c r="L70" s="4" t="s">
        <v>1355</v>
      </c>
      <c r="N70" s="4"/>
    </row>
    <row r="71" spans="1:15" ht="13">
      <c r="A71" s="4" t="s">
        <v>1358</v>
      </c>
      <c r="B71" s="4" t="s">
        <v>1360</v>
      </c>
      <c r="C71" s="4" t="s">
        <v>1361</v>
      </c>
      <c r="E71" s="4" t="s">
        <v>1362</v>
      </c>
      <c r="F71" s="4" t="s">
        <v>1363</v>
      </c>
      <c r="H71" s="4" t="s">
        <v>1365</v>
      </c>
      <c r="I71" s="4" t="s">
        <v>1366</v>
      </c>
      <c r="K71" s="4" t="s">
        <v>1368</v>
      </c>
      <c r="L71" s="4" t="s">
        <v>1370</v>
      </c>
      <c r="N71" s="4" t="e">
        <v>#N/A</v>
      </c>
    </row>
    <row r="72" spans="1:15" ht="13">
      <c r="A72" s="4" t="s">
        <v>1373</v>
      </c>
      <c r="B72" s="4" t="s">
        <v>1375</v>
      </c>
      <c r="C72" s="4" t="s">
        <v>1377</v>
      </c>
      <c r="E72" s="4" t="s">
        <v>1378</v>
      </c>
      <c r="F72" s="4" t="s">
        <v>1381</v>
      </c>
      <c r="H72" s="4" t="s">
        <v>1382</v>
      </c>
      <c r="I72" s="4" t="s">
        <v>1384</v>
      </c>
      <c r="K72" s="4" t="e">
        <v>#N/A</v>
      </c>
      <c r="N72" s="4" t="s">
        <v>1387</v>
      </c>
      <c r="O72" s="4" t="s">
        <v>1389</v>
      </c>
    </row>
    <row r="73" spans="1:15" ht="13">
      <c r="A73" s="4" t="s">
        <v>1391</v>
      </c>
      <c r="B73" s="4" t="s">
        <v>1393</v>
      </c>
      <c r="C73" s="4" t="s">
        <v>1395</v>
      </c>
      <c r="E73" s="4" t="e">
        <v>#N/A</v>
      </c>
      <c r="H73" s="4" t="s">
        <v>1398</v>
      </c>
      <c r="I73" s="4" t="s">
        <v>1400</v>
      </c>
      <c r="K73" s="4" t="s">
        <v>1401</v>
      </c>
      <c r="L73" s="4" t="s">
        <v>1403</v>
      </c>
      <c r="N73" s="4" t="s">
        <v>1404</v>
      </c>
      <c r="O73" s="4" t="s">
        <v>1406</v>
      </c>
    </row>
    <row r="74" spans="1:15" ht="13">
      <c r="A74" s="4" t="s">
        <v>1408</v>
      </c>
      <c r="B74" s="4" t="s">
        <v>1409</v>
      </c>
      <c r="C74" s="4" t="s">
        <v>1411</v>
      </c>
      <c r="E74" s="4" t="s">
        <v>1413</v>
      </c>
      <c r="F74" s="4" t="s">
        <v>1414</v>
      </c>
      <c r="H74" s="4" t="s">
        <v>1416</v>
      </c>
      <c r="I74" s="4" t="s">
        <v>1418</v>
      </c>
      <c r="K74" s="4" t="e">
        <v>#N/A</v>
      </c>
      <c r="N74" s="4" t="e">
        <v>#N/A</v>
      </c>
    </row>
    <row r="75" spans="1:15" ht="13">
      <c r="A75" s="4" t="s">
        <v>1421</v>
      </c>
      <c r="B75" s="4" t="e">
        <v>#N/A</v>
      </c>
      <c r="E75" s="4" t="s">
        <v>1422</v>
      </c>
      <c r="F75" s="4" t="s">
        <v>1424</v>
      </c>
      <c r="H75" s="4" t="e">
        <v>#N/A</v>
      </c>
      <c r="K75" s="4" t="s">
        <v>1427</v>
      </c>
      <c r="L75" s="4" t="s">
        <v>1430</v>
      </c>
      <c r="N75" s="4" t="e">
        <v>#N/A</v>
      </c>
    </row>
    <row r="76" spans="1:15" ht="13">
      <c r="A76" s="4" t="s">
        <v>1433</v>
      </c>
      <c r="B76" s="4" t="s">
        <v>1435</v>
      </c>
      <c r="C76" s="4" t="s">
        <v>1437</v>
      </c>
      <c r="E76" s="4" t="s">
        <v>1439</v>
      </c>
      <c r="F76" s="4" t="s">
        <v>1441</v>
      </c>
      <c r="H76" s="4" t="s">
        <v>1443</v>
      </c>
      <c r="I76" s="4" t="s">
        <v>1444</v>
      </c>
      <c r="K76" s="4" t="s">
        <v>1446</v>
      </c>
      <c r="L76" s="4" t="s">
        <v>1448</v>
      </c>
      <c r="N76" s="4" t="s">
        <v>1450</v>
      </c>
      <c r="O76" s="4" t="s">
        <v>1452</v>
      </c>
    </row>
    <row r="77" spans="1:15" ht="13">
      <c r="A77" s="4" t="s">
        <v>1455</v>
      </c>
      <c r="B77" s="4" t="e">
        <v>#N/A</v>
      </c>
      <c r="E77" s="4" t="s">
        <v>1457</v>
      </c>
      <c r="F77" s="4" t="s">
        <v>1459</v>
      </c>
      <c r="H77" s="4" t="s">
        <v>1460</v>
      </c>
      <c r="I77" s="4" t="s">
        <v>1462</v>
      </c>
      <c r="K77" s="4" t="s">
        <v>1463</v>
      </c>
      <c r="L77" s="4" t="s">
        <v>1465</v>
      </c>
      <c r="N77" s="4" t="s">
        <v>1466</v>
      </c>
      <c r="O77" s="4" t="s">
        <v>1467</v>
      </c>
    </row>
    <row r="78" spans="1:15" ht="13">
      <c r="A78" s="4" t="s">
        <v>1470</v>
      </c>
      <c r="B78" s="4" t="e">
        <v>#N/A</v>
      </c>
      <c r="E78" s="4" t="s">
        <v>1472</v>
      </c>
      <c r="F78" s="4" t="s">
        <v>1474</v>
      </c>
      <c r="H78" s="4" t="s">
        <v>1476</v>
      </c>
      <c r="I78" s="4" t="s">
        <v>1477</v>
      </c>
      <c r="K78" s="4" t="s">
        <v>1478</v>
      </c>
      <c r="L78" s="4" t="s">
        <v>1480</v>
      </c>
      <c r="N78" s="4" t="s">
        <v>1482</v>
      </c>
      <c r="O78" s="4" t="s">
        <v>1484</v>
      </c>
    </row>
    <row r="79" spans="1:15" ht="13">
      <c r="A79" s="4" t="s">
        <v>1487</v>
      </c>
      <c r="B79" s="4" t="e">
        <v>#N/A</v>
      </c>
      <c r="E79" s="4" t="s">
        <v>1489</v>
      </c>
      <c r="F79" s="4" t="s">
        <v>1491</v>
      </c>
      <c r="H79" s="4" t="e">
        <v>#N/A</v>
      </c>
      <c r="K79" s="4" t="s">
        <v>1493</v>
      </c>
      <c r="L79" s="4" t="s">
        <v>1495</v>
      </c>
      <c r="N79" s="4" t="s">
        <v>1496</v>
      </c>
      <c r="O79" s="4" t="s">
        <v>1499</v>
      </c>
    </row>
    <row r="80" spans="1:15" ht="13">
      <c r="A80" s="4" t="s">
        <v>1501</v>
      </c>
      <c r="B80" s="4" t="e">
        <v>#N/A</v>
      </c>
      <c r="E80" s="4" t="s">
        <v>1504</v>
      </c>
      <c r="F80" s="4" t="s">
        <v>1506</v>
      </c>
      <c r="H80" s="4" t="e">
        <v>#N/A</v>
      </c>
      <c r="K80" s="4" t="s">
        <v>1508</v>
      </c>
      <c r="L80" s="4" t="s">
        <v>1510</v>
      </c>
      <c r="N80" s="4" t="s">
        <v>1512</v>
      </c>
      <c r="O80" s="4" t="s">
        <v>1514</v>
      </c>
    </row>
    <row r="81" spans="1:15" ht="13">
      <c r="A81" s="4" t="s">
        <v>1516</v>
      </c>
      <c r="B81" s="4" t="s">
        <v>1518</v>
      </c>
      <c r="C81" s="4" t="s">
        <v>1519</v>
      </c>
      <c r="E81" s="4" t="e">
        <v>#N/A</v>
      </c>
      <c r="H81" s="4" t="s">
        <v>1522</v>
      </c>
      <c r="I81" s="4" t="s">
        <v>1524</v>
      </c>
      <c r="K81" s="4" t="s">
        <v>1525</v>
      </c>
      <c r="L81" s="4" t="s">
        <v>1527</v>
      </c>
      <c r="N81" s="4" t="s">
        <v>1529</v>
      </c>
      <c r="O81" s="4" t="s">
        <v>1531</v>
      </c>
    </row>
    <row r="82" spans="1:15" ht="13">
      <c r="A82" s="4" t="s">
        <v>1533</v>
      </c>
      <c r="B82" s="4" t="s">
        <v>1536</v>
      </c>
      <c r="C82" s="4" t="s">
        <v>1538</v>
      </c>
      <c r="E82" s="4" t="e">
        <v>#N/A</v>
      </c>
      <c r="H82" s="4" t="s">
        <v>1540</v>
      </c>
      <c r="I82" s="4" t="s">
        <v>1542</v>
      </c>
      <c r="K82" s="4" t="s">
        <v>1544</v>
      </c>
      <c r="L82" s="4" t="s">
        <v>1545</v>
      </c>
      <c r="N82" s="4"/>
    </row>
    <row r="83" spans="1:15" ht="13">
      <c r="A83" s="4" t="s">
        <v>1548</v>
      </c>
      <c r="B83" s="4" t="s">
        <v>1549</v>
      </c>
      <c r="C83" s="4" t="s">
        <v>1551</v>
      </c>
      <c r="E83" s="4" t="s">
        <v>1553</v>
      </c>
      <c r="F83" s="4" t="s">
        <v>1554</v>
      </c>
      <c r="H83" s="4" t="e">
        <v>#N/A</v>
      </c>
      <c r="K83" s="4" t="e">
        <v>#N/A</v>
      </c>
      <c r="N83" s="4" t="s">
        <v>1557</v>
      </c>
      <c r="O83" s="4" t="s">
        <v>1559</v>
      </c>
    </row>
    <row r="84" spans="1:15" ht="13">
      <c r="A84" s="4" t="s">
        <v>1560</v>
      </c>
      <c r="B84" s="4" t="s">
        <v>1561</v>
      </c>
      <c r="C84" s="4" t="s">
        <v>1563</v>
      </c>
      <c r="E84" s="4" t="e">
        <v>#N/A</v>
      </c>
      <c r="H84" s="4" t="s">
        <v>1566</v>
      </c>
      <c r="I84" s="4" t="s">
        <v>1568</v>
      </c>
      <c r="K84" s="4" t="s">
        <v>1570</v>
      </c>
      <c r="L84" s="4" t="s">
        <v>1575</v>
      </c>
      <c r="N84" s="4" t="e">
        <v>#N/A</v>
      </c>
    </row>
    <row r="85" spans="1:15" ht="13">
      <c r="A85" s="4" t="s">
        <v>1578</v>
      </c>
      <c r="B85" s="4" t="e">
        <v>#N/A</v>
      </c>
      <c r="E85" s="4" t="s">
        <v>1580</v>
      </c>
      <c r="F85" s="4" t="s">
        <v>1583</v>
      </c>
      <c r="H85" s="4" t="e">
        <v>#N/A</v>
      </c>
      <c r="K85" s="4" t="s">
        <v>1585</v>
      </c>
      <c r="L85" s="4" t="s">
        <v>1586</v>
      </c>
      <c r="N85" s="4" t="s">
        <v>1587</v>
      </c>
      <c r="O85" s="4" t="s">
        <v>1589</v>
      </c>
    </row>
    <row r="86" spans="1:15" ht="13">
      <c r="A86" s="4" t="s">
        <v>1590</v>
      </c>
      <c r="B86" s="4" t="s">
        <v>1592</v>
      </c>
      <c r="C86" s="4" t="s">
        <v>1594</v>
      </c>
      <c r="E86" s="4" t="s">
        <v>1595</v>
      </c>
      <c r="F86" s="4" t="s">
        <v>1596</v>
      </c>
      <c r="H86" s="4" t="e">
        <v>#N/A</v>
      </c>
      <c r="K86" s="4" t="e">
        <v>#N/A</v>
      </c>
      <c r="N86" s="4" t="s">
        <v>1598</v>
      </c>
      <c r="O86" s="4" t="s">
        <v>1599</v>
      </c>
    </row>
    <row r="87" spans="1:15" ht="13">
      <c r="A87" s="4" t="s">
        <v>1601</v>
      </c>
      <c r="B87" s="4" t="s">
        <v>1603</v>
      </c>
      <c r="C87" s="4" t="s">
        <v>1605</v>
      </c>
      <c r="E87" s="4" t="s">
        <v>1606</v>
      </c>
      <c r="F87" s="4" t="s">
        <v>1608</v>
      </c>
      <c r="H87" s="4" t="s">
        <v>1609</v>
      </c>
      <c r="I87" s="4" t="s">
        <v>1610</v>
      </c>
      <c r="K87" s="4" t="s">
        <v>1612</v>
      </c>
      <c r="L87" s="4" t="s">
        <v>1614</v>
      </c>
      <c r="N87" s="4" t="s">
        <v>1615</v>
      </c>
      <c r="O87" s="4" t="s">
        <v>1617</v>
      </c>
    </row>
    <row r="88" spans="1:15" ht="13">
      <c r="A88" s="4" t="s">
        <v>1619</v>
      </c>
      <c r="B88" s="4" t="s">
        <v>1620</v>
      </c>
      <c r="C88" s="4" t="s">
        <v>1623</v>
      </c>
      <c r="E88" s="4" t="s">
        <v>1624</v>
      </c>
      <c r="F88" s="4" t="s">
        <v>1626</v>
      </c>
      <c r="H88" s="4" t="e">
        <v>#N/A</v>
      </c>
      <c r="K88" s="4" t="s">
        <v>1629</v>
      </c>
      <c r="L88" s="4" t="s">
        <v>1631</v>
      </c>
      <c r="N88" s="4" t="e">
        <v>#N/A</v>
      </c>
    </row>
    <row r="89" spans="1:15" ht="13">
      <c r="A89" s="4" t="s">
        <v>1636</v>
      </c>
      <c r="B89" s="4" t="s">
        <v>1637</v>
      </c>
      <c r="C89" s="4" t="s">
        <v>1638</v>
      </c>
      <c r="E89" s="4" t="s">
        <v>1639</v>
      </c>
      <c r="F89" s="4" t="s">
        <v>1642</v>
      </c>
      <c r="H89" s="4" t="s">
        <v>1643</v>
      </c>
      <c r="I89" s="4" t="s">
        <v>1645</v>
      </c>
      <c r="K89" s="4" t="s">
        <v>1646</v>
      </c>
      <c r="L89" s="4" t="s">
        <v>1648</v>
      </c>
      <c r="N89" s="4" t="s">
        <v>1649</v>
      </c>
      <c r="O89" s="4" t="s">
        <v>1651</v>
      </c>
    </row>
    <row r="90" spans="1:15" ht="13">
      <c r="A90" s="4" t="s">
        <v>1654</v>
      </c>
      <c r="B90" s="4" t="e">
        <v>#N/A</v>
      </c>
      <c r="E90" s="4" t="e">
        <v>#N/A</v>
      </c>
      <c r="H90" s="4" t="s">
        <v>1657</v>
      </c>
      <c r="I90" s="4" t="s">
        <v>1659</v>
      </c>
      <c r="K90" s="4" t="e">
        <v>#N/A</v>
      </c>
      <c r="N90" s="4" t="s">
        <v>1662</v>
      </c>
      <c r="O90" s="4" t="s">
        <v>1664</v>
      </c>
    </row>
    <row r="91" spans="1:15" ht="13">
      <c r="A91" s="4" t="s">
        <v>1666</v>
      </c>
      <c r="B91" s="4" t="s">
        <v>1667</v>
      </c>
      <c r="C91" s="4" t="s">
        <v>1668</v>
      </c>
      <c r="E91" s="4" t="s">
        <v>1669</v>
      </c>
      <c r="F91" s="4" t="s">
        <v>1671</v>
      </c>
      <c r="H91" s="4" t="s">
        <v>1673</v>
      </c>
      <c r="I91" s="4" t="s">
        <v>1674</v>
      </c>
      <c r="K91" s="4" t="e">
        <v>#N/A</v>
      </c>
      <c r="N91" s="4" t="s">
        <v>1677</v>
      </c>
      <c r="O91" s="4" t="s">
        <v>1679</v>
      </c>
    </row>
    <row r="92" spans="1:15" ht="13">
      <c r="A92" s="4" t="s">
        <v>1681</v>
      </c>
      <c r="B92" s="4" t="e">
        <v>#N/A</v>
      </c>
      <c r="E92" s="4" t="s">
        <v>1684</v>
      </c>
      <c r="F92" s="4" t="s">
        <v>1686</v>
      </c>
      <c r="H92" s="4" t="s">
        <v>1688</v>
      </c>
      <c r="I92" s="4" t="s">
        <v>1690</v>
      </c>
      <c r="K92" s="4" t="s">
        <v>1692</v>
      </c>
      <c r="L92" s="4" t="s">
        <v>1695</v>
      </c>
      <c r="N92" s="4" t="s">
        <v>1696</v>
      </c>
      <c r="O92" s="4" t="s">
        <v>1697</v>
      </c>
    </row>
    <row r="93" spans="1:15" ht="13">
      <c r="A93" s="4" t="s">
        <v>1699</v>
      </c>
      <c r="B93" s="4" t="e">
        <v>#N/A</v>
      </c>
      <c r="E93" s="4" t="s">
        <v>1702</v>
      </c>
      <c r="F93" s="4" t="s">
        <v>1704</v>
      </c>
      <c r="H93" s="4" t="s">
        <v>1705</v>
      </c>
      <c r="I93" s="4" t="s">
        <v>1706</v>
      </c>
      <c r="K93" s="4" t="s">
        <v>1707</v>
      </c>
      <c r="L93" s="4" t="s">
        <v>1708</v>
      </c>
      <c r="N93" s="4" t="s">
        <v>1710</v>
      </c>
      <c r="O93" s="4" t="s">
        <v>1712</v>
      </c>
    </row>
    <row r="94" spans="1:15" ht="13">
      <c r="A94" s="4" t="s">
        <v>1714</v>
      </c>
      <c r="B94" s="4" t="s">
        <v>1715</v>
      </c>
      <c r="C94" s="4" t="s">
        <v>1717</v>
      </c>
      <c r="E94" s="4" t="s">
        <v>1718</v>
      </c>
      <c r="F94" s="4" t="s">
        <v>1721</v>
      </c>
      <c r="H94" s="4" t="s">
        <v>1723</v>
      </c>
      <c r="I94" s="4" t="s">
        <v>1724</v>
      </c>
      <c r="K94" s="4" t="s">
        <v>1725</v>
      </c>
      <c r="L94" s="4" t="s">
        <v>1728</v>
      </c>
      <c r="N94" s="4" t="e">
        <v>#N/A</v>
      </c>
    </row>
    <row r="95" spans="1:15" ht="13">
      <c r="A95" s="4" t="s">
        <v>1731</v>
      </c>
      <c r="B95" s="4" t="s">
        <v>1732</v>
      </c>
      <c r="C95" s="4" t="s">
        <v>1734</v>
      </c>
      <c r="E95" s="4" t="s">
        <v>1736</v>
      </c>
      <c r="F95" s="4" t="s">
        <v>1738</v>
      </c>
      <c r="H95" s="4" t="s">
        <v>1739</v>
      </c>
      <c r="I95" s="4" t="s">
        <v>1741</v>
      </c>
      <c r="K95" s="4" t="s">
        <v>1743</v>
      </c>
      <c r="L95" s="4" t="s">
        <v>1745</v>
      </c>
      <c r="N95" s="4" t="e">
        <v>#N/A</v>
      </c>
    </row>
    <row r="96" spans="1:15" ht="13">
      <c r="A96" s="4" t="s">
        <v>1748</v>
      </c>
      <c r="B96" s="4" t="s">
        <v>1749</v>
      </c>
      <c r="C96" s="4" t="s">
        <v>1751</v>
      </c>
      <c r="E96" s="4" t="s">
        <v>1752</v>
      </c>
      <c r="F96" s="4" t="s">
        <v>1753</v>
      </c>
      <c r="H96" s="4" t="s">
        <v>1754</v>
      </c>
      <c r="I96" s="4" t="s">
        <v>1756</v>
      </c>
      <c r="K96" s="4" t="e">
        <v>#N/A</v>
      </c>
      <c r="N96" s="4" t="s">
        <v>1758</v>
      </c>
      <c r="O96" s="4" t="s">
        <v>1760</v>
      </c>
    </row>
    <row r="97" spans="1:15" ht="13">
      <c r="A97" s="4" t="s">
        <v>1762</v>
      </c>
      <c r="B97" s="4" t="s">
        <v>1764</v>
      </c>
      <c r="C97" s="4" t="s">
        <v>1766</v>
      </c>
      <c r="E97" s="4" t="s">
        <v>1767</v>
      </c>
      <c r="F97" s="4" t="s">
        <v>1769</v>
      </c>
      <c r="H97" s="4" t="s">
        <v>1771</v>
      </c>
      <c r="I97" s="4" t="s">
        <v>1772</v>
      </c>
      <c r="K97" s="4" t="s">
        <v>1773</v>
      </c>
      <c r="L97" s="4" t="s">
        <v>1775</v>
      </c>
      <c r="N97" s="4" t="s">
        <v>1777</v>
      </c>
      <c r="O97" s="4" t="s">
        <v>1779</v>
      </c>
    </row>
    <row r="98" spans="1:15" ht="13">
      <c r="A98" s="4" t="s">
        <v>1781</v>
      </c>
      <c r="B98" s="4" t="s">
        <v>1783</v>
      </c>
      <c r="C98" s="4" t="s">
        <v>1785</v>
      </c>
      <c r="E98" s="4" t="e">
        <v>#N/A</v>
      </c>
      <c r="H98" s="4" t="s">
        <v>1787</v>
      </c>
      <c r="I98" s="4" t="s">
        <v>1788</v>
      </c>
      <c r="K98" s="4"/>
      <c r="N98" s="4" t="s">
        <v>1791</v>
      </c>
      <c r="O98" s="4" t="s">
        <v>1793</v>
      </c>
    </row>
    <row r="99" spans="1:15" ht="13">
      <c r="A99" s="4" t="s">
        <v>1795</v>
      </c>
      <c r="B99" s="4" t="s">
        <v>1797</v>
      </c>
      <c r="C99" s="4" t="s">
        <v>1799</v>
      </c>
      <c r="E99" s="4" t="s">
        <v>1801</v>
      </c>
      <c r="F99" s="4" t="s">
        <v>1803</v>
      </c>
      <c r="H99" s="4" t="e">
        <v>#N/A</v>
      </c>
      <c r="K99" s="4" t="s">
        <v>1806</v>
      </c>
      <c r="L99" s="4" t="s">
        <v>1808</v>
      </c>
      <c r="N99" s="4" t="e">
        <v>#N/A</v>
      </c>
    </row>
    <row r="100" spans="1:15" ht="13">
      <c r="A100" s="4" t="s">
        <v>1810</v>
      </c>
      <c r="B100" s="4" t="s">
        <v>1812</v>
      </c>
      <c r="C100" s="4" t="s">
        <v>1814</v>
      </c>
      <c r="E100" s="4" t="s">
        <v>1815</v>
      </c>
      <c r="F100" s="4" t="s">
        <v>1816</v>
      </c>
      <c r="H100" s="4" t="s">
        <v>1818</v>
      </c>
      <c r="I100" s="4" t="s">
        <v>1820</v>
      </c>
      <c r="K100" s="4" t="s">
        <v>1821</v>
      </c>
      <c r="L100" s="4" t="s">
        <v>1823</v>
      </c>
      <c r="N100" s="4" t="s">
        <v>1824</v>
      </c>
      <c r="O100" s="4" t="s">
        <v>1826</v>
      </c>
    </row>
    <row r="101" spans="1:15" ht="13">
      <c r="A101" s="4" t="s">
        <v>1829</v>
      </c>
      <c r="B101" s="4" t="e">
        <v>#N/A</v>
      </c>
      <c r="E101" s="4" t="s">
        <v>1832</v>
      </c>
      <c r="F101" s="4" t="s">
        <v>1834</v>
      </c>
      <c r="H101" s="4" t="e">
        <v>#N/A</v>
      </c>
      <c r="K101" s="4" t="s">
        <v>1835</v>
      </c>
      <c r="L101" s="4" t="s">
        <v>1836</v>
      </c>
      <c r="N101" s="4" t="s">
        <v>1837</v>
      </c>
      <c r="O101" s="4" t="s">
        <v>1839</v>
      </c>
    </row>
    <row r="102" spans="1:15" ht="13">
      <c r="A102" s="4" t="s">
        <v>1841</v>
      </c>
      <c r="B102" s="4" t="s">
        <v>1843</v>
      </c>
      <c r="C102" s="4" t="s">
        <v>1845</v>
      </c>
      <c r="E102" s="4" t="s">
        <v>1846</v>
      </c>
      <c r="F102" s="4" t="s">
        <v>1847</v>
      </c>
      <c r="H102" s="4" t="s">
        <v>1848</v>
      </c>
      <c r="I102" s="4" t="s">
        <v>1850</v>
      </c>
      <c r="K102" s="4" t="e">
        <v>#N/A</v>
      </c>
      <c r="N102" s="4" t="s">
        <v>1854</v>
      </c>
      <c r="O102" s="4" t="s">
        <v>1856</v>
      </c>
    </row>
    <row r="103" spans="1:15" ht="13">
      <c r="A103" s="4" t="s">
        <v>1858</v>
      </c>
      <c r="B103" s="4" t="s">
        <v>1860</v>
      </c>
      <c r="C103" s="4" t="s">
        <v>1862</v>
      </c>
      <c r="E103" s="4" t="e">
        <v>#N/A</v>
      </c>
      <c r="H103" s="4" t="s">
        <v>1865</v>
      </c>
      <c r="I103" s="4" t="s">
        <v>1867</v>
      </c>
      <c r="K103" s="4" t="s">
        <v>1868</v>
      </c>
      <c r="L103" s="4" t="s">
        <v>1870</v>
      </c>
      <c r="N103" s="4" t="e">
        <v>#N/A</v>
      </c>
    </row>
    <row r="104" spans="1:15" ht="13">
      <c r="A104" s="4" t="s">
        <v>1874</v>
      </c>
      <c r="B104" s="4" t="s">
        <v>1876</v>
      </c>
      <c r="C104" s="4" t="s">
        <v>1878</v>
      </c>
      <c r="E104" s="4" t="s">
        <v>1880</v>
      </c>
      <c r="F104" s="4" t="s">
        <v>1881</v>
      </c>
      <c r="H104" s="4" t="s">
        <v>1883</v>
      </c>
      <c r="I104" s="4" t="s">
        <v>1885</v>
      </c>
      <c r="K104" s="4" t="s">
        <v>1887</v>
      </c>
      <c r="L104" s="4" t="s">
        <v>1889</v>
      </c>
      <c r="N104" s="4" t="e">
        <v>#N/A</v>
      </c>
    </row>
    <row r="105" spans="1:15" ht="13">
      <c r="A105" s="4" t="s">
        <v>1891</v>
      </c>
      <c r="B105" s="4" t="s">
        <v>1893</v>
      </c>
      <c r="C105" s="4" t="s">
        <v>1895</v>
      </c>
      <c r="E105" s="4" t="s">
        <v>1897</v>
      </c>
      <c r="F105" s="4" t="s">
        <v>1899</v>
      </c>
      <c r="H105" s="4" t="s">
        <v>1900</v>
      </c>
      <c r="I105" s="4" t="s">
        <v>1902</v>
      </c>
      <c r="K105" s="4" t="s">
        <v>1903</v>
      </c>
      <c r="L105" s="4" t="s">
        <v>1905</v>
      </c>
      <c r="N105" s="4" t="e">
        <v>#N/A</v>
      </c>
    </row>
    <row r="106" spans="1:15" ht="13">
      <c r="A106" s="4" t="s">
        <v>1909</v>
      </c>
      <c r="B106" s="4" t="s">
        <v>1911</v>
      </c>
      <c r="C106" s="4" t="s">
        <v>1913</v>
      </c>
      <c r="E106" s="4" t="s">
        <v>1914</v>
      </c>
      <c r="F106" s="4" t="s">
        <v>1916</v>
      </c>
      <c r="H106" s="4" t="e">
        <v>#N/A</v>
      </c>
      <c r="K106" s="4" t="s">
        <v>1918</v>
      </c>
      <c r="L106" s="4" t="s">
        <v>1920</v>
      </c>
      <c r="N106" s="4" t="e">
        <v>#N/A</v>
      </c>
    </row>
    <row r="107" spans="1:15" ht="13">
      <c r="A107" s="4" t="s">
        <v>1923</v>
      </c>
      <c r="B107" s="4" t="s">
        <v>1925</v>
      </c>
      <c r="C107" s="4" t="s">
        <v>1927</v>
      </c>
      <c r="E107" s="4" t="e">
        <v>#N/A</v>
      </c>
      <c r="H107" s="4" t="s">
        <v>1929</v>
      </c>
      <c r="I107" s="4" t="s">
        <v>1931</v>
      </c>
      <c r="K107" s="4" t="s">
        <v>1933</v>
      </c>
      <c r="L107" s="4" t="s">
        <v>1934</v>
      </c>
      <c r="N107" s="4" t="s">
        <v>1935</v>
      </c>
      <c r="O107" s="4" t="s">
        <v>1936</v>
      </c>
    </row>
    <row r="108" spans="1:15" ht="13">
      <c r="A108" s="4" t="s">
        <v>1938</v>
      </c>
      <c r="B108" s="4" t="s">
        <v>1939</v>
      </c>
      <c r="C108" s="4" t="s">
        <v>1940</v>
      </c>
      <c r="E108" s="4" t="e">
        <v>#N/A</v>
      </c>
      <c r="H108" s="4"/>
      <c r="K108" s="4" t="s">
        <v>1943</v>
      </c>
      <c r="L108" s="4" t="s">
        <v>1945</v>
      </c>
      <c r="N108" s="4" t="e">
        <v>#N/A</v>
      </c>
    </row>
    <row r="109" spans="1:15" ht="13">
      <c r="A109" s="4" t="s">
        <v>1948</v>
      </c>
      <c r="B109" s="4" t="s">
        <v>1950</v>
      </c>
      <c r="C109" s="4" t="s">
        <v>1951</v>
      </c>
      <c r="E109" s="4" t="e">
        <v>#N/A</v>
      </c>
      <c r="H109" s="4" t="s">
        <v>1953</v>
      </c>
      <c r="I109" s="4" t="s">
        <v>1956</v>
      </c>
      <c r="K109" s="4" t="s">
        <v>1957</v>
      </c>
      <c r="L109" s="4" t="s">
        <v>1959</v>
      </c>
      <c r="N109" s="4" t="e">
        <v>#N/A</v>
      </c>
    </row>
    <row r="110" spans="1:15" ht="13">
      <c r="A110" s="4" t="s">
        <v>1962</v>
      </c>
      <c r="B110" s="4" t="s">
        <v>1964</v>
      </c>
      <c r="C110" s="4" t="s">
        <v>1965</v>
      </c>
      <c r="E110" s="4" t="s">
        <v>1967</v>
      </c>
      <c r="F110" s="4" t="s">
        <v>1969</v>
      </c>
      <c r="H110" s="4" t="s">
        <v>1971</v>
      </c>
      <c r="I110" s="4" t="s">
        <v>1973</v>
      </c>
      <c r="K110" s="4" t="s">
        <v>1975</v>
      </c>
      <c r="L110" s="4" t="s">
        <v>1976</v>
      </c>
      <c r="N110" s="4" t="s">
        <v>1978</v>
      </c>
      <c r="O110" s="4" t="s">
        <v>1980</v>
      </c>
    </row>
    <row r="111" spans="1:15" ht="13">
      <c r="A111" s="4" t="s">
        <v>1983</v>
      </c>
      <c r="B111" s="4" t="s">
        <v>1985</v>
      </c>
      <c r="C111" s="4" t="s">
        <v>1986</v>
      </c>
      <c r="E111" s="4" t="s">
        <v>1987</v>
      </c>
      <c r="F111" s="4" t="s">
        <v>1989</v>
      </c>
      <c r="H111" s="4" t="s">
        <v>1991</v>
      </c>
      <c r="I111" s="4" t="s">
        <v>1993</v>
      </c>
      <c r="K111" s="4" t="s">
        <v>1994</v>
      </c>
      <c r="L111" s="4" t="s">
        <v>1996</v>
      </c>
      <c r="N111" s="4" t="s">
        <v>1997</v>
      </c>
      <c r="O111" s="4" t="s">
        <v>1999</v>
      </c>
    </row>
    <row r="112" spans="1:15" ht="13">
      <c r="A112" s="4" t="s">
        <v>2001</v>
      </c>
      <c r="B112" s="4" t="e">
        <v>#N/A</v>
      </c>
      <c r="E112" s="4" t="e">
        <v>#N/A</v>
      </c>
      <c r="H112" s="4" t="s">
        <v>2004</v>
      </c>
      <c r="I112" s="4" t="s">
        <v>2007</v>
      </c>
      <c r="K112" s="4" t="e">
        <v>#N/A</v>
      </c>
      <c r="N112" s="4" t="e">
        <v>#N/A</v>
      </c>
    </row>
    <row r="113" spans="1:15" ht="13">
      <c r="A113" s="4" t="s">
        <v>2011</v>
      </c>
      <c r="B113" s="4" t="s">
        <v>2013</v>
      </c>
      <c r="C113" s="4" t="s">
        <v>2014</v>
      </c>
      <c r="E113" s="4" t="s">
        <v>2016</v>
      </c>
      <c r="F113" s="4" t="s">
        <v>2018</v>
      </c>
      <c r="H113" s="4" t="s">
        <v>2019</v>
      </c>
      <c r="I113" s="4" t="s">
        <v>2021</v>
      </c>
      <c r="K113" s="4" t="s">
        <v>2022</v>
      </c>
      <c r="L113" s="4" t="s">
        <v>2024</v>
      </c>
      <c r="N113" s="4" t="s">
        <v>2026</v>
      </c>
      <c r="O113" s="4" t="s">
        <v>2028</v>
      </c>
    </row>
    <row r="114" spans="1:15" ht="13">
      <c r="A114" s="4" t="s">
        <v>2029</v>
      </c>
      <c r="B114" s="4" t="s">
        <v>2031</v>
      </c>
      <c r="C114" s="4" t="s">
        <v>2033</v>
      </c>
      <c r="E114" s="4" t="s">
        <v>2035</v>
      </c>
      <c r="F114" s="4" t="s">
        <v>2043</v>
      </c>
      <c r="H114" s="4" t="s">
        <v>2045</v>
      </c>
      <c r="I114" s="4" t="s">
        <v>2046</v>
      </c>
      <c r="K114" s="4" t="s">
        <v>2047</v>
      </c>
      <c r="L114" s="4" t="s">
        <v>2049</v>
      </c>
      <c r="N114" s="4" t="s">
        <v>2050</v>
      </c>
      <c r="O114" s="4" t="s">
        <v>2052</v>
      </c>
    </row>
    <row r="115" spans="1:15" ht="13">
      <c r="A115" s="4" t="s">
        <v>2054</v>
      </c>
      <c r="B115" s="4" t="s">
        <v>2056</v>
      </c>
      <c r="C115" s="4" t="s">
        <v>2058</v>
      </c>
      <c r="E115" s="4" t="s">
        <v>2060</v>
      </c>
      <c r="F115" s="4" t="s">
        <v>2061</v>
      </c>
      <c r="H115" s="4" t="e">
        <v>#N/A</v>
      </c>
      <c r="K115" s="4" t="s">
        <v>2064</v>
      </c>
      <c r="L115" s="4" t="s">
        <v>2066</v>
      </c>
      <c r="N115" s="4" t="s">
        <v>2068</v>
      </c>
      <c r="O115" s="4" t="s">
        <v>2069</v>
      </c>
    </row>
    <row r="116" spans="1:15" ht="13">
      <c r="A116" s="4" t="s">
        <v>2072</v>
      </c>
      <c r="B116" s="4" t="s">
        <v>2073</v>
      </c>
      <c r="C116" s="4" t="s">
        <v>2075</v>
      </c>
      <c r="E116" s="4" t="s">
        <v>2076</v>
      </c>
      <c r="F116" s="4" t="s">
        <v>2077</v>
      </c>
      <c r="H116" s="4" t="e">
        <v>#N/A</v>
      </c>
      <c r="K116" s="4" t="s">
        <v>2080</v>
      </c>
      <c r="L116" s="4" t="s">
        <v>2082</v>
      </c>
      <c r="N116" s="4" t="s">
        <v>2084</v>
      </c>
      <c r="O116" s="4" t="s">
        <v>2085</v>
      </c>
    </row>
    <row r="117" spans="1:15" ht="13">
      <c r="A117" s="4" t="s">
        <v>2087</v>
      </c>
      <c r="B117" s="4" t="e">
        <v>#N/A</v>
      </c>
      <c r="E117" s="4" t="s">
        <v>2091</v>
      </c>
      <c r="F117" s="4" t="s">
        <v>2093</v>
      </c>
      <c r="H117" s="4" t="s">
        <v>2094</v>
      </c>
      <c r="I117" s="4" t="s">
        <v>2097</v>
      </c>
      <c r="K117" s="4" t="s">
        <v>2098</v>
      </c>
      <c r="L117" s="4" t="s">
        <v>2100</v>
      </c>
      <c r="N117" s="4" t="s">
        <v>2102</v>
      </c>
      <c r="O117" s="4" t="s">
        <v>2103</v>
      </c>
    </row>
    <row r="118" spans="1:15" ht="13">
      <c r="A118" s="4" t="s">
        <v>2105</v>
      </c>
      <c r="B118" s="4" t="s">
        <v>2106</v>
      </c>
      <c r="C118" s="4" t="s">
        <v>2108</v>
      </c>
      <c r="E118" s="4" t="s">
        <v>2109</v>
      </c>
      <c r="F118" s="4" t="s">
        <v>2111</v>
      </c>
      <c r="H118" s="4" t="e">
        <v>#N/A</v>
      </c>
      <c r="K118" s="4" t="s">
        <v>2114</v>
      </c>
      <c r="L118" s="4" t="s">
        <v>2116</v>
      </c>
      <c r="N118" s="4" t="e">
        <v>#N/A</v>
      </c>
    </row>
    <row r="119" spans="1:15" ht="13">
      <c r="A119" s="4" t="s">
        <v>2120</v>
      </c>
      <c r="B119" s="4" t="e">
        <v>#N/A</v>
      </c>
      <c r="E119" s="4" t="s">
        <v>2122</v>
      </c>
      <c r="F119" s="4" t="s">
        <v>2124</v>
      </c>
      <c r="H119" s="4" t="s">
        <v>2125</v>
      </c>
      <c r="I119" s="4" t="s">
        <v>2127</v>
      </c>
      <c r="K119" s="4" t="s">
        <v>2128</v>
      </c>
      <c r="L119" s="4" t="s">
        <v>2130</v>
      </c>
      <c r="N119" s="4" t="s">
        <v>2131</v>
      </c>
      <c r="O119" s="4" t="s">
        <v>2133</v>
      </c>
    </row>
    <row r="120" spans="1:15" ht="13">
      <c r="A120" s="4" t="s">
        <v>2135</v>
      </c>
      <c r="B120" s="4" t="e">
        <v>#N/A</v>
      </c>
      <c r="E120" s="4" t="e">
        <v>#N/A</v>
      </c>
      <c r="H120" s="4" t="s">
        <v>2137</v>
      </c>
      <c r="I120" s="4" t="s">
        <v>2139</v>
      </c>
      <c r="K120" s="4" t="s">
        <v>2141</v>
      </c>
      <c r="L120" s="4" t="s">
        <v>2142</v>
      </c>
      <c r="N120" s="4" t="e">
        <v>#N/A</v>
      </c>
    </row>
    <row r="121" spans="1:15" ht="13">
      <c r="A121" s="4" t="s">
        <v>2145</v>
      </c>
      <c r="B121" s="4" t="s">
        <v>2146</v>
      </c>
      <c r="C121" s="4" t="s">
        <v>2148</v>
      </c>
      <c r="E121" s="4" t="s">
        <v>2149</v>
      </c>
      <c r="F121" s="4" t="s">
        <v>2151</v>
      </c>
      <c r="H121" s="4" t="s">
        <v>2153</v>
      </c>
      <c r="I121" s="4" t="s">
        <v>2154</v>
      </c>
      <c r="K121" s="4" t="s">
        <v>2156</v>
      </c>
      <c r="L121" s="4" t="s">
        <v>2158</v>
      </c>
      <c r="N121" s="4" t="e">
        <v>#N/A</v>
      </c>
    </row>
    <row r="122" spans="1:15" ht="13">
      <c r="A122" s="4" t="s">
        <v>2160</v>
      </c>
      <c r="B122" s="4" t="s">
        <v>2162</v>
      </c>
      <c r="C122" s="4" t="s">
        <v>2164</v>
      </c>
      <c r="E122" s="4" t="s">
        <v>2166</v>
      </c>
      <c r="F122" s="4" t="s">
        <v>2168</v>
      </c>
      <c r="H122" s="4" t="s">
        <v>2169</v>
      </c>
      <c r="I122" s="4" t="s">
        <v>2171</v>
      </c>
      <c r="K122" s="4" t="e">
        <v>#N/A</v>
      </c>
      <c r="N122" s="4" t="s">
        <v>2173</v>
      </c>
      <c r="O122" s="4" t="s">
        <v>2174</v>
      </c>
    </row>
    <row r="123" spans="1:15" ht="13">
      <c r="A123" s="4" t="s">
        <v>2176</v>
      </c>
      <c r="B123" s="4" t="s">
        <v>2177</v>
      </c>
      <c r="C123" s="4" t="s">
        <v>2178</v>
      </c>
      <c r="E123" s="4" t="e">
        <v>#N/A</v>
      </c>
      <c r="H123" s="4" t="s">
        <v>2180</v>
      </c>
      <c r="I123" s="4" t="s">
        <v>2182</v>
      </c>
      <c r="K123" s="4" t="s">
        <v>2184</v>
      </c>
      <c r="L123" s="4" t="s">
        <v>2185</v>
      </c>
      <c r="N123" s="4" t="e">
        <v>#N/A</v>
      </c>
    </row>
    <row r="124" spans="1:15" ht="13">
      <c r="A124" s="4" t="s">
        <v>2188</v>
      </c>
      <c r="B124" s="4" t="s">
        <v>2190</v>
      </c>
      <c r="C124" s="4" t="s">
        <v>2192</v>
      </c>
      <c r="E124" s="4" t="s">
        <v>2193</v>
      </c>
      <c r="F124" s="4" t="s">
        <v>2195</v>
      </c>
      <c r="H124" s="4" t="s">
        <v>2197</v>
      </c>
      <c r="I124" s="4" t="s">
        <v>2198</v>
      </c>
      <c r="K124" s="4" t="e">
        <v>#N/A</v>
      </c>
      <c r="N124" s="4" t="s">
        <v>2199</v>
      </c>
      <c r="O124" s="4" t="s">
        <v>2200</v>
      </c>
    </row>
    <row r="125" spans="1:15" ht="13">
      <c r="A125" s="4" t="s">
        <v>2201</v>
      </c>
      <c r="B125" s="4" t="s">
        <v>2202</v>
      </c>
      <c r="C125" s="4" t="s">
        <v>2204</v>
      </c>
      <c r="E125" s="4" t="s">
        <v>2206</v>
      </c>
      <c r="F125" s="4" t="s">
        <v>2207</v>
      </c>
      <c r="H125" s="4" t="s">
        <v>2209</v>
      </c>
      <c r="I125" s="4" t="s">
        <v>2210</v>
      </c>
      <c r="K125" s="4" t="s">
        <v>2212</v>
      </c>
      <c r="L125" s="4" t="s">
        <v>2214</v>
      </c>
      <c r="N125" s="4" t="s">
        <v>2215</v>
      </c>
      <c r="O125" s="4" t="s">
        <v>2216</v>
      </c>
    </row>
    <row r="126" spans="1:15" ht="13">
      <c r="A126" s="4" t="s">
        <v>2217</v>
      </c>
      <c r="B126" s="4" t="e">
        <v>#N/A</v>
      </c>
      <c r="E126" s="4" t="s">
        <v>2219</v>
      </c>
      <c r="F126" s="4" t="s">
        <v>2221</v>
      </c>
      <c r="H126" s="4" t="s">
        <v>2222</v>
      </c>
      <c r="I126" s="4" t="s">
        <v>2224</v>
      </c>
      <c r="K126" s="4" t="e">
        <v>#N/A</v>
      </c>
      <c r="N126" s="4" t="s">
        <v>2226</v>
      </c>
      <c r="O126" s="4" t="s">
        <v>2227</v>
      </c>
    </row>
    <row r="127" spans="1:15" ht="13">
      <c r="A127" s="4" t="s">
        <v>2229</v>
      </c>
      <c r="B127" s="4" t="s">
        <v>2231</v>
      </c>
      <c r="C127" s="4" t="s">
        <v>2232</v>
      </c>
      <c r="E127" s="4" t="e">
        <v>#N/A</v>
      </c>
      <c r="H127" s="4" t="e">
        <v>#N/A</v>
      </c>
      <c r="K127" s="4" t="s">
        <v>2236</v>
      </c>
      <c r="L127" s="4" t="s">
        <v>2238</v>
      </c>
      <c r="N127" s="4" t="s">
        <v>2239</v>
      </c>
      <c r="O127" s="4" t="s">
        <v>2241</v>
      </c>
    </row>
    <row r="128" spans="1:15" ht="13">
      <c r="A128" s="4" t="s">
        <v>2243</v>
      </c>
      <c r="B128" s="4" t="e">
        <v>#N/A</v>
      </c>
      <c r="E128" s="4" t="e">
        <v>#N/A</v>
      </c>
      <c r="H128" s="4" t="s">
        <v>2245</v>
      </c>
      <c r="I128" s="4" t="s">
        <v>2248</v>
      </c>
      <c r="K128" s="4" t="s">
        <v>2249</v>
      </c>
      <c r="L128" s="4" t="s">
        <v>2250</v>
      </c>
      <c r="N128" s="4" t="e">
        <v>#N/A</v>
      </c>
    </row>
    <row r="129" spans="1:15" ht="13">
      <c r="A129" s="4" t="s">
        <v>2253</v>
      </c>
      <c r="B129" s="4" t="s">
        <v>2254</v>
      </c>
      <c r="C129" s="4" t="s">
        <v>2256</v>
      </c>
      <c r="E129" s="4" t="e">
        <v>#N/A</v>
      </c>
      <c r="H129" s="4" t="s">
        <v>2258</v>
      </c>
      <c r="I129" s="4" t="s">
        <v>2260</v>
      </c>
      <c r="K129" s="4" t="s">
        <v>2261</v>
      </c>
      <c r="L129" s="4" t="s">
        <v>2263</v>
      </c>
      <c r="N129" s="4" t="s">
        <v>2264</v>
      </c>
      <c r="O129" s="4" t="s">
        <v>2266</v>
      </c>
    </row>
    <row r="130" spans="1:15" ht="13">
      <c r="A130" s="4" t="s">
        <v>2267</v>
      </c>
      <c r="B130" s="4" t="s">
        <v>2268</v>
      </c>
      <c r="C130" s="4" t="s">
        <v>2270</v>
      </c>
      <c r="E130" s="4" t="s">
        <v>2271</v>
      </c>
      <c r="F130" s="4" t="s">
        <v>2273</v>
      </c>
      <c r="H130" s="4" t="s">
        <v>2275</v>
      </c>
      <c r="I130" s="4" t="s">
        <v>2277</v>
      </c>
      <c r="K130" s="4" t="s">
        <v>2278</v>
      </c>
      <c r="L130" s="4" t="s">
        <v>2280</v>
      </c>
      <c r="N130" s="4" t="s">
        <v>2284</v>
      </c>
      <c r="O130" s="4" t="s">
        <v>2285</v>
      </c>
    </row>
    <row r="131" spans="1:15" ht="13">
      <c r="A131" s="4" t="s">
        <v>2286</v>
      </c>
      <c r="B131" s="4" t="s">
        <v>2288</v>
      </c>
      <c r="C131" s="4" t="s">
        <v>2289</v>
      </c>
      <c r="E131" s="4" t="s">
        <v>2291</v>
      </c>
      <c r="F131" s="4" t="s">
        <v>2292</v>
      </c>
      <c r="H131" s="4" t="s">
        <v>2294</v>
      </c>
      <c r="I131" s="4" t="s">
        <v>2295</v>
      </c>
      <c r="K131" s="4" t="s">
        <v>2296</v>
      </c>
      <c r="L131" s="4" t="s">
        <v>2298</v>
      </c>
      <c r="N131" s="4" t="e">
        <v>#N/A</v>
      </c>
    </row>
    <row r="132" spans="1:15" ht="13">
      <c r="A132" s="4" t="s">
        <v>2301</v>
      </c>
      <c r="B132" s="4" t="s">
        <v>2302</v>
      </c>
      <c r="C132" s="4" t="s">
        <v>2303</v>
      </c>
      <c r="E132" s="4" t="s">
        <v>2305</v>
      </c>
      <c r="F132" s="4" t="s">
        <v>2307</v>
      </c>
      <c r="H132" s="4" t="s">
        <v>2308</v>
      </c>
      <c r="I132" s="4" t="s">
        <v>2310</v>
      </c>
      <c r="K132" s="4" t="s">
        <v>2312</v>
      </c>
      <c r="L132" s="4" t="s">
        <v>2313</v>
      </c>
      <c r="N132" s="4" t="s">
        <v>2315</v>
      </c>
      <c r="O132" s="4" t="s">
        <v>2316</v>
      </c>
    </row>
    <row r="133" spans="1:15" ht="13">
      <c r="A133" s="4" t="s">
        <v>2318</v>
      </c>
      <c r="B133" s="4" t="s">
        <v>2319</v>
      </c>
      <c r="C133" s="4" t="s">
        <v>2320</v>
      </c>
      <c r="E133" s="4" t="e">
        <v>#N/A</v>
      </c>
      <c r="H133" s="4" t="s">
        <v>2322</v>
      </c>
      <c r="I133" s="4" t="s">
        <v>2323</v>
      </c>
      <c r="K133" s="4" t="s">
        <v>2325</v>
      </c>
      <c r="L133" s="4" t="s">
        <v>2327</v>
      </c>
      <c r="N133" s="4" t="s">
        <v>2329</v>
      </c>
      <c r="O133" s="4" t="s">
        <v>2331</v>
      </c>
    </row>
    <row r="134" spans="1:15" ht="13">
      <c r="A134" s="4" t="s">
        <v>2333</v>
      </c>
      <c r="B134" s="4" t="s">
        <v>2334</v>
      </c>
      <c r="C134" s="4" t="s">
        <v>2335</v>
      </c>
      <c r="E134" s="4" t="s">
        <v>2336</v>
      </c>
      <c r="F134" s="4" t="s">
        <v>2338</v>
      </c>
      <c r="H134" s="4" t="e">
        <v>#N/A</v>
      </c>
      <c r="K134" s="4" t="s">
        <v>2340</v>
      </c>
      <c r="L134" s="4" t="s">
        <v>2342</v>
      </c>
      <c r="N134" s="4" t="e">
        <v>#N/A</v>
      </c>
    </row>
    <row r="135" spans="1:15" ht="13">
      <c r="A135" s="4" t="s">
        <v>2344</v>
      </c>
      <c r="B135" s="4" t="s">
        <v>2346</v>
      </c>
      <c r="C135" s="4" t="s">
        <v>2347</v>
      </c>
      <c r="E135" s="4" t="s">
        <v>2349</v>
      </c>
      <c r="F135" s="4" t="s">
        <v>2350</v>
      </c>
      <c r="H135" s="4" t="s">
        <v>2351</v>
      </c>
      <c r="I135" s="4" t="s">
        <v>2353</v>
      </c>
      <c r="K135" s="4" t="e">
        <v>#N/A</v>
      </c>
      <c r="N135" s="4" t="e">
        <v>#N/A</v>
      </c>
    </row>
    <row r="136" spans="1:15" ht="13">
      <c r="A136" s="4" t="s">
        <v>2355</v>
      </c>
      <c r="B136" s="4" t="e">
        <v>#N/A</v>
      </c>
      <c r="E136" s="4" t="e">
        <v>#N/A</v>
      </c>
      <c r="H136" s="4" t="s">
        <v>2357</v>
      </c>
      <c r="I136" s="4" t="s">
        <v>2359</v>
      </c>
      <c r="K136" s="4" t="e">
        <v>#N/A</v>
      </c>
      <c r="N136" s="4" t="e">
        <v>#N/A</v>
      </c>
    </row>
    <row r="137" spans="1:15" ht="13">
      <c r="A137" s="4" t="s">
        <v>2361</v>
      </c>
      <c r="B137" s="4" t="e">
        <v>#N/A</v>
      </c>
      <c r="E137" s="4" t="s">
        <v>2363</v>
      </c>
      <c r="F137" s="4" t="s">
        <v>2365</v>
      </c>
      <c r="H137" s="4" t="s">
        <v>2367</v>
      </c>
      <c r="I137" s="4" t="s">
        <v>2368</v>
      </c>
      <c r="K137" s="4" t="s">
        <v>2369</v>
      </c>
      <c r="L137" s="4" t="s">
        <v>2371</v>
      </c>
      <c r="N137" s="4" t="s">
        <v>2373</v>
      </c>
      <c r="O137" s="4" t="s">
        <v>2374</v>
      </c>
    </row>
    <row r="138" spans="1:15" ht="13">
      <c r="A138" s="4" t="s">
        <v>2376</v>
      </c>
      <c r="B138" s="4" t="e">
        <v>#N/A</v>
      </c>
      <c r="E138" s="4" t="e">
        <v>#N/A</v>
      </c>
      <c r="H138" s="4" t="e">
        <v>#N/A</v>
      </c>
      <c r="K138" s="4" t="s">
        <v>2379</v>
      </c>
      <c r="L138" s="4" t="s">
        <v>2381</v>
      </c>
      <c r="N138" s="4" t="s">
        <v>2382</v>
      </c>
      <c r="O138" s="4" t="s">
        <v>2384</v>
      </c>
    </row>
    <row r="139" spans="1:15" ht="13">
      <c r="A139" s="4" t="s">
        <v>2386</v>
      </c>
      <c r="B139" s="4" t="e">
        <v>#N/A</v>
      </c>
      <c r="E139" s="4" t="s">
        <v>2388</v>
      </c>
      <c r="F139" s="4" t="s">
        <v>2390</v>
      </c>
      <c r="H139" s="4" t="s">
        <v>2392</v>
      </c>
      <c r="I139" s="4" t="s">
        <v>2394</v>
      </c>
      <c r="K139" s="4" t="e">
        <v>#N/A</v>
      </c>
      <c r="N139" s="4" t="s">
        <v>2396</v>
      </c>
      <c r="O139" s="4" t="s">
        <v>2399</v>
      </c>
    </row>
    <row r="140" spans="1:15" ht="13">
      <c r="A140" s="4" t="s">
        <v>2401</v>
      </c>
      <c r="B140" s="4" t="s">
        <v>2402</v>
      </c>
      <c r="C140" s="4" t="s">
        <v>2404</v>
      </c>
      <c r="E140" s="4" t="e">
        <v>#N/A</v>
      </c>
      <c r="H140" s="4" t="e">
        <v>#N/A</v>
      </c>
      <c r="K140" s="4" t="e">
        <v>#N/A</v>
      </c>
      <c r="N140" s="4" t="e">
        <v>#N/A</v>
      </c>
    </row>
    <row r="141" spans="1:15" ht="13">
      <c r="A141" s="4" t="s">
        <v>2411</v>
      </c>
      <c r="B141" s="4" t="s">
        <v>2414</v>
      </c>
      <c r="C141" s="4" t="s">
        <v>2415</v>
      </c>
      <c r="E141" s="4" t="e">
        <v>#N/A</v>
      </c>
      <c r="H141" s="4" t="s">
        <v>2417</v>
      </c>
      <c r="I141" s="4" t="s">
        <v>2419</v>
      </c>
      <c r="K141" s="4" t="s">
        <v>2420</v>
      </c>
      <c r="L141" s="4" t="s">
        <v>2422</v>
      </c>
      <c r="N141" s="4" t="e">
        <v>#N/A</v>
      </c>
    </row>
    <row r="142" spans="1:15" ht="13">
      <c r="A142" s="4" t="s">
        <v>2424</v>
      </c>
      <c r="B142" s="4" t="s">
        <v>2425</v>
      </c>
      <c r="C142" s="4" t="s">
        <v>2427</v>
      </c>
      <c r="E142" s="4" t="s">
        <v>2428</v>
      </c>
      <c r="F142" s="4" t="s">
        <v>2430</v>
      </c>
      <c r="H142" s="4" t="e">
        <v>#N/A</v>
      </c>
      <c r="K142" s="4" t="s">
        <v>2432</v>
      </c>
      <c r="L142" s="4" t="s">
        <v>2434</v>
      </c>
      <c r="N142" s="4" t="s">
        <v>2435</v>
      </c>
      <c r="O142" s="4" t="s">
        <v>2437</v>
      </c>
    </row>
    <row r="143" spans="1:15" ht="13">
      <c r="A143" s="4" t="s">
        <v>2439</v>
      </c>
      <c r="B143" s="4" t="s">
        <v>2440</v>
      </c>
      <c r="C143" s="4" t="s">
        <v>2442</v>
      </c>
      <c r="E143" s="4" t="e">
        <v>#N/A</v>
      </c>
      <c r="H143" s="4" t="s">
        <v>2444</v>
      </c>
      <c r="I143" s="4" t="s">
        <v>2446</v>
      </c>
      <c r="K143" s="4" t="s">
        <v>2447</v>
      </c>
      <c r="L143" s="4" t="s">
        <v>2450</v>
      </c>
      <c r="N143" s="4" t="s">
        <v>2452</v>
      </c>
      <c r="O143" s="4" t="s">
        <v>2453</v>
      </c>
    </row>
    <row r="144" spans="1:15" ht="13">
      <c r="A144" s="4" t="s">
        <v>2455</v>
      </c>
      <c r="B144" s="4" t="s">
        <v>2456</v>
      </c>
      <c r="C144" s="4" t="s">
        <v>2457</v>
      </c>
      <c r="E144" s="4" t="s">
        <v>2459</v>
      </c>
      <c r="F144" s="4" t="s">
        <v>2461</v>
      </c>
      <c r="H144" s="4" t="s">
        <v>2462</v>
      </c>
      <c r="I144" s="4" t="s">
        <v>2464</v>
      </c>
      <c r="K144" s="4" t="s">
        <v>2465</v>
      </c>
      <c r="L144" s="4" t="s">
        <v>2467</v>
      </c>
      <c r="N144" s="4" t="s">
        <v>2468</v>
      </c>
      <c r="O144" s="4" t="s">
        <v>2470</v>
      </c>
    </row>
    <row r="145" spans="1:15" ht="13">
      <c r="A145" s="4" t="s">
        <v>2472</v>
      </c>
      <c r="B145" s="4" t="s">
        <v>2473</v>
      </c>
      <c r="C145" s="4" t="s">
        <v>2475</v>
      </c>
      <c r="E145" s="4" t="s">
        <v>2477</v>
      </c>
      <c r="F145" s="4" t="s">
        <v>2478</v>
      </c>
      <c r="H145" s="4" t="s">
        <v>2479</v>
      </c>
      <c r="I145" s="4" t="s">
        <v>2480</v>
      </c>
      <c r="K145" s="4" t="s">
        <v>2482</v>
      </c>
      <c r="L145" s="4" t="s">
        <v>2484</v>
      </c>
      <c r="N145" s="4" t="s">
        <v>2488</v>
      </c>
      <c r="O145" s="4" t="s">
        <v>2490</v>
      </c>
    </row>
    <row r="146" spans="1:15" ht="13">
      <c r="A146" s="4" t="s">
        <v>2491</v>
      </c>
      <c r="B146" s="4" t="s">
        <v>2493</v>
      </c>
      <c r="C146" s="4" t="s">
        <v>2494</v>
      </c>
      <c r="E146" s="4" t="s">
        <v>2496</v>
      </c>
      <c r="F146" s="4" t="s">
        <v>2497</v>
      </c>
      <c r="H146" s="4" t="s">
        <v>2499</v>
      </c>
      <c r="I146" s="4" t="s">
        <v>2502</v>
      </c>
      <c r="K146" s="4" t="s">
        <v>2503</v>
      </c>
      <c r="L146" s="4" t="s">
        <v>2504</v>
      </c>
      <c r="N146" s="4" t="e">
        <v>#N/A</v>
      </c>
    </row>
    <row r="147" spans="1:15" ht="13">
      <c r="A147" s="4" t="s">
        <v>2506</v>
      </c>
      <c r="B147" s="4" t="s">
        <v>2508</v>
      </c>
      <c r="C147" s="4" t="s">
        <v>2509</v>
      </c>
      <c r="E147" s="4" t="s">
        <v>2511</v>
      </c>
      <c r="F147" s="4" t="s">
        <v>2513</v>
      </c>
      <c r="H147" s="4" t="s">
        <v>2514</v>
      </c>
      <c r="I147" s="4" t="s">
        <v>2516</v>
      </c>
      <c r="K147" s="4" t="e">
        <v>#N/A</v>
      </c>
      <c r="N147" s="4" t="s">
        <v>2518</v>
      </c>
      <c r="O147" s="4" t="s">
        <v>2519</v>
      </c>
    </row>
    <row r="148" spans="1:15" ht="13">
      <c r="A148" s="4" t="s">
        <v>2521</v>
      </c>
      <c r="B148" s="4" t="s">
        <v>2523</v>
      </c>
      <c r="C148" s="4" t="s">
        <v>2524</v>
      </c>
      <c r="E148" s="4" t="s">
        <v>2526</v>
      </c>
      <c r="F148" s="4" t="s">
        <v>2528</v>
      </c>
      <c r="H148" s="4" t="s">
        <v>2529</v>
      </c>
      <c r="I148" s="4" t="s">
        <v>2530</v>
      </c>
      <c r="K148" s="4" t="s">
        <v>2531</v>
      </c>
      <c r="L148" s="4" t="s">
        <v>2532</v>
      </c>
      <c r="N148" s="4" t="s">
        <v>2533</v>
      </c>
      <c r="O148" s="4" t="s">
        <v>2536</v>
      </c>
    </row>
    <row r="149" spans="1:15" ht="13">
      <c r="A149" s="4" t="s">
        <v>2539</v>
      </c>
      <c r="B149" s="4" t="s">
        <v>2540</v>
      </c>
      <c r="C149" s="4" t="s">
        <v>2542</v>
      </c>
      <c r="E149" s="4" t="s">
        <v>2544</v>
      </c>
      <c r="F149" s="4" t="s">
        <v>2545</v>
      </c>
      <c r="H149" s="4" t="s">
        <v>2548</v>
      </c>
      <c r="I149" s="4" t="s">
        <v>2549</v>
      </c>
      <c r="K149" s="4" t="s">
        <v>2551</v>
      </c>
      <c r="L149" s="4" t="s">
        <v>2552</v>
      </c>
      <c r="N149" s="4" t="s">
        <v>2554</v>
      </c>
      <c r="O149" s="4" t="s">
        <v>2556</v>
      </c>
    </row>
    <row r="150" spans="1:15" ht="13">
      <c r="A150" s="4" t="s">
        <v>2557</v>
      </c>
      <c r="B150" s="4" t="e">
        <v>#N/A</v>
      </c>
      <c r="E150" s="4" t="s">
        <v>2558</v>
      </c>
      <c r="F150" s="4" t="s">
        <v>2560</v>
      </c>
      <c r="H150" s="4" t="s">
        <v>2561</v>
      </c>
      <c r="I150" s="4" t="s">
        <v>2563</v>
      </c>
      <c r="K150" s="4" t="s">
        <v>2565</v>
      </c>
      <c r="L150" s="4" t="s">
        <v>2567</v>
      </c>
      <c r="N150" s="4" t="e">
        <v>#N/A</v>
      </c>
    </row>
    <row r="151" spans="1:15" ht="13">
      <c r="A151" s="4" t="s">
        <v>2570</v>
      </c>
      <c r="B151" s="4" t="s">
        <v>2571</v>
      </c>
      <c r="C151" s="4" t="s">
        <v>2572</v>
      </c>
      <c r="E151" s="4" t="e">
        <v>#N/A</v>
      </c>
      <c r="H151" s="4" t="s">
        <v>2575</v>
      </c>
      <c r="I151" s="4" t="s">
        <v>2576</v>
      </c>
      <c r="K151" s="4" t="s">
        <v>2578</v>
      </c>
      <c r="L151" s="4" t="s">
        <v>2580</v>
      </c>
      <c r="N151" s="4" t="s">
        <v>2581</v>
      </c>
      <c r="O151" s="4" t="s">
        <v>2583</v>
      </c>
    </row>
    <row r="152" spans="1:15" ht="13">
      <c r="A152" s="4" t="s">
        <v>2584</v>
      </c>
      <c r="B152" s="4" t="s">
        <v>2585</v>
      </c>
      <c r="C152" s="4" t="s">
        <v>2587</v>
      </c>
      <c r="E152" s="4" t="s">
        <v>2589</v>
      </c>
      <c r="F152" s="4" t="s">
        <v>2590</v>
      </c>
      <c r="H152" s="4" t="s">
        <v>2592</v>
      </c>
      <c r="I152" s="4" t="s">
        <v>2594</v>
      </c>
      <c r="K152" s="4" t="s">
        <v>2595</v>
      </c>
      <c r="L152" s="4" t="s">
        <v>2597</v>
      </c>
      <c r="N152" s="4" t="s">
        <v>2598</v>
      </c>
      <c r="O152" s="4" t="s">
        <v>2600</v>
      </c>
    </row>
    <row r="153" spans="1:15" ht="13">
      <c r="A153" s="4" t="s">
        <v>2602</v>
      </c>
      <c r="B153" s="4" t="s">
        <v>2603</v>
      </c>
      <c r="C153" s="4" t="s">
        <v>2605</v>
      </c>
      <c r="E153" s="4" t="s">
        <v>2606</v>
      </c>
      <c r="F153" s="4" t="s">
        <v>2608</v>
      </c>
      <c r="H153" s="4" t="s">
        <v>2610</v>
      </c>
      <c r="I153" s="4" t="s">
        <v>2612</v>
      </c>
      <c r="K153" s="4" t="s">
        <v>2614</v>
      </c>
      <c r="L153" s="4" t="s">
        <v>2615</v>
      </c>
      <c r="N153" s="4" t="s">
        <v>2617</v>
      </c>
      <c r="O153" s="4" t="s">
        <v>2619</v>
      </c>
    </row>
    <row r="154" spans="1:15" ht="13">
      <c r="A154" s="4" t="s">
        <v>2621</v>
      </c>
      <c r="B154" s="4" t="s">
        <v>2622</v>
      </c>
      <c r="C154" s="4" t="s">
        <v>2624</v>
      </c>
      <c r="E154" s="4" t="s">
        <v>2625</v>
      </c>
      <c r="F154" s="4" t="s">
        <v>2626</v>
      </c>
      <c r="H154" s="4" t="s">
        <v>2627</v>
      </c>
      <c r="I154" s="4" t="s">
        <v>2629</v>
      </c>
      <c r="K154" s="4" t="s">
        <v>2630</v>
      </c>
      <c r="L154" s="4" t="s">
        <v>2632</v>
      </c>
      <c r="N154" s="4" t="s">
        <v>2633</v>
      </c>
      <c r="O154" s="4" t="s">
        <v>2634</v>
      </c>
    </row>
    <row r="155" spans="1:15" ht="13">
      <c r="A155" s="4" t="s">
        <v>2636</v>
      </c>
      <c r="B155" s="4" t="s">
        <v>2637</v>
      </c>
      <c r="C155" s="4" t="s">
        <v>2639</v>
      </c>
      <c r="E155" s="4" t="e">
        <v>#N/A</v>
      </c>
      <c r="H155" s="4" t="e">
        <v>#N/A</v>
      </c>
      <c r="K155" s="4" t="e">
        <v>#N/A</v>
      </c>
      <c r="N155" s="4" t="s">
        <v>2642</v>
      </c>
      <c r="O155" s="4" t="s">
        <v>2643</v>
      </c>
    </row>
    <row r="156" spans="1:15" ht="13">
      <c r="A156" s="4" t="s">
        <v>2645</v>
      </c>
      <c r="B156" s="4" t="s">
        <v>2647</v>
      </c>
      <c r="C156" s="4" t="s">
        <v>2648</v>
      </c>
      <c r="E156" s="4" t="s">
        <v>2649</v>
      </c>
      <c r="F156" s="4" t="s">
        <v>2651</v>
      </c>
      <c r="H156" s="4" t="s">
        <v>2653</v>
      </c>
      <c r="I156" s="4" t="s">
        <v>2654</v>
      </c>
      <c r="K156" s="4" t="s">
        <v>2656</v>
      </c>
      <c r="L156" s="4" t="s">
        <v>2658</v>
      </c>
      <c r="N156" s="4" t="e">
        <v>#N/A</v>
      </c>
    </row>
    <row r="157" spans="1:15" ht="13">
      <c r="A157" s="4" t="s">
        <v>2660</v>
      </c>
      <c r="B157" s="4" t="s">
        <v>2662</v>
      </c>
      <c r="C157" s="4" t="s">
        <v>2663</v>
      </c>
      <c r="E157" s="4" t="e">
        <v>#N/A</v>
      </c>
      <c r="H157" s="4" t="e">
        <v>#N/A</v>
      </c>
      <c r="K157" s="4" t="e">
        <v>#N/A</v>
      </c>
      <c r="N157" s="4" t="s">
        <v>2666</v>
      </c>
      <c r="O157" s="4" t="s">
        <v>2667</v>
      </c>
    </row>
    <row r="158" spans="1:15" ht="13">
      <c r="A158" s="4" t="s">
        <v>2669</v>
      </c>
      <c r="B158" s="4" t="s">
        <v>2671</v>
      </c>
      <c r="C158" s="4" t="s">
        <v>2672</v>
      </c>
      <c r="E158" s="4" t="s">
        <v>2673</v>
      </c>
      <c r="F158" s="4" t="s">
        <v>2675</v>
      </c>
      <c r="H158" s="4" t="e">
        <v>#N/A</v>
      </c>
      <c r="K158" s="4" t="s">
        <v>2677</v>
      </c>
      <c r="L158" s="4" t="s">
        <v>2679</v>
      </c>
      <c r="N158" s="4" t="s">
        <v>2680</v>
      </c>
      <c r="O158" s="4" t="s">
        <v>2681</v>
      </c>
    </row>
    <row r="159" spans="1:15" ht="13">
      <c r="A159" s="4" t="s">
        <v>2683</v>
      </c>
      <c r="B159" s="4" t="s">
        <v>2684</v>
      </c>
      <c r="C159" s="4" t="s">
        <v>2686</v>
      </c>
      <c r="E159" s="4" t="e">
        <v>#N/A</v>
      </c>
      <c r="H159" s="4" t="s">
        <v>2687</v>
      </c>
      <c r="I159" s="4" t="s">
        <v>2689</v>
      </c>
      <c r="K159" s="4" t="s">
        <v>2690</v>
      </c>
      <c r="L159" s="4" t="s">
        <v>2693</v>
      </c>
      <c r="N159" s="4" t="s">
        <v>2694</v>
      </c>
      <c r="O159" s="4" t="s">
        <v>2696</v>
      </c>
    </row>
    <row r="160" spans="1:15" ht="13">
      <c r="A160" s="4" t="s">
        <v>2697</v>
      </c>
      <c r="B160" s="4" t="s">
        <v>2699</v>
      </c>
      <c r="C160" s="4" t="s">
        <v>2700</v>
      </c>
      <c r="E160" s="4" t="s">
        <v>2701</v>
      </c>
      <c r="F160" s="4" t="s">
        <v>2703</v>
      </c>
      <c r="H160" s="4" t="e">
        <v>#N/A</v>
      </c>
      <c r="K160" s="4" t="s">
        <v>2705</v>
      </c>
      <c r="L160" s="4" t="s">
        <v>2707</v>
      </c>
      <c r="N160" s="4" t="s">
        <v>2708</v>
      </c>
      <c r="O160" s="4" t="s">
        <v>2710</v>
      </c>
    </row>
    <row r="161" spans="1:15" ht="13">
      <c r="A161" s="4" t="s">
        <v>2712</v>
      </c>
      <c r="B161" s="4" t="s">
        <v>2714</v>
      </c>
      <c r="C161" s="4" t="s">
        <v>2715</v>
      </c>
      <c r="E161" s="4" t="s">
        <v>2717</v>
      </c>
      <c r="F161" s="4" t="s">
        <v>2719</v>
      </c>
      <c r="H161" s="4" t="s">
        <v>2720</v>
      </c>
      <c r="I161" s="4" t="s">
        <v>2721</v>
      </c>
      <c r="K161" s="4" t="s">
        <v>2723</v>
      </c>
      <c r="L161" s="4" t="s">
        <v>2725</v>
      </c>
      <c r="N161" s="4" t="e">
        <v>#N/A</v>
      </c>
    </row>
    <row r="162" spans="1:15" ht="13">
      <c r="A162" s="4" t="s">
        <v>2727</v>
      </c>
      <c r="B162" s="4" t="e">
        <v>#N/A</v>
      </c>
      <c r="E162" s="4" t="s">
        <v>2728</v>
      </c>
      <c r="F162" s="4" t="s">
        <v>2730</v>
      </c>
      <c r="H162" s="4" t="s">
        <v>2731</v>
      </c>
      <c r="I162" s="4" t="s">
        <v>2733</v>
      </c>
      <c r="K162" s="4" t="s">
        <v>2735</v>
      </c>
      <c r="L162" s="4" t="s">
        <v>2736</v>
      </c>
      <c r="N162" s="4" t="s">
        <v>2738</v>
      </c>
      <c r="O162" s="4" t="s">
        <v>2740</v>
      </c>
    </row>
    <row r="163" spans="1:15" ht="13">
      <c r="A163" s="4" t="s">
        <v>2741</v>
      </c>
      <c r="B163" s="4" t="s">
        <v>2742</v>
      </c>
      <c r="C163" s="4" t="s">
        <v>2744</v>
      </c>
      <c r="E163" s="4" t="e">
        <v>#N/A</v>
      </c>
      <c r="H163" s="4" t="s">
        <v>2746</v>
      </c>
      <c r="I163" s="4" t="s">
        <v>2747</v>
      </c>
      <c r="K163" s="4" t="s">
        <v>2749</v>
      </c>
      <c r="L163" s="4" t="s">
        <v>2750</v>
      </c>
      <c r="N163" s="4" t="e">
        <v>#N/A</v>
      </c>
    </row>
    <row r="164" spans="1:15" ht="13">
      <c r="A164" s="4" t="s">
        <v>2753</v>
      </c>
      <c r="B164" s="4" t="s">
        <v>2754</v>
      </c>
      <c r="C164" s="4" t="s">
        <v>2756</v>
      </c>
      <c r="E164" s="4" t="e">
        <v>#N/A</v>
      </c>
      <c r="H164" s="4" t="e">
        <v>#N/A</v>
      </c>
      <c r="K164" s="4" t="s">
        <v>2758</v>
      </c>
      <c r="L164" s="4" t="s">
        <v>2760</v>
      </c>
      <c r="N164" s="4" t="e">
        <v>#N/A</v>
      </c>
    </row>
    <row r="165" spans="1:15" ht="13">
      <c r="A165" s="4" t="s">
        <v>2762</v>
      </c>
      <c r="B165" s="4" t="s">
        <v>2763</v>
      </c>
      <c r="C165" s="4" t="s">
        <v>2764</v>
      </c>
      <c r="E165" s="4" t="s">
        <v>2766</v>
      </c>
      <c r="F165" s="4" t="s">
        <v>2767</v>
      </c>
      <c r="H165" s="4" t="e">
        <v>#N/A</v>
      </c>
      <c r="K165" s="4" t="s">
        <v>2769</v>
      </c>
      <c r="L165" s="4" t="s">
        <v>2770</v>
      </c>
      <c r="N165" s="4" t="s">
        <v>2772</v>
      </c>
      <c r="O165" s="4" t="s">
        <v>2774</v>
      </c>
    </row>
    <row r="166" spans="1:15" ht="13">
      <c r="A166" s="4" t="s">
        <v>2776</v>
      </c>
      <c r="B166" s="4" t="s">
        <v>2778</v>
      </c>
      <c r="C166" s="4" t="s">
        <v>2779</v>
      </c>
      <c r="E166" s="4" t="s">
        <v>2780</v>
      </c>
      <c r="F166" s="4" t="s">
        <v>135</v>
      </c>
      <c r="G166" s="4" t="s">
        <v>2782</v>
      </c>
      <c r="H166" s="4" t="e">
        <v>#N/A</v>
      </c>
      <c r="K166" s="4" t="s">
        <v>2784</v>
      </c>
      <c r="L166" s="4" t="s">
        <v>2785</v>
      </c>
      <c r="N166" s="4" t="e">
        <v>#N/A</v>
      </c>
    </row>
    <row r="167" spans="1:15" ht="13">
      <c r="A167" s="4" t="s">
        <v>2787</v>
      </c>
      <c r="B167" s="4" t="s">
        <v>2789</v>
      </c>
      <c r="C167" s="4" t="s">
        <v>2790</v>
      </c>
      <c r="E167" s="4" t="e">
        <v>#N/A</v>
      </c>
      <c r="H167" s="4" t="e">
        <v>#N/A</v>
      </c>
      <c r="K167" s="4" t="s">
        <v>2792</v>
      </c>
      <c r="L167" s="4" t="s">
        <v>2794</v>
      </c>
      <c r="N167" s="4" t="s">
        <v>2795</v>
      </c>
      <c r="O167" s="4" t="s">
        <v>2797</v>
      </c>
    </row>
    <row r="168" spans="1:15" ht="13">
      <c r="A168" s="4" t="s">
        <v>2800</v>
      </c>
      <c r="B168" s="4" t="s">
        <v>2801</v>
      </c>
      <c r="C168" s="4" t="s">
        <v>2803</v>
      </c>
      <c r="E168" s="4" t="e">
        <v>#N/A</v>
      </c>
      <c r="H168" s="4" t="e">
        <v>#N/A</v>
      </c>
      <c r="K168" s="4" t="s">
        <v>2809</v>
      </c>
      <c r="L168" s="4" t="s">
        <v>2811</v>
      </c>
      <c r="N168" s="4" t="s">
        <v>2813</v>
      </c>
      <c r="O168" s="4" t="s">
        <v>2814</v>
      </c>
    </row>
    <row r="169" spans="1:15" ht="13">
      <c r="A169" s="4" t="s">
        <v>2816</v>
      </c>
      <c r="B169" s="4" t="s">
        <v>2817</v>
      </c>
      <c r="C169" s="4" t="s">
        <v>2818</v>
      </c>
      <c r="E169" s="4" t="s">
        <v>2820</v>
      </c>
      <c r="F169" s="4" t="s">
        <v>2821</v>
      </c>
      <c r="H169" s="4" t="s">
        <v>2822</v>
      </c>
      <c r="I169" s="4" t="s">
        <v>2824</v>
      </c>
      <c r="K169" s="4" t="s">
        <v>2825</v>
      </c>
      <c r="L169" s="4" t="s">
        <v>2827</v>
      </c>
      <c r="N169" s="4" t="s">
        <v>2828</v>
      </c>
      <c r="O169" s="4" t="s">
        <v>2830</v>
      </c>
    </row>
    <row r="170" spans="1:15" ht="13">
      <c r="A170" s="4" t="s">
        <v>2831</v>
      </c>
      <c r="B170" s="4" t="s">
        <v>2832</v>
      </c>
      <c r="C170" s="4" t="s">
        <v>2834</v>
      </c>
      <c r="E170" s="4" t="s">
        <v>2836</v>
      </c>
      <c r="F170" s="4" t="s">
        <v>2837</v>
      </c>
      <c r="H170" s="4" t="e">
        <v>#N/A</v>
      </c>
      <c r="K170" s="4" t="e">
        <v>#N/A</v>
      </c>
      <c r="N170" s="4" t="e">
        <v>#N/A</v>
      </c>
    </row>
    <row r="171" spans="1:15" ht="13">
      <c r="A171" s="4" t="s">
        <v>2842</v>
      </c>
      <c r="B171" s="4" t="e">
        <v>#N/A</v>
      </c>
      <c r="E171" s="4" t="s">
        <v>2843</v>
      </c>
      <c r="F171" s="4" t="s">
        <v>2846</v>
      </c>
      <c r="H171" s="4" t="s">
        <v>2847</v>
      </c>
      <c r="I171" s="4" t="s">
        <v>2849</v>
      </c>
      <c r="K171" s="4" t="s">
        <v>2851</v>
      </c>
      <c r="L171" s="4" t="s">
        <v>2852</v>
      </c>
      <c r="N171" s="4" t="e">
        <v>#N/A</v>
      </c>
    </row>
    <row r="172" spans="1:15" ht="13">
      <c r="A172" s="4" t="s">
        <v>2854</v>
      </c>
      <c r="B172" s="4" t="s">
        <v>2856</v>
      </c>
      <c r="C172" s="4" t="s">
        <v>2858</v>
      </c>
      <c r="E172" s="4" t="s">
        <v>2859</v>
      </c>
      <c r="F172" s="4" t="s">
        <v>2860</v>
      </c>
      <c r="H172" s="4" t="s">
        <v>2862</v>
      </c>
      <c r="I172" s="4" t="s">
        <v>2864</v>
      </c>
      <c r="K172" s="4" t="s">
        <v>2865</v>
      </c>
      <c r="L172" s="4" t="s">
        <v>2867</v>
      </c>
      <c r="N172" s="4" t="e">
        <v>#N/A</v>
      </c>
    </row>
    <row r="173" spans="1:15" ht="13">
      <c r="A173" s="4" t="s">
        <v>2869</v>
      </c>
      <c r="B173" s="4" t="s">
        <v>2871</v>
      </c>
      <c r="C173" s="4" t="s">
        <v>2873</v>
      </c>
      <c r="E173" s="4" t="s">
        <v>2874</v>
      </c>
      <c r="F173" s="4" t="s">
        <v>2875</v>
      </c>
      <c r="H173" s="4" t="s">
        <v>2876</v>
      </c>
      <c r="I173" s="4" t="s">
        <v>2877</v>
      </c>
      <c r="K173" s="4" t="e">
        <v>#N/A</v>
      </c>
      <c r="N173" s="4" t="s">
        <v>2879</v>
      </c>
      <c r="O173" s="4" t="s">
        <v>2880</v>
      </c>
    </row>
    <row r="174" spans="1:15" ht="13">
      <c r="A174" s="4" t="s">
        <v>2882</v>
      </c>
      <c r="B174" s="4" t="s">
        <v>2884</v>
      </c>
      <c r="C174" s="4" t="s">
        <v>2885</v>
      </c>
      <c r="E174" s="4" t="e">
        <v>#N/A</v>
      </c>
      <c r="H174" s="4" t="s">
        <v>2887</v>
      </c>
      <c r="I174" s="4" t="s">
        <v>2890</v>
      </c>
      <c r="K174" s="4" t="s">
        <v>2891</v>
      </c>
      <c r="L174" s="4" t="s">
        <v>2892</v>
      </c>
      <c r="N174" s="4" t="s">
        <v>2893</v>
      </c>
      <c r="O174" s="4" t="s">
        <v>2894</v>
      </c>
    </row>
    <row r="175" spans="1:15" ht="13">
      <c r="A175" s="4" t="s">
        <v>2896</v>
      </c>
      <c r="B175" s="4" t="e">
        <v>#N/A</v>
      </c>
      <c r="E175" s="4" t="s">
        <v>2899</v>
      </c>
      <c r="F175" s="4" t="s">
        <v>2900</v>
      </c>
      <c r="H175" s="4" t="s">
        <v>2902</v>
      </c>
      <c r="I175" s="4" t="s">
        <v>2903</v>
      </c>
      <c r="K175" s="4" t="s">
        <v>2905</v>
      </c>
      <c r="L175" s="4" t="s">
        <v>2907</v>
      </c>
      <c r="N175" s="4" t="e">
        <v>#N/A</v>
      </c>
    </row>
    <row r="176" spans="1:15" ht="13">
      <c r="A176" s="4" t="s">
        <v>2908</v>
      </c>
      <c r="B176" s="4" t="e">
        <v>#N/A</v>
      </c>
      <c r="E176" s="4" t="s">
        <v>2911</v>
      </c>
      <c r="F176" s="4" t="s">
        <v>2912</v>
      </c>
      <c r="H176" s="4" t="s">
        <v>2914</v>
      </c>
      <c r="I176" s="4" t="s">
        <v>2915</v>
      </c>
      <c r="K176" s="4" t="s">
        <v>2916</v>
      </c>
      <c r="L176" s="4" t="s">
        <v>2918</v>
      </c>
      <c r="N176" s="4" t="s">
        <v>2920</v>
      </c>
      <c r="O176" s="4" t="s">
        <v>2921</v>
      </c>
    </row>
    <row r="177" spans="1:15" ht="13">
      <c r="A177" s="4" t="s">
        <v>2923</v>
      </c>
      <c r="B177" s="4" t="s">
        <v>2925</v>
      </c>
      <c r="C177" s="4" t="s">
        <v>2926</v>
      </c>
      <c r="E177" s="4" t="s">
        <v>2928</v>
      </c>
      <c r="F177" s="4" t="s">
        <v>2930</v>
      </c>
      <c r="H177" s="4" t="e">
        <v>#N/A</v>
      </c>
      <c r="K177" s="4" t="e">
        <v>#N/A</v>
      </c>
      <c r="N177" s="4" t="s">
        <v>2933</v>
      </c>
      <c r="O177" s="4" t="s">
        <v>2934</v>
      </c>
    </row>
    <row r="178" spans="1:15" ht="13">
      <c r="A178" s="4" t="s">
        <v>2935</v>
      </c>
      <c r="B178" s="4" t="s">
        <v>2936</v>
      </c>
      <c r="C178" s="4" t="s">
        <v>2938</v>
      </c>
      <c r="E178" s="4" t="s">
        <v>2939</v>
      </c>
      <c r="F178" s="4" t="s">
        <v>2941</v>
      </c>
      <c r="H178" s="4" t="s">
        <v>2943</v>
      </c>
      <c r="I178" s="4" t="s">
        <v>2944</v>
      </c>
      <c r="K178" s="4" t="e">
        <v>#N/A</v>
      </c>
      <c r="N178" s="4" t="s">
        <v>2946</v>
      </c>
      <c r="O178" s="4" t="s">
        <v>2948</v>
      </c>
    </row>
    <row r="179" spans="1:15" ht="13">
      <c r="A179" s="4" t="s">
        <v>2951</v>
      </c>
      <c r="B179" s="4" t="s">
        <v>2952</v>
      </c>
      <c r="C179" s="4" t="s">
        <v>2954</v>
      </c>
      <c r="E179" s="4" t="e">
        <v>#N/A</v>
      </c>
      <c r="H179" s="4" t="s">
        <v>2957</v>
      </c>
      <c r="I179" s="4" t="s">
        <v>2959</v>
      </c>
      <c r="K179" s="4" t="s">
        <v>2960</v>
      </c>
      <c r="L179" s="4" t="s">
        <v>2962</v>
      </c>
      <c r="N179" s="4" t="s">
        <v>2963</v>
      </c>
      <c r="O179" s="4" t="s">
        <v>2965</v>
      </c>
    </row>
    <row r="180" spans="1:15" ht="13">
      <c r="A180" s="4" t="s">
        <v>2966</v>
      </c>
      <c r="B180" s="4" t="e">
        <v>#N/A</v>
      </c>
      <c r="E180" s="4" t="s">
        <v>2969</v>
      </c>
      <c r="F180" s="4" t="s">
        <v>2970</v>
      </c>
      <c r="H180" s="4" t="s">
        <v>2971</v>
      </c>
      <c r="I180" s="4" t="s">
        <v>2973</v>
      </c>
      <c r="K180" s="4" t="s">
        <v>2975</v>
      </c>
      <c r="L180" s="4" t="s">
        <v>2976</v>
      </c>
      <c r="N180" s="4" t="e">
        <v>#N/A</v>
      </c>
    </row>
    <row r="181" spans="1:15" ht="13">
      <c r="A181" s="4" t="s">
        <v>2979</v>
      </c>
      <c r="B181" s="4" t="s">
        <v>2980</v>
      </c>
      <c r="C181" s="4" t="s">
        <v>2982</v>
      </c>
      <c r="E181" s="4" t="s">
        <v>2984</v>
      </c>
      <c r="F181" s="4" t="s">
        <v>2985</v>
      </c>
      <c r="H181" s="4" t="s">
        <v>2987</v>
      </c>
      <c r="I181" s="4" t="s">
        <v>2988</v>
      </c>
      <c r="K181" s="4" t="s">
        <v>2990</v>
      </c>
      <c r="L181" s="4" t="s">
        <v>2991</v>
      </c>
      <c r="N181" s="4" t="s">
        <v>2992</v>
      </c>
      <c r="O181" s="4" t="s">
        <v>2994</v>
      </c>
    </row>
    <row r="182" spans="1:15" ht="13">
      <c r="A182" s="4" t="s">
        <v>2995</v>
      </c>
      <c r="B182" s="4" t="s">
        <v>2997</v>
      </c>
      <c r="C182" s="4" t="s">
        <v>2998</v>
      </c>
      <c r="E182" s="4" t="s">
        <v>3000</v>
      </c>
      <c r="F182" s="4" t="s">
        <v>3001</v>
      </c>
      <c r="H182" s="4" t="s">
        <v>3003</v>
      </c>
      <c r="I182" s="4" t="s">
        <v>3004</v>
      </c>
      <c r="K182" s="4" t="s">
        <v>3006</v>
      </c>
      <c r="L182" s="4" t="s">
        <v>3007</v>
      </c>
      <c r="N182" s="4" t="s">
        <v>3008</v>
      </c>
      <c r="O182" s="4" t="s">
        <v>3009</v>
      </c>
    </row>
    <row r="183" spans="1:15" ht="13">
      <c r="A183" s="4" t="s">
        <v>3011</v>
      </c>
      <c r="B183" s="4" t="s">
        <v>3012</v>
      </c>
      <c r="C183" s="4" t="s">
        <v>3014</v>
      </c>
      <c r="E183" s="4" t="s">
        <v>3016</v>
      </c>
      <c r="F183" s="4" t="s">
        <v>3018</v>
      </c>
      <c r="H183" s="4" t="s">
        <v>3020</v>
      </c>
      <c r="I183" s="4" t="s">
        <v>3021</v>
      </c>
      <c r="K183" s="4" t="e">
        <v>#N/A</v>
      </c>
      <c r="N183" s="4" t="s">
        <v>3025</v>
      </c>
      <c r="O183" s="4" t="s">
        <v>3026</v>
      </c>
    </row>
    <row r="184" spans="1:15" ht="13">
      <c r="A184" s="4" t="s">
        <v>3029</v>
      </c>
      <c r="B184" s="4" t="s">
        <v>3030</v>
      </c>
      <c r="C184" s="4" t="s">
        <v>3032</v>
      </c>
      <c r="E184" s="4" t="s">
        <v>3034</v>
      </c>
      <c r="F184" s="4" t="s">
        <v>3036</v>
      </c>
      <c r="H184" s="4" t="e">
        <v>#N/A</v>
      </c>
      <c r="K184" s="4" t="s">
        <v>3039</v>
      </c>
      <c r="L184" s="4" t="s">
        <v>3040</v>
      </c>
      <c r="N184" s="4" t="e">
        <v>#N/A</v>
      </c>
    </row>
    <row r="185" spans="1:15" ht="13">
      <c r="A185" s="4" t="s">
        <v>3042</v>
      </c>
      <c r="B185" s="4" t="s">
        <v>3044</v>
      </c>
      <c r="C185" s="4" t="s">
        <v>3045</v>
      </c>
      <c r="E185" s="4" t="s">
        <v>3046</v>
      </c>
      <c r="F185" s="4" t="s">
        <v>3048</v>
      </c>
      <c r="H185" s="4" t="s">
        <v>3050</v>
      </c>
      <c r="I185" s="4" t="s">
        <v>3052</v>
      </c>
      <c r="K185" s="4" t="s">
        <v>3053</v>
      </c>
      <c r="L185" s="4" t="s">
        <v>3055</v>
      </c>
      <c r="N185" s="4" t="s">
        <v>3056</v>
      </c>
      <c r="O185" s="4" t="s">
        <v>3058</v>
      </c>
    </row>
    <row r="186" spans="1:15" ht="13">
      <c r="A186" s="4" t="s">
        <v>3060</v>
      </c>
      <c r="B186" s="4" t="s">
        <v>3061</v>
      </c>
      <c r="C186" s="4" t="s">
        <v>3063</v>
      </c>
      <c r="E186" s="4" t="s">
        <v>3065</v>
      </c>
      <c r="F186" s="4" t="s">
        <v>3066</v>
      </c>
      <c r="H186" s="4" t="s">
        <v>3067</v>
      </c>
      <c r="I186" s="4" t="s">
        <v>3068</v>
      </c>
      <c r="K186" s="4" t="e">
        <v>#N/A</v>
      </c>
      <c r="N186" s="4" t="s">
        <v>3070</v>
      </c>
      <c r="O186" s="4" t="s">
        <v>3072</v>
      </c>
    </row>
    <row r="187" spans="1:15" ht="13">
      <c r="A187" s="4" t="s">
        <v>3073</v>
      </c>
      <c r="B187" s="4" t="s">
        <v>3074</v>
      </c>
      <c r="C187" s="4" t="s">
        <v>3076</v>
      </c>
      <c r="E187" s="4" t="s">
        <v>3077</v>
      </c>
      <c r="F187" s="4" t="s">
        <v>135</v>
      </c>
      <c r="G187" s="4" t="s">
        <v>3080</v>
      </c>
      <c r="H187" s="4" t="s">
        <v>3081</v>
      </c>
      <c r="I187" s="4" t="s">
        <v>3082</v>
      </c>
      <c r="K187" s="4" t="s">
        <v>3083</v>
      </c>
      <c r="L187" s="4" t="s">
        <v>3085</v>
      </c>
      <c r="N187" s="4" t="s">
        <v>3087</v>
      </c>
      <c r="O187" s="4" t="s">
        <v>3088</v>
      </c>
    </row>
    <row r="188" spans="1:15" ht="13">
      <c r="A188" s="4" t="s">
        <v>3089</v>
      </c>
      <c r="B188" s="4" t="s">
        <v>3091</v>
      </c>
      <c r="C188" s="4" t="s">
        <v>3092</v>
      </c>
      <c r="E188" s="4" t="e">
        <v>#N/A</v>
      </c>
      <c r="H188" s="4" t="s">
        <v>3094</v>
      </c>
      <c r="I188" s="4" t="s">
        <v>3096</v>
      </c>
      <c r="K188" s="4" t="e">
        <v>#N/A</v>
      </c>
      <c r="N188" s="4" t="s">
        <v>3098</v>
      </c>
      <c r="O188" s="4" t="s">
        <v>3100</v>
      </c>
    </row>
    <row r="189" spans="1:15" ht="13">
      <c r="A189" s="4" t="s">
        <v>3101</v>
      </c>
      <c r="B189" s="4" t="s">
        <v>3102</v>
      </c>
      <c r="C189" s="4" t="s">
        <v>3103</v>
      </c>
      <c r="E189" s="4" t="e">
        <v>#N/A</v>
      </c>
      <c r="H189" s="4" t="s">
        <v>3106</v>
      </c>
      <c r="I189" s="4" t="s">
        <v>3107</v>
      </c>
      <c r="K189" s="4" t="s">
        <v>3109</v>
      </c>
      <c r="L189" s="4" t="s">
        <v>3111</v>
      </c>
      <c r="N189" s="4" t="e">
        <v>#N/A</v>
      </c>
    </row>
    <row r="190" spans="1:15" ht="13">
      <c r="A190" s="4" t="s">
        <v>3113</v>
      </c>
      <c r="B190" s="4" t="s">
        <v>3115</v>
      </c>
      <c r="C190" s="4" t="s">
        <v>3116</v>
      </c>
      <c r="E190" s="4" t="s">
        <v>3118</v>
      </c>
      <c r="F190" s="4" t="s">
        <v>3120</v>
      </c>
      <c r="H190" s="4" t="s">
        <v>3121</v>
      </c>
      <c r="I190" s="4" t="s">
        <v>3122</v>
      </c>
      <c r="K190" s="4" t="s">
        <v>3124</v>
      </c>
      <c r="L190" s="4" t="s">
        <v>3126</v>
      </c>
      <c r="N190" s="4" t="e">
        <v>#N/A</v>
      </c>
    </row>
    <row r="191" spans="1:15" ht="13">
      <c r="A191" s="4" t="s">
        <v>3128</v>
      </c>
      <c r="B191" s="4" t="s">
        <v>3129</v>
      </c>
      <c r="C191" s="4" t="s">
        <v>3130</v>
      </c>
      <c r="E191" s="4" t="s">
        <v>3131</v>
      </c>
      <c r="F191" s="4" t="s">
        <v>3133</v>
      </c>
      <c r="H191" s="4" t="s">
        <v>3135</v>
      </c>
      <c r="I191" s="4" t="s">
        <v>3136</v>
      </c>
      <c r="K191" s="4" t="e">
        <v>#N/A</v>
      </c>
      <c r="N191" s="4" t="e">
        <v>#N/A</v>
      </c>
    </row>
    <row r="192" spans="1:15" ht="13">
      <c r="A192" s="4" t="s">
        <v>3140</v>
      </c>
      <c r="B192" s="4" t="s">
        <v>3141</v>
      </c>
      <c r="C192" s="4" t="s">
        <v>3143</v>
      </c>
      <c r="E192" s="4" t="e">
        <v>#N/A</v>
      </c>
      <c r="H192" s="4" t="s">
        <v>3145</v>
      </c>
      <c r="I192" s="4" t="s">
        <v>3147</v>
      </c>
      <c r="K192" s="4" t="s">
        <v>3148</v>
      </c>
      <c r="L192" s="4" t="s">
        <v>3150</v>
      </c>
      <c r="N192" s="4" t="s">
        <v>3151</v>
      </c>
      <c r="O192" s="4" t="s">
        <v>3153</v>
      </c>
    </row>
    <row r="193" spans="1:15" ht="13">
      <c r="A193" s="4" t="s">
        <v>3154</v>
      </c>
      <c r="B193" s="4" t="s">
        <v>3156</v>
      </c>
      <c r="C193" s="4" t="s">
        <v>3158</v>
      </c>
      <c r="E193" s="4" t="s">
        <v>3159</v>
      </c>
      <c r="F193" s="4" t="s">
        <v>3161</v>
      </c>
      <c r="H193" s="4" t="s">
        <v>3162</v>
      </c>
      <c r="I193" s="4" t="s">
        <v>3164</v>
      </c>
      <c r="K193" s="4" t="s">
        <v>3166</v>
      </c>
      <c r="L193" s="4" t="s">
        <v>3167</v>
      </c>
      <c r="N193" s="4" t="s">
        <v>3169</v>
      </c>
      <c r="O193" s="4" t="s">
        <v>3172</v>
      </c>
    </row>
    <row r="194" spans="1:15" ht="13">
      <c r="A194" s="4" t="s">
        <v>3174</v>
      </c>
      <c r="B194" s="4" t="s">
        <v>3176</v>
      </c>
      <c r="C194" s="4" t="s">
        <v>3178</v>
      </c>
      <c r="E194" s="4" t="s">
        <v>3179</v>
      </c>
      <c r="F194" s="4" t="s">
        <v>3180</v>
      </c>
      <c r="H194" s="4" t="s">
        <v>3181</v>
      </c>
      <c r="I194" s="4" t="s">
        <v>3182</v>
      </c>
      <c r="K194" s="4" t="s">
        <v>3183</v>
      </c>
      <c r="L194" s="4" t="s">
        <v>3185</v>
      </c>
      <c r="N194" s="4" t="e">
        <v>#N/A</v>
      </c>
    </row>
    <row r="195" spans="1:15" ht="13">
      <c r="A195" s="4" t="s">
        <v>3187</v>
      </c>
      <c r="B195" s="4" t="s">
        <v>3188</v>
      </c>
      <c r="C195" s="4" t="s">
        <v>3190</v>
      </c>
      <c r="E195" s="4" t="e">
        <v>#N/A</v>
      </c>
      <c r="H195" s="4" t="s">
        <v>3192</v>
      </c>
      <c r="I195" s="4" t="s">
        <v>3193</v>
      </c>
      <c r="K195" s="4" t="s">
        <v>3195</v>
      </c>
      <c r="L195" s="4" t="s">
        <v>3197</v>
      </c>
      <c r="N195" s="4" t="s">
        <v>3198</v>
      </c>
      <c r="O195" s="4" t="s">
        <v>3199</v>
      </c>
    </row>
    <row r="196" spans="1:15" ht="13">
      <c r="A196" s="4" t="s">
        <v>3200</v>
      </c>
      <c r="B196" s="4" t="s">
        <v>3201</v>
      </c>
      <c r="C196" s="4" t="s">
        <v>3202</v>
      </c>
      <c r="E196" s="4" t="e">
        <v>#N/A</v>
      </c>
      <c r="H196" s="4" t="s">
        <v>3203</v>
      </c>
      <c r="I196" s="4" t="s">
        <v>3204</v>
      </c>
      <c r="K196" s="4" t="s">
        <v>3205</v>
      </c>
      <c r="L196" s="4" t="s">
        <v>3206</v>
      </c>
      <c r="N196" s="4" t="e">
        <v>#N/A</v>
      </c>
    </row>
    <row r="197" spans="1:15" ht="13">
      <c r="A197" s="4" t="s">
        <v>3208</v>
      </c>
      <c r="B197" s="4" t="s">
        <v>3210</v>
      </c>
      <c r="C197" s="4" t="s">
        <v>3211</v>
      </c>
      <c r="E197" s="4" t="s">
        <v>3212</v>
      </c>
      <c r="F197" s="4" t="s">
        <v>3214</v>
      </c>
      <c r="H197" s="4" t="s">
        <v>3215</v>
      </c>
      <c r="I197" s="4" t="s">
        <v>3217</v>
      </c>
      <c r="K197" s="4" t="s">
        <v>3218</v>
      </c>
      <c r="L197" s="4" t="s">
        <v>3220</v>
      </c>
      <c r="N197" s="4" t="s">
        <v>3221</v>
      </c>
      <c r="O197" s="4" t="s">
        <v>3222</v>
      </c>
    </row>
    <row r="198" spans="1:15" ht="13">
      <c r="A198" s="4" t="s">
        <v>3224</v>
      </c>
      <c r="B198" s="4" t="s">
        <v>3225</v>
      </c>
      <c r="C198" s="4" t="s">
        <v>3226</v>
      </c>
      <c r="E198" s="4" t="e">
        <v>#N/A</v>
      </c>
      <c r="H198" s="4" t="s">
        <v>3231</v>
      </c>
      <c r="I198" s="4" t="s">
        <v>3233</v>
      </c>
      <c r="K198" s="4" t="s">
        <v>3234</v>
      </c>
      <c r="L198" s="4" t="s">
        <v>3236</v>
      </c>
      <c r="N198" s="4" t="s">
        <v>3238</v>
      </c>
      <c r="O198" s="4" t="s">
        <v>3239</v>
      </c>
    </row>
    <row r="199" spans="1:15" ht="13">
      <c r="A199" s="4" t="s">
        <v>3241</v>
      </c>
      <c r="B199" s="4" t="e">
        <v>#N/A</v>
      </c>
      <c r="E199" s="4" t="s">
        <v>3243</v>
      </c>
      <c r="F199" s="4" t="s">
        <v>3245</v>
      </c>
      <c r="H199" s="4" t="s">
        <v>3246</v>
      </c>
      <c r="I199" s="4" t="s">
        <v>3248</v>
      </c>
      <c r="K199" s="4" t="s">
        <v>3249</v>
      </c>
      <c r="L199" s="4" t="s">
        <v>3251</v>
      </c>
      <c r="N199" s="4" t="e">
        <v>#N/A</v>
      </c>
    </row>
    <row r="200" spans="1:15" ht="13">
      <c r="A200" s="4" t="s">
        <v>3253</v>
      </c>
      <c r="B200" s="4" t="s">
        <v>3255</v>
      </c>
      <c r="C200" s="4" t="s">
        <v>3256</v>
      </c>
      <c r="E200" s="4" t="s">
        <v>3257</v>
      </c>
      <c r="F200" s="4" t="s">
        <v>3259</v>
      </c>
      <c r="H200" s="4" t="s">
        <v>3262</v>
      </c>
      <c r="I200" s="4" t="s">
        <v>3264</v>
      </c>
      <c r="K200" s="4" t="s">
        <v>3266</v>
      </c>
      <c r="L200" s="4" t="s">
        <v>3268</v>
      </c>
      <c r="N200" s="4" t="s">
        <v>3270</v>
      </c>
      <c r="O200" s="4" t="s">
        <v>3273</v>
      </c>
    </row>
    <row r="201" spans="1:15" ht="13">
      <c r="A201" s="4" t="s">
        <v>3275</v>
      </c>
      <c r="B201" s="4" t="s">
        <v>3277</v>
      </c>
      <c r="C201" s="4" t="s">
        <v>3279</v>
      </c>
      <c r="E201" s="4" t="s">
        <v>3281</v>
      </c>
      <c r="F201" s="4" t="s">
        <v>3283</v>
      </c>
      <c r="H201" s="4" t="s">
        <v>3285</v>
      </c>
      <c r="I201" s="4" t="s">
        <v>3288</v>
      </c>
      <c r="K201" s="4" t="e">
        <v>#N/A</v>
      </c>
      <c r="N201" s="4" t="s">
        <v>3290</v>
      </c>
      <c r="O201" s="4" t="s">
        <v>3292</v>
      </c>
    </row>
    <row r="202" spans="1:15" ht="13">
      <c r="A202" s="4" t="s">
        <v>3294</v>
      </c>
      <c r="B202" s="4" t="e">
        <v>#N/A</v>
      </c>
      <c r="E202" s="4" t="s">
        <v>3295</v>
      </c>
      <c r="F202" s="4" t="s">
        <v>3297</v>
      </c>
      <c r="H202" s="4" t="s">
        <v>3298</v>
      </c>
      <c r="I202" s="4" t="s">
        <v>3299</v>
      </c>
      <c r="K202" s="4" t="s">
        <v>3300</v>
      </c>
      <c r="L202" s="4" t="s">
        <v>3302</v>
      </c>
      <c r="N202" s="4" t="s">
        <v>3303</v>
      </c>
      <c r="O202" s="4" t="s">
        <v>3306</v>
      </c>
    </row>
    <row r="203" spans="1:15" ht="13">
      <c r="A203" s="4" t="s">
        <v>3309</v>
      </c>
      <c r="B203" s="4" t="s">
        <v>3311</v>
      </c>
      <c r="C203" s="4" t="s">
        <v>3313</v>
      </c>
      <c r="E203" s="4" t="s">
        <v>3315</v>
      </c>
      <c r="F203" s="4" t="s">
        <v>3317</v>
      </c>
      <c r="H203" s="4" t="s">
        <v>3319</v>
      </c>
      <c r="I203" s="4" t="s">
        <v>3321</v>
      </c>
      <c r="K203" s="4" t="e">
        <v>#N/A</v>
      </c>
      <c r="N203" s="4" t="e">
        <v>#N/A</v>
      </c>
    </row>
    <row r="204" spans="1:15" ht="13">
      <c r="A204" s="4" t="s">
        <v>3325</v>
      </c>
      <c r="B204" s="4" t="s">
        <v>3327</v>
      </c>
      <c r="C204" s="4" t="s">
        <v>3328</v>
      </c>
      <c r="E204" s="4" t="s">
        <v>3330</v>
      </c>
      <c r="F204" s="4" t="s">
        <v>3332</v>
      </c>
      <c r="H204" s="4" t="e">
        <v>#N/A</v>
      </c>
      <c r="K204" s="4" t="e">
        <v>#N/A</v>
      </c>
      <c r="N204" s="4" t="s">
        <v>3335</v>
      </c>
      <c r="O204" s="4" t="s">
        <v>3336</v>
      </c>
    </row>
    <row r="205" spans="1:15" ht="13">
      <c r="A205" s="4" t="s">
        <v>3338</v>
      </c>
      <c r="B205" s="4" t="s">
        <v>3340</v>
      </c>
      <c r="C205" s="4" t="s">
        <v>3342</v>
      </c>
      <c r="E205" s="4" t="s">
        <v>3344</v>
      </c>
      <c r="F205" s="4" t="s">
        <v>3345</v>
      </c>
      <c r="H205" s="4" t="s">
        <v>3346</v>
      </c>
      <c r="I205" s="4" t="s">
        <v>3348</v>
      </c>
      <c r="K205" s="4" t="s">
        <v>3349</v>
      </c>
      <c r="L205" s="4" t="s">
        <v>3351</v>
      </c>
      <c r="N205" s="4" t="s">
        <v>3352</v>
      </c>
      <c r="O205" s="4" t="s">
        <v>3355</v>
      </c>
    </row>
    <row r="206" spans="1:15" ht="13">
      <c r="A206" s="4" t="s">
        <v>3356</v>
      </c>
      <c r="B206" s="4" t="e">
        <v>#N/A</v>
      </c>
      <c r="E206" s="4" t="s">
        <v>3359</v>
      </c>
      <c r="F206" s="4" t="s">
        <v>3362</v>
      </c>
      <c r="H206" s="4" t="s">
        <v>3364</v>
      </c>
      <c r="I206" s="4" t="s">
        <v>3366</v>
      </c>
      <c r="K206" s="4" t="s">
        <v>3369</v>
      </c>
      <c r="L206" s="4" t="s">
        <v>3371</v>
      </c>
      <c r="N206" s="4" t="s">
        <v>3373</v>
      </c>
      <c r="O206" s="4" t="s">
        <v>3375</v>
      </c>
    </row>
    <row r="207" spans="1:15" ht="13">
      <c r="A207" s="4" t="s">
        <v>3378</v>
      </c>
      <c r="B207" s="4" t="s">
        <v>3380</v>
      </c>
      <c r="C207" s="4" t="s">
        <v>3383</v>
      </c>
      <c r="E207" s="4" t="e">
        <v>#N/A</v>
      </c>
      <c r="H207" s="4" t="s">
        <v>3387</v>
      </c>
      <c r="I207" s="4" t="s">
        <v>3389</v>
      </c>
      <c r="K207" s="4" t="s">
        <v>3390</v>
      </c>
      <c r="L207" s="4" t="s">
        <v>3392</v>
      </c>
      <c r="N207" s="4" t="e">
        <v>#N/A</v>
      </c>
    </row>
    <row r="208" spans="1:15" ht="13">
      <c r="A208" s="4" t="s">
        <v>3396</v>
      </c>
      <c r="B208" s="4" t="s">
        <v>3397</v>
      </c>
      <c r="C208" s="4" t="s">
        <v>3399</v>
      </c>
      <c r="E208" s="4" t="s">
        <v>3401</v>
      </c>
      <c r="F208" s="4" t="s">
        <v>3402</v>
      </c>
      <c r="H208" s="4" t="s">
        <v>3404</v>
      </c>
      <c r="I208" s="4" t="s">
        <v>3407</v>
      </c>
      <c r="K208" s="4" t="e">
        <v>#N/A</v>
      </c>
      <c r="N208" s="4" t="e">
        <v>#N/A</v>
      </c>
    </row>
    <row r="209" spans="1:15" ht="13">
      <c r="A209" s="4" t="s">
        <v>3410</v>
      </c>
      <c r="B209" s="4" t="s">
        <v>3412</v>
      </c>
      <c r="C209" s="4" t="s">
        <v>3414</v>
      </c>
      <c r="E209" s="4" t="e">
        <v>#N/A</v>
      </c>
      <c r="H209" s="4" t="e">
        <v>#N/A</v>
      </c>
      <c r="K209" s="4" t="s">
        <v>3418</v>
      </c>
      <c r="L209" s="4" t="s">
        <v>3421</v>
      </c>
      <c r="N209" s="4" t="s">
        <v>3422</v>
      </c>
      <c r="O209" s="4" t="s">
        <v>3424</v>
      </c>
    </row>
    <row r="210" spans="1:15" ht="13">
      <c r="A210" s="4" t="s">
        <v>3427</v>
      </c>
      <c r="B210" s="4" t="s">
        <v>3429</v>
      </c>
      <c r="C210" s="4" t="s">
        <v>3431</v>
      </c>
      <c r="E210" s="4" t="s">
        <v>3434</v>
      </c>
      <c r="F210" s="4" t="s">
        <v>3436</v>
      </c>
      <c r="H210" s="4" t="s">
        <v>3439</v>
      </c>
      <c r="I210" s="4" t="s">
        <v>3441</v>
      </c>
      <c r="K210" s="4" t="e">
        <v>#N/A</v>
      </c>
      <c r="N210" s="4" t="s">
        <v>3444</v>
      </c>
      <c r="O210" s="4" t="s">
        <v>3447</v>
      </c>
    </row>
    <row r="211" spans="1:15" ht="13">
      <c r="A211" s="4" t="s">
        <v>3450</v>
      </c>
      <c r="B211" s="4" t="s">
        <v>3452</v>
      </c>
      <c r="C211" s="4" t="s">
        <v>3454</v>
      </c>
      <c r="E211" s="4" t="e">
        <v>#N/A</v>
      </c>
      <c r="H211" s="4" t="s">
        <v>3457</v>
      </c>
      <c r="I211" s="4" t="s">
        <v>3459</v>
      </c>
      <c r="K211" s="4" t="s">
        <v>3461</v>
      </c>
      <c r="L211" s="4" t="s">
        <v>3463</v>
      </c>
      <c r="N211" s="4" t="e">
        <v>#N/A</v>
      </c>
    </row>
    <row r="212" spans="1:15" ht="13">
      <c r="A212" s="4" t="s">
        <v>3467</v>
      </c>
      <c r="B212" s="4" t="s">
        <v>3470</v>
      </c>
      <c r="C212" s="4" t="s">
        <v>3471</v>
      </c>
      <c r="E212" s="4" t="s">
        <v>3473</v>
      </c>
      <c r="F212" s="4" t="s">
        <v>3476</v>
      </c>
      <c r="H212" s="4" t="s">
        <v>3479</v>
      </c>
      <c r="I212" s="4" t="s">
        <v>3480</v>
      </c>
      <c r="K212" s="4" t="s">
        <v>3483</v>
      </c>
      <c r="L212" s="4" t="s">
        <v>3486</v>
      </c>
      <c r="N212" s="4" t="s">
        <v>3488</v>
      </c>
      <c r="O212" s="4" t="s">
        <v>3489</v>
      </c>
    </row>
    <row r="213" spans="1:15" ht="13">
      <c r="A213" s="4" t="s">
        <v>3491</v>
      </c>
      <c r="B213" s="4" t="s">
        <v>3493</v>
      </c>
      <c r="C213" s="4" t="s">
        <v>3495</v>
      </c>
      <c r="E213" s="4"/>
      <c r="H213" s="4" t="s">
        <v>3498</v>
      </c>
      <c r="I213" s="4" t="s">
        <v>3500</v>
      </c>
      <c r="K213" s="4" t="e">
        <v>#N/A</v>
      </c>
      <c r="N213" s="4" t="e">
        <v>#N/A</v>
      </c>
    </row>
    <row r="214" spans="1:15" ht="13">
      <c r="A214" s="4" t="s">
        <v>3503</v>
      </c>
      <c r="B214" s="4" t="e">
        <v>#N/A</v>
      </c>
      <c r="E214" s="4" t="e">
        <v>#N/A</v>
      </c>
      <c r="H214" s="4" t="s">
        <v>3506</v>
      </c>
      <c r="I214" s="4" t="s">
        <v>3509</v>
      </c>
      <c r="K214" s="4" t="e">
        <v>#N/A</v>
      </c>
      <c r="N214" s="4" t="s">
        <v>3511</v>
      </c>
      <c r="O214" s="4" t="s">
        <v>3513</v>
      </c>
    </row>
    <row r="215" spans="1:15" ht="13">
      <c r="A215" s="4" t="s">
        <v>3515</v>
      </c>
      <c r="B215" s="4" t="e">
        <v>#N/A</v>
      </c>
      <c r="E215" s="4" t="s">
        <v>3518</v>
      </c>
      <c r="F215" s="4" t="s">
        <v>3519</v>
      </c>
      <c r="H215" s="4" t="s">
        <v>3521</v>
      </c>
      <c r="I215" s="4" t="s">
        <v>3523</v>
      </c>
      <c r="K215" s="4" t="s">
        <v>3525</v>
      </c>
      <c r="L215" s="4" t="s">
        <v>3529</v>
      </c>
      <c r="N215" s="4" t="s">
        <v>3531</v>
      </c>
      <c r="O215" s="4" t="s">
        <v>3533</v>
      </c>
    </row>
    <row r="216" spans="1:15" ht="13">
      <c r="A216" s="4" t="s">
        <v>3535</v>
      </c>
      <c r="B216" s="4" t="e">
        <v>#N/A</v>
      </c>
      <c r="E216" s="4" t="s">
        <v>3538</v>
      </c>
      <c r="F216" s="4" t="s">
        <v>3539</v>
      </c>
      <c r="H216" s="4" t="s">
        <v>3540</v>
      </c>
      <c r="I216" s="4" t="s">
        <v>3541</v>
      </c>
      <c r="K216" s="4" t="s">
        <v>3543</v>
      </c>
      <c r="L216" s="4" t="s">
        <v>3546</v>
      </c>
      <c r="N216" s="4" t="s">
        <v>3547</v>
      </c>
      <c r="O216" s="4" t="s">
        <v>3549</v>
      </c>
    </row>
    <row r="217" spans="1:15" ht="13">
      <c r="A217" s="4" t="s">
        <v>3551</v>
      </c>
      <c r="B217" s="4" t="s">
        <v>3553</v>
      </c>
      <c r="C217" s="4" t="s">
        <v>3555</v>
      </c>
      <c r="E217" s="4" t="s">
        <v>3557</v>
      </c>
      <c r="F217" s="4" t="s">
        <v>3559</v>
      </c>
      <c r="H217" s="4" t="e">
        <v>#N/A</v>
      </c>
      <c r="K217" s="4" t="s">
        <v>3561</v>
      </c>
      <c r="L217" s="4" t="s">
        <v>3564</v>
      </c>
      <c r="N217" s="4" t="s">
        <v>3565</v>
      </c>
      <c r="O217" s="4" t="s">
        <v>3566</v>
      </c>
    </row>
    <row r="218" spans="1:15" ht="13">
      <c r="A218" s="4" t="s">
        <v>3567</v>
      </c>
      <c r="B218" s="4" t="s">
        <v>3568</v>
      </c>
      <c r="C218" s="4" t="s">
        <v>3570</v>
      </c>
      <c r="E218" s="4" t="s">
        <v>3571</v>
      </c>
      <c r="F218" s="4" t="s">
        <v>3573</v>
      </c>
      <c r="H218" s="4" t="s">
        <v>3574</v>
      </c>
      <c r="I218" s="4" t="s">
        <v>3575</v>
      </c>
      <c r="K218" s="4" t="s">
        <v>3576</v>
      </c>
      <c r="L218" s="4" t="s">
        <v>3577</v>
      </c>
      <c r="N218" s="4" t="s">
        <v>3579</v>
      </c>
      <c r="O218" s="4" t="s">
        <v>3580</v>
      </c>
    </row>
    <row r="219" spans="1:15" ht="13">
      <c r="A219" s="4" t="s">
        <v>3583</v>
      </c>
      <c r="B219" s="4" t="e">
        <v>#N/A</v>
      </c>
      <c r="E219" s="4" t="e">
        <v>#N/A</v>
      </c>
      <c r="H219" s="4" t="s">
        <v>3588</v>
      </c>
      <c r="I219" s="4" t="s">
        <v>3590</v>
      </c>
      <c r="K219" s="4" t="e">
        <v>#N/A</v>
      </c>
      <c r="N219" s="4" t="s">
        <v>3593</v>
      </c>
      <c r="O219" s="4" t="s">
        <v>3595</v>
      </c>
    </row>
    <row r="220" spans="1:15" ht="13">
      <c r="A220" s="4" t="s">
        <v>3597</v>
      </c>
      <c r="B220" s="4" t="s">
        <v>3599</v>
      </c>
      <c r="C220" s="4" t="s">
        <v>3601</v>
      </c>
      <c r="E220" s="4" t="s">
        <v>3603</v>
      </c>
      <c r="F220" s="4" t="s">
        <v>3605</v>
      </c>
      <c r="H220" s="4" t="e">
        <v>#N/A</v>
      </c>
      <c r="K220" s="4" t="s">
        <v>3608</v>
      </c>
      <c r="L220" s="4" t="s">
        <v>3609</v>
      </c>
      <c r="N220" s="4" t="s">
        <v>3611</v>
      </c>
      <c r="O220" s="4" t="s">
        <v>3613</v>
      </c>
    </row>
    <row r="221" spans="1:15" ht="13">
      <c r="A221" s="4" t="s">
        <v>3615</v>
      </c>
      <c r="B221" s="4" t="s">
        <v>3617</v>
      </c>
      <c r="C221" s="4" t="s">
        <v>3619</v>
      </c>
      <c r="E221" s="4" t="e">
        <v>#N/A</v>
      </c>
      <c r="H221" s="4" t="s">
        <v>3623</v>
      </c>
      <c r="I221" s="4" t="s">
        <v>3626</v>
      </c>
      <c r="K221" s="4" t="s">
        <v>3628</v>
      </c>
      <c r="L221" s="4" t="s">
        <v>3630</v>
      </c>
      <c r="N221" s="4" t="e">
        <v>#N/A</v>
      </c>
    </row>
    <row r="222" spans="1:15" ht="13">
      <c r="A222" s="4" t="s">
        <v>3634</v>
      </c>
      <c r="B222" s="4" t="s">
        <v>3637</v>
      </c>
      <c r="C222" s="4" t="s">
        <v>3639</v>
      </c>
      <c r="E222" s="4" t="s">
        <v>3641</v>
      </c>
      <c r="F222" s="4" t="s">
        <v>3643</v>
      </c>
      <c r="H222" s="4" t="s">
        <v>3646</v>
      </c>
      <c r="I222" s="4" t="s">
        <v>3649</v>
      </c>
      <c r="K222" s="4" t="s">
        <v>3651</v>
      </c>
      <c r="L222" s="4" t="s">
        <v>3654</v>
      </c>
      <c r="N222" s="4" t="s">
        <v>3656</v>
      </c>
      <c r="O222" s="4" t="s">
        <v>3658</v>
      </c>
    </row>
    <row r="223" spans="1:15" ht="13">
      <c r="A223" s="4" t="s">
        <v>3660</v>
      </c>
      <c r="B223" s="4" t="s">
        <v>3662</v>
      </c>
      <c r="C223" s="4" t="s">
        <v>3664</v>
      </c>
      <c r="E223" s="4" t="s">
        <v>3665</v>
      </c>
      <c r="F223" s="4" t="s">
        <v>3666</v>
      </c>
      <c r="H223" s="4" t="s">
        <v>3667</v>
      </c>
      <c r="I223" s="4" t="s">
        <v>3668</v>
      </c>
      <c r="K223" s="4" t="s">
        <v>3669</v>
      </c>
      <c r="L223" s="4" t="s">
        <v>3670</v>
      </c>
      <c r="N223" s="4" t="s">
        <v>3671</v>
      </c>
      <c r="O223" s="4" t="s">
        <v>3672</v>
      </c>
    </row>
    <row r="224" spans="1:15" ht="13">
      <c r="A224" s="4" t="s">
        <v>3674</v>
      </c>
      <c r="B224" s="4" t="s">
        <v>3676</v>
      </c>
      <c r="C224" s="4" t="s">
        <v>3677</v>
      </c>
      <c r="E224" s="4" t="s">
        <v>3679</v>
      </c>
      <c r="F224" s="4" t="s">
        <v>3681</v>
      </c>
      <c r="H224" s="4" t="s">
        <v>3682</v>
      </c>
      <c r="I224" s="4" t="s">
        <v>3683</v>
      </c>
      <c r="K224" s="4" t="s">
        <v>3685</v>
      </c>
      <c r="L224" s="4" t="s">
        <v>3686</v>
      </c>
      <c r="N224" s="4" t="e">
        <v>#N/A</v>
      </c>
    </row>
    <row r="225" spans="1:15" ht="13">
      <c r="A225" s="4" t="s">
        <v>3689</v>
      </c>
      <c r="B225" s="4" t="s">
        <v>3691</v>
      </c>
      <c r="C225" s="4" t="s">
        <v>3693</v>
      </c>
      <c r="E225" s="4" t="e">
        <v>#N/A</v>
      </c>
      <c r="H225" s="4" t="s">
        <v>3696</v>
      </c>
      <c r="I225" s="4" t="s">
        <v>3698</v>
      </c>
      <c r="K225" s="4" t="e">
        <v>#N/A</v>
      </c>
      <c r="N225" s="4" t="s">
        <v>3700</v>
      </c>
      <c r="O225" s="4" t="s">
        <v>3703</v>
      </c>
    </row>
    <row r="226" spans="1:15" ht="13">
      <c r="A226" s="4" t="s">
        <v>3705</v>
      </c>
      <c r="B226" s="4" t="s">
        <v>3707</v>
      </c>
      <c r="C226" s="4" t="s">
        <v>3708</v>
      </c>
      <c r="E226" s="4" t="s">
        <v>3710</v>
      </c>
      <c r="F226" s="4" t="s">
        <v>3712</v>
      </c>
      <c r="H226" s="4" t="s">
        <v>3715</v>
      </c>
      <c r="I226" s="4" t="s">
        <v>3716</v>
      </c>
      <c r="K226" s="4" t="s">
        <v>3719</v>
      </c>
      <c r="L226" s="4" t="s">
        <v>3721</v>
      </c>
      <c r="N226" s="4" t="s">
        <v>3724</v>
      </c>
      <c r="O226" s="4" t="s">
        <v>3727</v>
      </c>
    </row>
    <row r="227" spans="1:15" ht="13">
      <c r="A227" s="4" t="s">
        <v>3729</v>
      </c>
      <c r="B227" s="4" t="e">
        <v>#N/A</v>
      </c>
      <c r="E227" s="4" t="s">
        <v>3733</v>
      </c>
      <c r="F227" s="4" t="s">
        <v>3736</v>
      </c>
      <c r="H227" s="4" t="s">
        <v>3738</v>
      </c>
      <c r="I227" s="4" t="s">
        <v>3740</v>
      </c>
      <c r="K227" s="4" t="e">
        <v>#N/A</v>
      </c>
      <c r="N227" s="4" t="e">
        <v>#N/A</v>
      </c>
    </row>
    <row r="228" spans="1:15" ht="13">
      <c r="A228" s="4" t="s">
        <v>3745</v>
      </c>
      <c r="B228" s="4" t="s">
        <v>3746</v>
      </c>
      <c r="C228" s="4" t="s">
        <v>3748</v>
      </c>
      <c r="E228" s="4" t="s">
        <v>3749</v>
      </c>
      <c r="F228" s="4" t="s">
        <v>3752</v>
      </c>
      <c r="H228" s="4" t="s">
        <v>3753</v>
      </c>
      <c r="I228" s="4" t="s">
        <v>3756</v>
      </c>
      <c r="K228" s="4" t="s">
        <v>3758</v>
      </c>
      <c r="L228" s="4" t="s">
        <v>3760</v>
      </c>
      <c r="N228" s="4" t="e">
        <v>#N/A</v>
      </c>
    </row>
    <row r="229" spans="1:15" ht="13">
      <c r="A229" s="4" t="s">
        <v>3763</v>
      </c>
      <c r="B229" s="4" t="s">
        <v>3765</v>
      </c>
      <c r="C229" s="4" t="s">
        <v>3767</v>
      </c>
      <c r="E229" s="4" t="s">
        <v>3769</v>
      </c>
      <c r="F229" s="4" t="s">
        <v>3770</v>
      </c>
      <c r="H229" s="4" t="e">
        <v>#N/A</v>
      </c>
      <c r="K229" s="4" t="s">
        <v>3773</v>
      </c>
      <c r="L229" s="4" t="s">
        <v>3775</v>
      </c>
      <c r="N229" s="4" t="s">
        <v>3777</v>
      </c>
      <c r="O229" s="4" t="s">
        <v>3779</v>
      </c>
    </row>
    <row r="230" spans="1:15" ht="13">
      <c r="A230" s="4" t="s">
        <v>3780</v>
      </c>
      <c r="B230" s="4" t="e">
        <v>#N/A</v>
      </c>
      <c r="E230" s="4" t="s">
        <v>3782</v>
      </c>
      <c r="F230" s="4" t="s">
        <v>3784</v>
      </c>
      <c r="H230" s="4" t="s">
        <v>3786</v>
      </c>
      <c r="I230" s="4" t="s">
        <v>3788</v>
      </c>
      <c r="K230" s="4" t="e">
        <v>#N/A</v>
      </c>
      <c r="N230" s="4" t="s">
        <v>3791</v>
      </c>
      <c r="O230" s="4" t="s">
        <v>3792</v>
      </c>
    </row>
    <row r="231" spans="1:15" ht="13">
      <c r="A231" s="4" t="s">
        <v>3794</v>
      </c>
      <c r="B231" s="4" t="s">
        <v>3795</v>
      </c>
      <c r="C231" s="4" t="s">
        <v>3796</v>
      </c>
      <c r="E231" s="4" t="e">
        <v>#N/A</v>
      </c>
      <c r="H231" s="4" t="s">
        <v>3797</v>
      </c>
      <c r="I231" s="4" t="s">
        <v>3800</v>
      </c>
      <c r="K231" s="4" t="e">
        <v>#N/A</v>
      </c>
      <c r="N231" s="4" t="s">
        <v>3804</v>
      </c>
      <c r="O231" s="4" t="s">
        <v>3805</v>
      </c>
    </row>
    <row r="232" spans="1:15" ht="13">
      <c r="A232" s="4" t="s">
        <v>3808</v>
      </c>
      <c r="B232" s="4" t="s">
        <v>3810</v>
      </c>
      <c r="C232" s="4" t="s">
        <v>3812</v>
      </c>
      <c r="E232" s="4" t="s">
        <v>3815</v>
      </c>
      <c r="F232" s="4" t="s">
        <v>3816</v>
      </c>
      <c r="H232" s="4" t="s">
        <v>3818</v>
      </c>
      <c r="I232" s="4" t="s">
        <v>3821</v>
      </c>
      <c r="K232" s="4" t="s">
        <v>3822</v>
      </c>
      <c r="L232" s="4" t="s">
        <v>3823</v>
      </c>
      <c r="N232" s="4" t="s">
        <v>3824</v>
      </c>
      <c r="O232" s="4" t="s">
        <v>3826</v>
      </c>
    </row>
    <row r="233" spans="1:15" ht="13">
      <c r="A233" s="4" t="s">
        <v>3828</v>
      </c>
      <c r="B233" s="4" t="e">
        <v>#N/A</v>
      </c>
      <c r="E233" s="4" t="s">
        <v>3831</v>
      </c>
      <c r="F233" s="4" t="s">
        <v>3833</v>
      </c>
      <c r="H233" s="4" t="s">
        <v>3834</v>
      </c>
      <c r="I233" s="4" t="s">
        <v>3836</v>
      </c>
      <c r="K233" s="4" t="s">
        <v>3838</v>
      </c>
      <c r="L233" s="4" t="s">
        <v>3840</v>
      </c>
      <c r="N233" s="4" t="e">
        <v>#N/A</v>
      </c>
    </row>
    <row r="234" spans="1:15" ht="13">
      <c r="A234" s="4" t="s">
        <v>3842</v>
      </c>
      <c r="B234" s="4" t="s">
        <v>3845</v>
      </c>
      <c r="C234" s="4" t="s">
        <v>3847</v>
      </c>
      <c r="E234" s="4" t="s">
        <v>3849</v>
      </c>
      <c r="F234" s="4" t="s">
        <v>3852</v>
      </c>
      <c r="H234" s="4" t="e">
        <v>#N/A</v>
      </c>
      <c r="K234" s="4" t="e">
        <v>#N/A</v>
      </c>
      <c r="N234" s="4" t="s">
        <v>3856</v>
      </c>
      <c r="O234" s="4" t="s">
        <v>3858</v>
      </c>
    </row>
    <row r="235" spans="1:15" ht="13">
      <c r="A235" s="4" t="s">
        <v>3861</v>
      </c>
      <c r="B235" s="4" t="e">
        <v>#N/A</v>
      </c>
      <c r="E235" s="4" t="s">
        <v>3865</v>
      </c>
      <c r="F235" s="4" t="s">
        <v>3867</v>
      </c>
      <c r="H235" s="4" t="s">
        <v>3876</v>
      </c>
      <c r="I235" s="4" t="s">
        <v>3879</v>
      </c>
      <c r="K235" s="4" t="s">
        <v>3881</v>
      </c>
      <c r="L235" s="4" t="s">
        <v>3884</v>
      </c>
      <c r="N235" s="4" t="s">
        <v>3886</v>
      </c>
      <c r="O235" s="4" t="s">
        <v>3889</v>
      </c>
    </row>
    <row r="236" spans="1:15" ht="13">
      <c r="A236" s="4" t="s">
        <v>3893</v>
      </c>
      <c r="B236" s="4" t="s">
        <v>3895</v>
      </c>
      <c r="C236" s="4" t="s">
        <v>3897</v>
      </c>
      <c r="E236" s="4" t="e">
        <v>#N/A</v>
      </c>
      <c r="H236" s="4" t="e">
        <v>#N/A</v>
      </c>
      <c r="K236" s="4" t="s">
        <v>3902</v>
      </c>
      <c r="L236" s="4" t="s">
        <v>3904</v>
      </c>
      <c r="N236" s="4" t="s">
        <v>3906</v>
      </c>
      <c r="O236" s="4" t="s">
        <v>3908</v>
      </c>
    </row>
    <row r="237" spans="1:15" ht="13">
      <c r="A237" s="4" t="s">
        <v>3909</v>
      </c>
      <c r="B237" s="4" t="s">
        <v>3911</v>
      </c>
      <c r="C237" s="4" t="s">
        <v>3913</v>
      </c>
      <c r="E237" s="4" t="e">
        <v>#N/A</v>
      </c>
      <c r="H237" s="4" t="s">
        <v>3940</v>
      </c>
      <c r="I237" s="4" t="s">
        <v>3941</v>
      </c>
      <c r="K237" s="4" t="s">
        <v>3942</v>
      </c>
      <c r="L237" s="4" t="s">
        <v>3944</v>
      </c>
      <c r="N237" s="4" t="s">
        <v>3946</v>
      </c>
      <c r="O237" s="4" t="s">
        <v>3948</v>
      </c>
    </row>
    <row r="238" spans="1:15" ht="13">
      <c r="A238" s="4" t="s">
        <v>3951</v>
      </c>
      <c r="B238" s="4" t="s">
        <v>3952</v>
      </c>
      <c r="C238" s="4" t="s">
        <v>3954</v>
      </c>
      <c r="E238" s="4" t="s">
        <v>3956</v>
      </c>
      <c r="F238" s="4" t="s">
        <v>3958</v>
      </c>
      <c r="H238" s="4" t="s">
        <v>3960</v>
      </c>
      <c r="I238" s="4" t="s">
        <v>3961</v>
      </c>
      <c r="K238" s="4" t="e">
        <v>#N/A</v>
      </c>
      <c r="N238" s="4" t="s">
        <v>3965</v>
      </c>
      <c r="O238" s="4" t="s">
        <v>3967</v>
      </c>
    </row>
    <row r="239" spans="1:15" ht="13">
      <c r="A239" s="4" t="s">
        <v>3970</v>
      </c>
      <c r="B239" s="4" t="e">
        <v>#N/A</v>
      </c>
      <c r="E239" s="4" t="s">
        <v>3974</v>
      </c>
      <c r="F239" s="4" t="s">
        <v>3976</v>
      </c>
      <c r="H239" s="4" t="s">
        <v>3977</v>
      </c>
      <c r="I239" s="4" t="s">
        <v>3979</v>
      </c>
      <c r="K239" s="4" t="s">
        <v>3981</v>
      </c>
      <c r="L239" s="4" t="s">
        <v>3982</v>
      </c>
      <c r="N239" s="4" t="s">
        <v>3984</v>
      </c>
      <c r="O239" s="4" t="s">
        <v>3986</v>
      </c>
    </row>
    <row r="240" spans="1:15" ht="13">
      <c r="A240" s="26">
        <f>SUM(C240:O240)</f>
        <v>879</v>
      </c>
      <c r="C240" s="4">
        <v>183</v>
      </c>
      <c r="F240" s="4">
        <v>170</v>
      </c>
      <c r="I240" s="4">
        <v>188</v>
      </c>
      <c r="L240" s="4">
        <v>176</v>
      </c>
      <c r="O240" s="4">
        <v>162</v>
      </c>
    </row>
    <row r="241" spans="1:2" ht="13">
      <c r="A241" s="27">
        <f>A240/1185</f>
        <v>0.74177215189873413</v>
      </c>
      <c r="B241"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241"/>
  <sheetViews>
    <sheetView workbookViewId="0"/>
  </sheetViews>
  <sheetFormatPr baseColWidth="10" defaultColWidth="14.5" defaultRowHeight="15.75" customHeight="1"/>
  <cols>
    <col min="1" max="1" width="72" customWidth="1"/>
    <col min="2" max="2" width="44.5" customWidth="1"/>
    <col min="3" max="3" width="71.5" customWidth="1"/>
    <col min="4" max="4" width="28.6640625" customWidth="1"/>
    <col min="5" max="5" width="39.6640625" customWidth="1"/>
    <col min="6" max="6" width="84.5" customWidth="1"/>
    <col min="7" max="7" width="37.5" customWidth="1"/>
    <col min="8" max="8" width="68.33203125" customWidth="1"/>
    <col min="9" max="9" width="89.83203125" customWidth="1"/>
    <col min="11" max="11" width="43.33203125" customWidth="1"/>
    <col min="12" max="12" width="84.5" customWidth="1"/>
    <col min="14" max="14" width="46.33203125" customWidth="1"/>
    <col min="15" max="15" width="90.1640625" customWidth="1"/>
  </cols>
  <sheetData>
    <row r="1" spans="1:15" ht="15.75" customHeight="1">
      <c r="B1" s="4" t="s">
        <v>2</v>
      </c>
      <c r="E1" s="4" t="s">
        <v>6</v>
      </c>
      <c r="H1" s="4" t="s">
        <v>7</v>
      </c>
      <c r="K1" s="4" t="s">
        <v>8</v>
      </c>
      <c r="N1" s="4" t="s">
        <v>11</v>
      </c>
    </row>
    <row r="2" spans="1:15" ht="15.75" customHeight="1">
      <c r="A2" s="4" t="s">
        <v>15</v>
      </c>
      <c r="B2" s="5" t="s">
        <v>4159</v>
      </c>
      <c r="C2" s="4" t="s">
        <v>228</v>
      </c>
      <c r="E2" s="4" t="s">
        <v>230</v>
      </c>
      <c r="F2" s="4" t="s">
        <v>233</v>
      </c>
      <c r="H2" s="4" t="s">
        <v>235</v>
      </c>
      <c r="I2" s="4" t="s">
        <v>236</v>
      </c>
      <c r="K2" s="4" t="s">
        <v>237</v>
      </c>
      <c r="L2" s="4" t="s">
        <v>238</v>
      </c>
      <c r="N2" s="4" t="s">
        <v>240</v>
      </c>
      <c r="O2" s="4" t="s">
        <v>241</v>
      </c>
    </row>
    <row r="3" spans="1:15" ht="15.75" customHeight="1">
      <c r="A3" s="4" t="s">
        <v>243</v>
      </c>
      <c r="B3" s="4" t="s">
        <v>245</v>
      </c>
      <c r="C3" s="4" t="s">
        <v>247</v>
      </c>
      <c r="E3" s="4" t="e">
        <v>#N/A</v>
      </c>
      <c r="H3" s="4" t="s">
        <v>250</v>
      </c>
      <c r="I3" s="4" t="s">
        <v>253</v>
      </c>
      <c r="K3" s="4" t="s">
        <v>254</v>
      </c>
      <c r="L3" s="4" t="s">
        <v>256</v>
      </c>
      <c r="N3" s="4" t="e">
        <v>#N/A</v>
      </c>
    </row>
    <row r="4" spans="1:15" ht="15.75" customHeight="1">
      <c r="A4" s="4" t="s">
        <v>259</v>
      </c>
      <c r="B4" s="4" t="e">
        <v>#N/A</v>
      </c>
      <c r="E4" s="4" t="s">
        <v>261</v>
      </c>
      <c r="F4" s="4" t="s">
        <v>263</v>
      </c>
      <c r="H4" s="4" t="e">
        <v>#N/A</v>
      </c>
      <c r="K4" s="4" t="e">
        <v>#N/A</v>
      </c>
      <c r="N4" s="4" t="s">
        <v>267</v>
      </c>
      <c r="O4" s="4" t="s">
        <v>268</v>
      </c>
    </row>
    <row r="5" spans="1:15" ht="15.75" customHeight="1">
      <c r="A5" s="4" t="s">
        <v>271</v>
      </c>
      <c r="B5" s="4" t="s">
        <v>272</v>
      </c>
      <c r="C5" s="4" t="s">
        <v>275</v>
      </c>
      <c r="E5" s="4" t="s">
        <v>276</v>
      </c>
      <c r="F5" s="4" t="s">
        <v>278</v>
      </c>
      <c r="H5" s="4" t="s">
        <v>279</v>
      </c>
      <c r="I5" s="4" t="s">
        <v>281</v>
      </c>
      <c r="K5" s="4" t="s">
        <v>283</v>
      </c>
      <c r="L5" s="4" t="s">
        <v>284</v>
      </c>
      <c r="N5" s="4" t="s">
        <v>285</v>
      </c>
      <c r="O5" s="4" t="s">
        <v>286</v>
      </c>
    </row>
    <row r="6" spans="1:15" ht="15.75" customHeight="1">
      <c r="A6" s="4" t="s">
        <v>288</v>
      </c>
      <c r="B6" s="4" t="e">
        <v>#N/A</v>
      </c>
      <c r="E6" s="4" t="e">
        <v>#N/A</v>
      </c>
      <c r="H6" s="4" t="s">
        <v>291</v>
      </c>
      <c r="I6" s="4" t="s">
        <v>293</v>
      </c>
      <c r="K6" s="4"/>
      <c r="N6" s="4" t="s">
        <v>294</v>
      </c>
      <c r="O6" s="4" t="s">
        <v>295</v>
      </c>
    </row>
    <row r="7" spans="1:15" ht="15.75" customHeight="1">
      <c r="A7" s="4" t="s">
        <v>296</v>
      </c>
      <c r="B7" s="4" t="s">
        <v>297</v>
      </c>
      <c r="C7" s="4" t="s">
        <v>298</v>
      </c>
      <c r="E7" s="4" t="s">
        <v>300</v>
      </c>
      <c r="F7" s="4" t="s">
        <v>302</v>
      </c>
      <c r="H7" s="4" t="s">
        <v>304</v>
      </c>
      <c r="I7" s="4" t="s">
        <v>306</v>
      </c>
      <c r="K7" s="4" t="s">
        <v>307</v>
      </c>
      <c r="L7" s="4" t="s">
        <v>309</v>
      </c>
      <c r="N7" s="4" t="s">
        <v>310</v>
      </c>
      <c r="O7" s="4" t="s">
        <v>313</v>
      </c>
    </row>
    <row r="8" spans="1:15" ht="15.75" customHeight="1">
      <c r="A8" s="4" t="s">
        <v>315</v>
      </c>
      <c r="B8" s="4" t="s">
        <v>317</v>
      </c>
      <c r="C8" s="4" t="s">
        <v>319</v>
      </c>
      <c r="E8" s="4" t="s">
        <v>321</v>
      </c>
      <c r="F8" s="4" t="s">
        <v>322</v>
      </c>
      <c r="H8" s="4" t="s">
        <v>324</v>
      </c>
      <c r="I8" s="4" t="s">
        <v>325</v>
      </c>
      <c r="K8" s="4" t="s">
        <v>327</v>
      </c>
      <c r="L8" s="4" t="s">
        <v>329</v>
      </c>
      <c r="N8" s="4" t="s">
        <v>330</v>
      </c>
      <c r="O8" s="4" t="s">
        <v>332</v>
      </c>
    </row>
    <row r="9" spans="1:15" ht="15.75" customHeight="1">
      <c r="A9" s="4" t="s">
        <v>334</v>
      </c>
      <c r="B9" s="4" t="s">
        <v>336</v>
      </c>
      <c r="C9" s="4" t="s">
        <v>337</v>
      </c>
      <c r="E9" s="4" t="s">
        <v>340</v>
      </c>
      <c r="F9" s="4" t="s">
        <v>341</v>
      </c>
      <c r="H9" s="4" t="s">
        <v>343</v>
      </c>
      <c r="I9" s="4" t="s">
        <v>345</v>
      </c>
      <c r="K9" s="4" t="s">
        <v>347</v>
      </c>
      <c r="L9" s="4" t="s">
        <v>348</v>
      </c>
      <c r="N9" s="4" t="s">
        <v>350</v>
      </c>
      <c r="O9" s="4" t="s">
        <v>351</v>
      </c>
    </row>
    <row r="10" spans="1:15" ht="15.75" customHeight="1">
      <c r="A10" s="4" t="s">
        <v>353</v>
      </c>
      <c r="B10" s="4" t="s">
        <v>355</v>
      </c>
      <c r="C10" s="4" t="s">
        <v>357</v>
      </c>
      <c r="E10" s="4" t="s">
        <v>358</v>
      </c>
      <c r="F10" s="4" t="s">
        <v>360</v>
      </c>
      <c r="H10" s="4" t="s">
        <v>363</v>
      </c>
      <c r="I10" s="4" t="s">
        <v>365</v>
      </c>
      <c r="K10" s="4" t="s">
        <v>366</v>
      </c>
      <c r="L10" s="4" t="s">
        <v>369</v>
      </c>
      <c r="N10" s="4" t="s">
        <v>371</v>
      </c>
      <c r="O10" s="4" t="s">
        <v>372</v>
      </c>
    </row>
    <row r="11" spans="1:15" ht="15.75" customHeight="1">
      <c r="A11" s="4" t="s">
        <v>374</v>
      </c>
      <c r="B11" s="5" t="s">
        <v>4243</v>
      </c>
      <c r="C11" s="5" t="s">
        <v>4245</v>
      </c>
      <c r="E11" s="4" t="e">
        <v>#N/A</v>
      </c>
      <c r="H11" s="4" t="e">
        <v>#N/A</v>
      </c>
      <c r="K11" s="4" t="s">
        <v>382</v>
      </c>
      <c r="L11" s="4" t="s">
        <v>383</v>
      </c>
      <c r="N11" s="4" t="e">
        <v>#N/A</v>
      </c>
    </row>
    <row r="12" spans="1:15" ht="15.75" customHeight="1">
      <c r="A12" s="4" t="s">
        <v>387</v>
      </c>
      <c r="B12" s="4" t="s">
        <v>389</v>
      </c>
      <c r="C12" s="4" t="s">
        <v>391</v>
      </c>
      <c r="E12" s="4" t="s">
        <v>393</v>
      </c>
      <c r="F12" s="4" t="s">
        <v>394</v>
      </c>
      <c r="H12" s="4" t="s">
        <v>396</v>
      </c>
      <c r="I12" s="4" t="s">
        <v>398</v>
      </c>
      <c r="K12" s="4" t="s">
        <v>400</v>
      </c>
      <c r="L12" s="4" t="s">
        <v>401</v>
      </c>
      <c r="N12" s="4" t="s">
        <v>403</v>
      </c>
      <c r="O12" s="4" t="s">
        <v>405</v>
      </c>
    </row>
    <row r="13" spans="1:15" ht="15.75" customHeight="1">
      <c r="A13" s="4" t="s">
        <v>407</v>
      </c>
      <c r="B13" s="4" t="e">
        <v>#N/A</v>
      </c>
      <c r="E13" s="4" t="s">
        <v>410</v>
      </c>
      <c r="F13" s="4" t="s">
        <v>412</v>
      </c>
      <c r="H13" s="4" t="e">
        <v>#N/A</v>
      </c>
      <c r="K13" s="4" t="s">
        <v>415</v>
      </c>
      <c r="L13" s="4" t="s">
        <v>416</v>
      </c>
      <c r="N13" s="4" t="e">
        <v>#N/A</v>
      </c>
    </row>
    <row r="14" spans="1:15" ht="15.75" customHeight="1">
      <c r="A14" s="4" t="s">
        <v>420</v>
      </c>
      <c r="B14" s="4" t="s">
        <v>421</v>
      </c>
      <c r="C14" s="4" t="s">
        <v>423</v>
      </c>
      <c r="E14" s="4" t="s">
        <v>424</v>
      </c>
      <c r="F14" s="4" t="s">
        <v>427</v>
      </c>
      <c r="H14" s="4" t="s">
        <v>429</v>
      </c>
      <c r="I14" s="4" t="s">
        <v>431</v>
      </c>
      <c r="K14" s="4" t="s">
        <v>433</v>
      </c>
      <c r="L14" s="4" t="s">
        <v>435</v>
      </c>
      <c r="N14" s="4" t="e">
        <v>#N/A</v>
      </c>
    </row>
    <row r="15" spans="1:15" ht="15.75" customHeight="1">
      <c r="A15" s="4" t="s">
        <v>439</v>
      </c>
      <c r="B15" s="4" t="s">
        <v>441</v>
      </c>
      <c r="C15" s="4" t="s">
        <v>442</v>
      </c>
      <c r="E15" s="4" t="s">
        <v>444</v>
      </c>
      <c r="F15" s="4" t="s">
        <v>446</v>
      </c>
      <c r="H15" s="4" t="e">
        <v>#N/A</v>
      </c>
      <c r="K15" s="4" t="s">
        <v>448</v>
      </c>
      <c r="L15" s="4" t="s">
        <v>450</v>
      </c>
      <c r="N15" s="4" t="s">
        <v>451</v>
      </c>
      <c r="O15" s="4" t="s">
        <v>456</v>
      </c>
    </row>
    <row r="16" spans="1:15" ht="15.75" customHeight="1">
      <c r="A16" s="4" t="s">
        <v>458</v>
      </c>
      <c r="B16" s="4" t="e">
        <v>#N/A</v>
      </c>
      <c r="E16" s="4" t="s">
        <v>461</v>
      </c>
      <c r="F16" s="4" t="s">
        <v>462</v>
      </c>
      <c r="H16" s="4" t="s">
        <v>463</v>
      </c>
      <c r="I16" s="4" t="s">
        <v>465</v>
      </c>
      <c r="K16" s="4" t="e">
        <v>#N/A</v>
      </c>
      <c r="N16" s="4" t="s">
        <v>467</v>
      </c>
      <c r="O16" s="4" t="s">
        <v>135</v>
      </c>
    </row>
    <row r="17" spans="1:15" ht="15.75" customHeight="1">
      <c r="A17" s="4" t="s">
        <v>469</v>
      </c>
      <c r="B17" s="4" t="s">
        <v>471</v>
      </c>
      <c r="C17" s="4" t="s">
        <v>473</v>
      </c>
      <c r="E17" s="4" t="e">
        <v>#N/A</v>
      </c>
      <c r="H17" s="4" t="s">
        <v>475</v>
      </c>
      <c r="I17" s="4" t="s">
        <v>477</v>
      </c>
      <c r="K17" s="4" t="s">
        <v>478</v>
      </c>
      <c r="L17" s="4" t="s">
        <v>479</v>
      </c>
      <c r="N17" s="4" t="s">
        <v>480</v>
      </c>
      <c r="O17" s="4" t="s">
        <v>481</v>
      </c>
    </row>
    <row r="18" spans="1:15" ht="15.75" customHeight="1">
      <c r="A18" s="4" t="s">
        <v>484</v>
      </c>
      <c r="B18" s="4" t="e">
        <v>#N/A</v>
      </c>
      <c r="E18" s="4" t="s">
        <v>486</v>
      </c>
      <c r="F18" s="4" t="s">
        <v>488</v>
      </c>
      <c r="H18" s="4" t="s">
        <v>490</v>
      </c>
      <c r="I18" s="4" t="s">
        <v>492</v>
      </c>
      <c r="K18" s="4" t="e">
        <v>#N/A</v>
      </c>
      <c r="N18" s="4" t="s">
        <v>496</v>
      </c>
      <c r="O18" s="4" t="s">
        <v>498</v>
      </c>
    </row>
    <row r="19" spans="1:15" ht="15.75" customHeight="1">
      <c r="A19" s="4" t="s">
        <v>500</v>
      </c>
      <c r="B19" s="4" t="s">
        <v>502</v>
      </c>
      <c r="C19" s="4" t="s">
        <v>504</v>
      </c>
      <c r="E19" s="4" t="s">
        <v>505</v>
      </c>
      <c r="F19" s="4" t="s">
        <v>507</v>
      </c>
      <c r="H19" s="4" t="s">
        <v>509</v>
      </c>
      <c r="I19" s="4" t="s">
        <v>511</v>
      </c>
      <c r="K19" s="4" t="s">
        <v>513</v>
      </c>
      <c r="L19" s="4" t="s">
        <v>514</v>
      </c>
      <c r="N19" s="4" t="s">
        <v>516</v>
      </c>
      <c r="O19" s="4" t="s">
        <v>518</v>
      </c>
    </row>
    <row r="20" spans="1:15" ht="15.75" customHeight="1">
      <c r="A20" s="4" t="s">
        <v>520</v>
      </c>
      <c r="B20" s="4" t="e">
        <v>#N/A</v>
      </c>
      <c r="E20" s="4" t="s">
        <v>522</v>
      </c>
      <c r="F20" s="4" t="s">
        <v>524</v>
      </c>
      <c r="H20" s="4" t="s">
        <v>526</v>
      </c>
      <c r="I20" s="4" t="s">
        <v>528</v>
      </c>
      <c r="K20" s="4" t="e">
        <v>#N/A</v>
      </c>
      <c r="N20" s="4" t="e">
        <v>#N/A</v>
      </c>
    </row>
    <row r="21" spans="1:15" ht="15.75" customHeight="1">
      <c r="A21" s="4" t="s">
        <v>531</v>
      </c>
      <c r="B21" s="4"/>
      <c r="E21" s="4" t="s">
        <v>533</v>
      </c>
      <c r="F21" s="4" t="s">
        <v>535</v>
      </c>
      <c r="H21" s="4" t="s">
        <v>537</v>
      </c>
      <c r="I21" s="4" t="s">
        <v>539</v>
      </c>
      <c r="K21" s="4" t="s">
        <v>541</v>
      </c>
      <c r="L21" s="4" t="s">
        <v>543</v>
      </c>
      <c r="N21" s="4" t="s">
        <v>544</v>
      </c>
      <c r="O21" s="4" t="s">
        <v>545</v>
      </c>
    </row>
    <row r="22" spans="1:15" ht="15.75" customHeight="1">
      <c r="A22" s="4" t="s">
        <v>548</v>
      </c>
      <c r="B22" s="4" t="s">
        <v>550</v>
      </c>
      <c r="C22" s="4" t="s">
        <v>552</v>
      </c>
      <c r="E22" s="4" t="s">
        <v>554</v>
      </c>
      <c r="F22" s="4" t="s">
        <v>557</v>
      </c>
      <c r="H22" s="4" t="s">
        <v>558</v>
      </c>
      <c r="I22" s="4" t="s">
        <v>560</v>
      </c>
      <c r="K22" s="4" t="s">
        <v>563</v>
      </c>
      <c r="L22" s="4" t="s">
        <v>566</v>
      </c>
      <c r="N22" s="4" t="s">
        <v>570</v>
      </c>
      <c r="O22" s="4" t="s">
        <v>572</v>
      </c>
    </row>
    <row r="23" spans="1:15" ht="15.75" customHeight="1">
      <c r="A23" s="4" t="s">
        <v>575</v>
      </c>
      <c r="B23" s="4" t="s">
        <v>577</v>
      </c>
      <c r="C23" s="4" t="s">
        <v>579</v>
      </c>
      <c r="E23" s="4" t="e">
        <v>#N/A</v>
      </c>
      <c r="H23" s="4" t="s">
        <v>582</v>
      </c>
      <c r="I23" s="4" t="s">
        <v>584</v>
      </c>
      <c r="K23" s="4" t="s">
        <v>585</v>
      </c>
      <c r="L23" s="4" t="s">
        <v>586</v>
      </c>
      <c r="N23" s="4" t="s">
        <v>588</v>
      </c>
      <c r="O23" s="4" t="s">
        <v>590</v>
      </c>
    </row>
    <row r="24" spans="1:15" ht="15.75" customHeight="1">
      <c r="A24" s="4" t="s">
        <v>592</v>
      </c>
      <c r="B24" s="4" t="s">
        <v>594</v>
      </c>
      <c r="C24" s="4" t="s">
        <v>595</v>
      </c>
      <c r="E24" s="4" t="s">
        <v>596</v>
      </c>
      <c r="F24" s="4" t="s">
        <v>597</v>
      </c>
      <c r="H24" s="4" t="s">
        <v>599</v>
      </c>
      <c r="I24" s="4" t="s">
        <v>601</v>
      </c>
      <c r="K24" s="4" t="e">
        <v>#N/A</v>
      </c>
      <c r="N24" s="4" t="s">
        <v>604</v>
      </c>
      <c r="O24" s="4" t="s">
        <v>606</v>
      </c>
    </row>
    <row r="25" spans="1:15" ht="15.75" customHeight="1">
      <c r="A25" s="4" t="s">
        <v>608</v>
      </c>
      <c r="B25" s="4" t="s">
        <v>614</v>
      </c>
      <c r="C25" s="4" t="s">
        <v>616</v>
      </c>
      <c r="E25" s="4" t="s">
        <v>618</v>
      </c>
      <c r="F25" s="4" t="s">
        <v>619</v>
      </c>
      <c r="H25" s="4" t="s">
        <v>621</v>
      </c>
      <c r="I25" s="4" t="s">
        <v>622</v>
      </c>
      <c r="K25" s="4" t="s">
        <v>624</v>
      </c>
      <c r="L25" s="4" t="s">
        <v>625</v>
      </c>
      <c r="N25" s="4" t="e">
        <v>#N/A</v>
      </c>
    </row>
    <row r="26" spans="1:15" ht="15.75" customHeight="1">
      <c r="A26" s="4" t="s">
        <v>628</v>
      </c>
      <c r="B26" s="4" t="s">
        <v>630</v>
      </c>
      <c r="C26" s="4" t="s">
        <v>632</v>
      </c>
      <c r="E26" s="4" t="s">
        <v>633</v>
      </c>
      <c r="F26" s="4" t="s">
        <v>635</v>
      </c>
      <c r="H26" s="4" t="s">
        <v>636</v>
      </c>
      <c r="I26" s="4" t="s">
        <v>638</v>
      </c>
      <c r="K26" s="4" t="s">
        <v>639</v>
      </c>
      <c r="L26" s="4" t="s">
        <v>641</v>
      </c>
      <c r="N26" s="4" t="s">
        <v>643</v>
      </c>
      <c r="O26" s="4" t="s">
        <v>645</v>
      </c>
    </row>
    <row r="27" spans="1:15" ht="15.75" customHeight="1">
      <c r="A27" s="4" t="s">
        <v>648</v>
      </c>
      <c r="B27" s="4" t="s">
        <v>649</v>
      </c>
      <c r="C27" s="4" t="s">
        <v>651</v>
      </c>
      <c r="E27" s="4" t="s">
        <v>652</v>
      </c>
      <c r="F27" s="4" t="s">
        <v>653</v>
      </c>
      <c r="H27" s="4" t="e">
        <v>#N/A</v>
      </c>
      <c r="K27" s="4" t="s">
        <v>655</v>
      </c>
      <c r="L27" s="4" t="s">
        <v>656</v>
      </c>
      <c r="N27" s="4" t="e">
        <v>#N/A</v>
      </c>
    </row>
    <row r="28" spans="1:15" ht="15.75" customHeight="1">
      <c r="A28" s="4" t="s">
        <v>658</v>
      </c>
      <c r="B28" s="4" t="s">
        <v>661</v>
      </c>
      <c r="C28" s="4" t="s">
        <v>662</v>
      </c>
      <c r="E28" s="4" t="s">
        <v>664</v>
      </c>
      <c r="F28" s="4" t="s">
        <v>666</v>
      </c>
      <c r="H28" s="4" t="s">
        <v>667</v>
      </c>
      <c r="I28" s="4" t="s">
        <v>669</v>
      </c>
      <c r="K28" s="4" t="s">
        <v>671</v>
      </c>
      <c r="L28" s="4" t="s">
        <v>672</v>
      </c>
      <c r="N28" s="4" t="s">
        <v>674</v>
      </c>
      <c r="O28" s="4" t="s">
        <v>675</v>
      </c>
    </row>
    <row r="29" spans="1:15" ht="15.75" customHeight="1">
      <c r="A29" s="4" t="s">
        <v>677</v>
      </c>
      <c r="B29" s="4" t="e">
        <v>#N/A</v>
      </c>
      <c r="E29" s="4" t="s">
        <v>680</v>
      </c>
      <c r="F29" s="4" t="s">
        <v>682</v>
      </c>
      <c r="H29" s="4" t="e">
        <v>#N/A</v>
      </c>
      <c r="K29" s="4" t="s">
        <v>685</v>
      </c>
      <c r="L29" s="4" t="s">
        <v>687</v>
      </c>
      <c r="N29" s="4" t="s">
        <v>689</v>
      </c>
      <c r="O29" s="4" t="s">
        <v>690</v>
      </c>
    </row>
    <row r="30" spans="1:15" ht="15.75" customHeight="1">
      <c r="A30" s="4" t="s">
        <v>692</v>
      </c>
      <c r="B30" s="4" t="e">
        <v>#N/A</v>
      </c>
      <c r="E30" s="4" t="e">
        <v>#N/A</v>
      </c>
      <c r="H30" s="4" t="s">
        <v>699</v>
      </c>
      <c r="I30" s="4" t="s">
        <v>700</v>
      </c>
      <c r="K30" s="4" t="s">
        <v>701</v>
      </c>
      <c r="L30" s="4" t="s">
        <v>704</v>
      </c>
      <c r="N30" s="4" t="s">
        <v>705</v>
      </c>
      <c r="O30" s="4" t="s">
        <v>708</v>
      </c>
    </row>
    <row r="31" spans="1:15" ht="15.75" customHeight="1">
      <c r="A31" s="4" t="s">
        <v>710</v>
      </c>
      <c r="B31" s="4" t="s">
        <v>712</v>
      </c>
      <c r="C31" s="4" t="s">
        <v>714</v>
      </c>
      <c r="E31" s="4" t="s">
        <v>716</v>
      </c>
      <c r="F31" s="4" t="s">
        <v>718</v>
      </c>
      <c r="H31" s="4" t="e">
        <v>#N/A</v>
      </c>
      <c r="K31" s="4" t="e">
        <v>#N/A</v>
      </c>
      <c r="N31" s="4" t="e">
        <v>#N/A</v>
      </c>
    </row>
    <row r="32" spans="1:15" ht="15.75" customHeight="1">
      <c r="A32" s="4" t="s">
        <v>724</v>
      </c>
      <c r="B32" s="4" t="s">
        <v>726</v>
      </c>
      <c r="C32" s="4" t="s">
        <v>728</v>
      </c>
      <c r="E32" s="4" t="s">
        <v>729</v>
      </c>
      <c r="F32" s="4" t="s">
        <v>731</v>
      </c>
      <c r="H32" s="4" t="s">
        <v>733</v>
      </c>
      <c r="I32" s="4" t="s">
        <v>736</v>
      </c>
      <c r="K32" s="4" t="s">
        <v>737</v>
      </c>
      <c r="L32" s="4" t="s">
        <v>740</v>
      </c>
      <c r="N32" s="4" t="s">
        <v>746</v>
      </c>
      <c r="O32" s="4" t="s">
        <v>749</v>
      </c>
    </row>
    <row r="33" spans="1:15" ht="15.75" customHeight="1">
      <c r="A33" s="4" t="s">
        <v>752</v>
      </c>
      <c r="B33" s="4" t="s">
        <v>753</v>
      </c>
      <c r="C33" s="4" t="s">
        <v>755</v>
      </c>
      <c r="E33" s="4" t="s">
        <v>756</v>
      </c>
      <c r="F33" s="4" t="s">
        <v>758</v>
      </c>
      <c r="H33" s="4" t="s">
        <v>760</v>
      </c>
      <c r="I33" s="4" t="s">
        <v>763</v>
      </c>
      <c r="K33" s="4" t="s">
        <v>765</v>
      </c>
      <c r="L33" s="4" t="s">
        <v>766</v>
      </c>
      <c r="N33" s="4" t="s">
        <v>768</v>
      </c>
      <c r="O33" s="4" t="s">
        <v>770</v>
      </c>
    </row>
    <row r="34" spans="1:15" ht="15.75" customHeight="1">
      <c r="A34" s="4" t="s">
        <v>773</v>
      </c>
      <c r="B34" s="4" t="s">
        <v>774</v>
      </c>
      <c r="C34" s="4" t="s">
        <v>135</v>
      </c>
      <c r="D34" s="4" t="s">
        <v>776</v>
      </c>
      <c r="E34" s="4" t="e">
        <v>#N/A</v>
      </c>
      <c r="H34" s="4" t="s">
        <v>781</v>
      </c>
      <c r="I34" s="4" t="s">
        <v>783</v>
      </c>
      <c r="K34" s="4" t="e">
        <v>#N/A</v>
      </c>
      <c r="N34" s="4" t="e">
        <v>#N/A</v>
      </c>
    </row>
    <row r="35" spans="1:15" ht="15.75" customHeight="1">
      <c r="A35" s="4" t="s">
        <v>787</v>
      </c>
      <c r="B35" s="4" t="s">
        <v>788</v>
      </c>
      <c r="C35" s="4" t="s">
        <v>790</v>
      </c>
      <c r="E35" s="4" t="e">
        <v>#N/A</v>
      </c>
      <c r="H35" s="4" t="s">
        <v>792</v>
      </c>
      <c r="I35" s="4" t="s">
        <v>794</v>
      </c>
      <c r="K35" s="4" t="s">
        <v>795</v>
      </c>
      <c r="L35" s="4" t="s">
        <v>798</v>
      </c>
      <c r="N35" s="4" t="e">
        <v>#N/A</v>
      </c>
    </row>
    <row r="36" spans="1:15" ht="15.75" customHeight="1">
      <c r="A36" s="4" t="s">
        <v>801</v>
      </c>
      <c r="B36" s="4" t="s">
        <v>802</v>
      </c>
      <c r="C36" s="4" t="s">
        <v>804</v>
      </c>
      <c r="E36" s="4" t="e">
        <v>#N/A</v>
      </c>
      <c r="H36" s="4" t="s">
        <v>807</v>
      </c>
      <c r="I36" s="4" t="s">
        <v>809</v>
      </c>
      <c r="K36" s="4" t="s">
        <v>811</v>
      </c>
      <c r="L36" s="4" t="s">
        <v>812</v>
      </c>
      <c r="N36" s="4" t="s">
        <v>814</v>
      </c>
      <c r="O36" s="4" t="s">
        <v>816</v>
      </c>
    </row>
    <row r="37" spans="1:15" ht="15.75" customHeight="1">
      <c r="A37" s="4" t="s">
        <v>819</v>
      </c>
      <c r="B37" s="4" t="s">
        <v>821</v>
      </c>
      <c r="C37" s="4" t="s">
        <v>823</v>
      </c>
      <c r="E37" s="4" t="e">
        <v>#N/A</v>
      </c>
      <c r="H37" s="4" t="s">
        <v>826</v>
      </c>
      <c r="I37" s="4" t="s">
        <v>828</v>
      </c>
      <c r="K37" s="4" t="s">
        <v>829</v>
      </c>
      <c r="L37" s="4" t="s">
        <v>830</v>
      </c>
      <c r="N37" s="4" t="s">
        <v>832</v>
      </c>
      <c r="O37" s="4" t="s">
        <v>834</v>
      </c>
    </row>
    <row r="38" spans="1:15" ht="15.75" customHeight="1">
      <c r="A38" s="4" t="s">
        <v>835</v>
      </c>
      <c r="B38" s="4" t="e">
        <v>#N/A</v>
      </c>
      <c r="E38" s="4" t="s">
        <v>838</v>
      </c>
      <c r="F38" s="4" t="s">
        <v>840</v>
      </c>
      <c r="H38" s="4" t="s">
        <v>841</v>
      </c>
      <c r="I38" s="4" t="s">
        <v>843</v>
      </c>
      <c r="K38" s="4" t="s">
        <v>844</v>
      </c>
      <c r="L38" s="4" t="s">
        <v>846</v>
      </c>
      <c r="N38" s="4" t="s">
        <v>848</v>
      </c>
      <c r="O38" s="4" t="s">
        <v>850</v>
      </c>
    </row>
    <row r="39" spans="1:15" ht="15.75" customHeight="1">
      <c r="A39" s="4" t="s">
        <v>851</v>
      </c>
      <c r="B39" s="4" t="s">
        <v>853</v>
      </c>
      <c r="C39" s="4" t="s">
        <v>855</v>
      </c>
      <c r="E39" s="4" t="s">
        <v>856</v>
      </c>
      <c r="F39" s="4" t="s">
        <v>859</v>
      </c>
      <c r="H39" s="4" t="s">
        <v>860</v>
      </c>
      <c r="I39" s="4" t="s">
        <v>861</v>
      </c>
      <c r="K39" s="4" t="s">
        <v>862</v>
      </c>
      <c r="L39" s="4" t="s">
        <v>863</v>
      </c>
      <c r="N39" s="4" t="e">
        <v>#N/A</v>
      </c>
    </row>
    <row r="40" spans="1:15" ht="15.75" customHeight="1">
      <c r="A40" s="4" t="s">
        <v>866</v>
      </c>
      <c r="B40" s="4" t="e">
        <v>#N/A</v>
      </c>
      <c r="E40" s="4" t="e">
        <v>#N/A</v>
      </c>
      <c r="H40" s="4" t="s">
        <v>871</v>
      </c>
      <c r="I40" s="4" t="s">
        <v>872</v>
      </c>
      <c r="K40" s="4" t="s">
        <v>874</v>
      </c>
      <c r="L40" s="4" t="s">
        <v>875</v>
      </c>
      <c r="N40" s="4" t="s">
        <v>877</v>
      </c>
      <c r="O40" s="4" t="s">
        <v>880</v>
      </c>
    </row>
    <row r="41" spans="1:15" ht="15.75" customHeight="1">
      <c r="A41" s="4" t="s">
        <v>882</v>
      </c>
      <c r="B41" s="4" t="s">
        <v>884</v>
      </c>
      <c r="C41" s="4" t="s">
        <v>885</v>
      </c>
      <c r="E41" s="4" t="s">
        <v>887</v>
      </c>
      <c r="F41" s="4" t="s">
        <v>889</v>
      </c>
      <c r="H41" s="4" t="s">
        <v>891</v>
      </c>
      <c r="I41" s="4" t="s">
        <v>892</v>
      </c>
      <c r="K41" s="4" t="s">
        <v>895</v>
      </c>
      <c r="L41" s="4" t="s">
        <v>896</v>
      </c>
      <c r="N41" s="4" t="s">
        <v>898</v>
      </c>
      <c r="O41" s="4" t="s">
        <v>900</v>
      </c>
    </row>
    <row r="42" spans="1:15" ht="15.75" customHeight="1">
      <c r="A42" s="4" t="s">
        <v>902</v>
      </c>
      <c r="B42" s="4" t="s">
        <v>903</v>
      </c>
      <c r="C42" s="4" t="s">
        <v>904</v>
      </c>
      <c r="E42" s="4" t="s">
        <v>905</v>
      </c>
      <c r="F42" s="4" t="s">
        <v>906</v>
      </c>
      <c r="H42" s="4" t="e">
        <v>#N/A</v>
      </c>
      <c r="K42" s="4" t="s">
        <v>908</v>
      </c>
      <c r="L42" s="4" t="s">
        <v>911</v>
      </c>
      <c r="N42" s="4" t="s">
        <v>913</v>
      </c>
      <c r="O42" s="4" t="s">
        <v>915</v>
      </c>
    </row>
    <row r="43" spans="1:15" ht="15.75" customHeight="1">
      <c r="A43" s="4" t="s">
        <v>917</v>
      </c>
      <c r="B43" s="4" t="s">
        <v>919</v>
      </c>
      <c r="C43" s="4" t="s">
        <v>921</v>
      </c>
      <c r="E43" s="4" t="s">
        <v>923</v>
      </c>
      <c r="F43" s="4" t="s">
        <v>925</v>
      </c>
      <c r="H43" s="4" t="s">
        <v>927</v>
      </c>
      <c r="I43" s="4" t="s">
        <v>928</v>
      </c>
      <c r="K43" s="4" t="s">
        <v>930</v>
      </c>
      <c r="L43" s="4" t="s">
        <v>931</v>
      </c>
      <c r="N43" s="4" t="e">
        <v>#N/A</v>
      </c>
    </row>
    <row r="44" spans="1:15" ht="15.75" customHeight="1">
      <c r="A44" s="4" t="s">
        <v>933</v>
      </c>
      <c r="B44" s="4" t="s">
        <v>935</v>
      </c>
      <c r="C44" s="4" t="s">
        <v>938</v>
      </c>
      <c r="E44" s="4" t="s">
        <v>939</v>
      </c>
      <c r="F44" s="4" t="s">
        <v>941</v>
      </c>
      <c r="H44" s="4" t="s">
        <v>944</v>
      </c>
      <c r="I44" s="4" t="s">
        <v>945</v>
      </c>
      <c r="K44" s="4" t="e">
        <v>#N/A</v>
      </c>
      <c r="N44" s="4" t="e">
        <v>#N/A</v>
      </c>
    </row>
    <row r="45" spans="1:15" ht="15.75" customHeight="1">
      <c r="A45" s="4" t="s">
        <v>950</v>
      </c>
      <c r="B45" s="4" t="s">
        <v>951</v>
      </c>
      <c r="C45" s="4" t="s">
        <v>953</v>
      </c>
      <c r="E45" s="4" t="s">
        <v>954</v>
      </c>
      <c r="F45" s="4" t="s">
        <v>957</v>
      </c>
      <c r="H45" s="4" t="s">
        <v>958</v>
      </c>
      <c r="I45" s="4" t="s">
        <v>960</v>
      </c>
      <c r="K45" s="4" t="e">
        <v>#N/A</v>
      </c>
      <c r="N45" s="4" t="e">
        <v>#N/A</v>
      </c>
    </row>
    <row r="46" spans="1:15" ht="15.75" customHeight="1">
      <c r="A46" s="4" t="s">
        <v>964</v>
      </c>
      <c r="B46" s="4" t="e">
        <v>#N/A</v>
      </c>
      <c r="E46" s="4" t="s">
        <v>967</v>
      </c>
      <c r="F46" s="4" t="s">
        <v>969</v>
      </c>
      <c r="H46" s="4" t="s">
        <v>970</v>
      </c>
      <c r="I46" s="4" t="s">
        <v>972</v>
      </c>
      <c r="K46" s="4" t="e">
        <v>#N/A</v>
      </c>
      <c r="N46" s="4" t="s">
        <v>974</v>
      </c>
      <c r="O46" s="4" t="s">
        <v>976</v>
      </c>
    </row>
    <row r="47" spans="1:15" ht="15.75" customHeight="1">
      <c r="A47" s="4" t="s">
        <v>978</v>
      </c>
      <c r="B47" s="4" t="s">
        <v>979</v>
      </c>
      <c r="C47" s="4" t="s">
        <v>981</v>
      </c>
      <c r="E47" s="4" t="s">
        <v>982</v>
      </c>
      <c r="F47" s="4" t="s">
        <v>984</v>
      </c>
      <c r="H47" s="4" t="e">
        <v>#N/A</v>
      </c>
      <c r="K47" s="4" t="s">
        <v>986</v>
      </c>
      <c r="L47" s="4" t="s">
        <v>987</v>
      </c>
      <c r="N47" s="4" t="s">
        <v>989</v>
      </c>
      <c r="O47" s="4" t="s">
        <v>991</v>
      </c>
    </row>
    <row r="48" spans="1:15" ht="15.75" customHeight="1">
      <c r="A48" s="4" t="s">
        <v>994</v>
      </c>
      <c r="B48" s="4" t="s">
        <v>995</v>
      </c>
      <c r="C48" s="4" t="s">
        <v>997</v>
      </c>
      <c r="E48" s="4" t="s">
        <v>999</v>
      </c>
      <c r="F48" s="4" t="s">
        <v>1001</v>
      </c>
      <c r="H48" s="4" t="s">
        <v>1003</v>
      </c>
      <c r="I48" s="4" t="s">
        <v>1005</v>
      </c>
      <c r="K48" s="4" t="s">
        <v>1006</v>
      </c>
      <c r="L48" s="4" t="s">
        <v>1008</v>
      </c>
      <c r="N48" s="4" t="e">
        <v>#N/A</v>
      </c>
    </row>
    <row r="49" spans="1:15" ht="15.75" customHeight="1">
      <c r="A49" s="4" t="s">
        <v>1011</v>
      </c>
      <c r="B49" s="4" t="s">
        <v>1012</v>
      </c>
      <c r="C49" s="4" t="s">
        <v>1014</v>
      </c>
      <c r="E49" s="4" t="s">
        <v>1015</v>
      </c>
      <c r="F49" s="4" t="s">
        <v>1017</v>
      </c>
      <c r="H49" s="4" t="s">
        <v>1020</v>
      </c>
      <c r="I49" s="4" t="s">
        <v>1022</v>
      </c>
      <c r="K49" s="4" t="e">
        <v>#N/A</v>
      </c>
      <c r="N49" s="4" t="s">
        <v>1024</v>
      </c>
      <c r="O49" s="4" t="s">
        <v>1025</v>
      </c>
    </row>
    <row r="50" spans="1:15" ht="15.75" customHeight="1">
      <c r="A50" s="4" t="s">
        <v>1027</v>
      </c>
      <c r="B50" s="4" t="s">
        <v>1028</v>
      </c>
      <c r="C50" s="4" t="s">
        <v>1030</v>
      </c>
      <c r="E50" s="4" t="e">
        <v>#N/A</v>
      </c>
      <c r="H50" s="4" t="s">
        <v>1035</v>
      </c>
      <c r="I50" s="4" t="s">
        <v>1037</v>
      </c>
      <c r="K50" s="4" t="s">
        <v>1039</v>
      </c>
      <c r="L50" s="4" t="s">
        <v>1041</v>
      </c>
      <c r="N50" s="4" t="s">
        <v>1043</v>
      </c>
      <c r="O50" s="4" t="s">
        <v>1045</v>
      </c>
    </row>
    <row r="51" spans="1:15" ht="15.75" customHeight="1">
      <c r="A51" s="4" t="s">
        <v>1048</v>
      </c>
      <c r="B51" s="4" t="s">
        <v>1050</v>
      </c>
      <c r="C51" s="4" t="s">
        <v>1051</v>
      </c>
      <c r="E51" s="4" t="s">
        <v>1053</v>
      </c>
      <c r="F51" s="4" t="s">
        <v>1056</v>
      </c>
      <c r="H51" s="4" t="s">
        <v>1057</v>
      </c>
      <c r="I51" s="4" t="s">
        <v>1060</v>
      </c>
      <c r="K51" s="4" t="s">
        <v>1062</v>
      </c>
      <c r="L51" s="4" t="s">
        <v>1063</v>
      </c>
      <c r="N51" s="4" t="s">
        <v>1065</v>
      </c>
      <c r="O51" s="4" t="s">
        <v>1067</v>
      </c>
    </row>
    <row r="52" spans="1:15" ht="13">
      <c r="A52" s="4" t="s">
        <v>1069</v>
      </c>
      <c r="B52" s="4" t="s">
        <v>1071</v>
      </c>
      <c r="C52" s="4" t="s">
        <v>1073</v>
      </c>
      <c r="E52" s="4" t="e">
        <v>#N/A</v>
      </c>
      <c r="H52" s="4" t="s">
        <v>1076</v>
      </c>
      <c r="I52" s="4" t="s">
        <v>1078</v>
      </c>
      <c r="K52" s="4" t="s">
        <v>1079</v>
      </c>
      <c r="L52" s="4" t="s">
        <v>1081</v>
      </c>
      <c r="N52" s="4" t="s">
        <v>1082</v>
      </c>
      <c r="O52" s="4" t="s">
        <v>1084</v>
      </c>
    </row>
    <row r="53" spans="1:15" ht="13">
      <c r="A53" s="4" t="s">
        <v>1086</v>
      </c>
      <c r="B53" s="4" t="s">
        <v>1088</v>
      </c>
      <c r="C53" s="4" t="s">
        <v>1090</v>
      </c>
      <c r="E53" s="4" t="e">
        <v>#N/A</v>
      </c>
      <c r="H53" s="4" t="s">
        <v>1091</v>
      </c>
      <c r="I53" s="4" t="s">
        <v>1092</v>
      </c>
      <c r="K53" s="4" t="e">
        <v>#N/A</v>
      </c>
      <c r="N53" s="4" t="e">
        <v>#N/A</v>
      </c>
    </row>
    <row r="54" spans="1:15" ht="13">
      <c r="A54" s="4" t="s">
        <v>1096</v>
      </c>
      <c r="B54" s="4" t="e">
        <v>#N/A</v>
      </c>
      <c r="E54" s="4" t="e">
        <v>#N/A</v>
      </c>
      <c r="H54" s="4" t="s">
        <v>1099</v>
      </c>
      <c r="I54" s="4" t="s">
        <v>1100</v>
      </c>
      <c r="K54" s="4" t="e">
        <v>#N/A</v>
      </c>
      <c r="N54" s="4" t="e">
        <v>#N/A</v>
      </c>
    </row>
    <row r="55" spans="1:15" ht="13">
      <c r="A55" s="4" t="s">
        <v>1103</v>
      </c>
      <c r="B55" s="4" t="s">
        <v>1105</v>
      </c>
      <c r="C55" s="5" t="s">
        <v>4682</v>
      </c>
      <c r="E55" s="4" t="s">
        <v>1108</v>
      </c>
      <c r="F55" s="4" t="s">
        <v>1110</v>
      </c>
      <c r="H55" s="4" t="s">
        <v>1111</v>
      </c>
      <c r="I55" s="4" t="s">
        <v>1113</v>
      </c>
      <c r="K55" s="4" t="e">
        <v>#N/A</v>
      </c>
      <c r="N55" s="4" t="s">
        <v>1115</v>
      </c>
      <c r="O55" s="4" t="s">
        <v>1117</v>
      </c>
    </row>
    <row r="56" spans="1:15" ht="13">
      <c r="A56" s="4" t="s">
        <v>1120</v>
      </c>
      <c r="B56" s="4" t="s">
        <v>1123</v>
      </c>
      <c r="C56" s="5" t="s">
        <v>4695</v>
      </c>
      <c r="E56" s="4" t="s">
        <v>1127</v>
      </c>
      <c r="F56" s="4" t="s">
        <v>1130</v>
      </c>
      <c r="H56" s="4" t="s">
        <v>1131</v>
      </c>
      <c r="I56" s="4" t="s">
        <v>1133</v>
      </c>
      <c r="K56" s="4" t="s">
        <v>1135</v>
      </c>
      <c r="L56" s="4" t="s">
        <v>1137</v>
      </c>
      <c r="N56" s="4" t="s">
        <v>1139</v>
      </c>
      <c r="O56" s="4" t="s">
        <v>1140</v>
      </c>
    </row>
    <row r="57" spans="1:15" ht="13">
      <c r="A57" s="4" t="s">
        <v>1142</v>
      </c>
      <c r="B57" s="4" t="e">
        <v>#N/A</v>
      </c>
      <c r="E57" s="4" t="s">
        <v>1145</v>
      </c>
      <c r="F57" s="4" t="s">
        <v>1147</v>
      </c>
      <c r="H57" s="4" t="s">
        <v>1149</v>
      </c>
      <c r="I57" s="4" t="s">
        <v>1151</v>
      </c>
      <c r="K57" s="4" t="e">
        <v>#N/A</v>
      </c>
      <c r="N57" s="4" t="s">
        <v>1154</v>
      </c>
      <c r="O57" s="4" t="s">
        <v>1155</v>
      </c>
    </row>
    <row r="58" spans="1:15" ht="13">
      <c r="A58" s="4" t="s">
        <v>1158</v>
      </c>
      <c r="B58" s="4" t="s">
        <v>1159</v>
      </c>
      <c r="C58" s="4" t="s">
        <v>1163</v>
      </c>
      <c r="E58" s="4" t="e">
        <v>#N/A</v>
      </c>
      <c r="H58" s="4" t="s">
        <v>1165</v>
      </c>
      <c r="I58" s="4" t="s">
        <v>1166</v>
      </c>
      <c r="K58" s="4" t="s">
        <v>1168</v>
      </c>
      <c r="L58" s="4" t="s">
        <v>1169</v>
      </c>
      <c r="N58" s="4" t="s">
        <v>1170</v>
      </c>
      <c r="O58" s="4" t="s">
        <v>135</v>
      </c>
    </row>
    <row r="59" spans="1:15" ht="13">
      <c r="A59" s="4" t="s">
        <v>1173</v>
      </c>
      <c r="B59" s="4" t="e">
        <v>#N/A</v>
      </c>
      <c r="E59" s="4" t="s">
        <v>1175</v>
      </c>
      <c r="F59" s="4" t="s">
        <v>1177</v>
      </c>
      <c r="H59" s="4" t="e">
        <v>#N/A</v>
      </c>
      <c r="K59" s="4" t="e">
        <v>#N/A</v>
      </c>
      <c r="N59" s="4" t="s">
        <v>1178</v>
      </c>
      <c r="O59" s="4" t="s">
        <v>1179</v>
      </c>
    </row>
    <row r="60" spans="1:15" ht="13">
      <c r="A60" s="4" t="s">
        <v>1181</v>
      </c>
      <c r="B60" s="4" t="s">
        <v>1183</v>
      </c>
      <c r="C60" s="4" t="s">
        <v>1185</v>
      </c>
      <c r="E60" s="4" t="e">
        <v>#N/A</v>
      </c>
      <c r="H60" s="4" t="e">
        <v>#N/A</v>
      </c>
      <c r="K60" s="4" t="s">
        <v>1188</v>
      </c>
      <c r="L60" s="4" t="s">
        <v>1190</v>
      </c>
      <c r="N60" s="4" t="s">
        <v>1191</v>
      </c>
      <c r="O60" s="4" t="s">
        <v>1192</v>
      </c>
    </row>
    <row r="61" spans="1:15" ht="13">
      <c r="A61" s="4" t="s">
        <v>1193</v>
      </c>
      <c r="B61" s="4" t="s">
        <v>1194</v>
      </c>
      <c r="C61" s="4" t="s">
        <v>1196</v>
      </c>
      <c r="E61" s="4" t="s">
        <v>1198</v>
      </c>
      <c r="F61" s="4" t="s">
        <v>1200</v>
      </c>
      <c r="H61" s="4" t="s">
        <v>1201</v>
      </c>
      <c r="I61" s="4" t="s">
        <v>1203</v>
      </c>
      <c r="K61" s="4" t="s">
        <v>1205</v>
      </c>
      <c r="L61" s="4" t="s">
        <v>1206</v>
      </c>
      <c r="N61" s="4" t="s">
        <v>1208</v>
      </c>
      <c r="O61" s="4" t="s">
        <v>1209</v>
      </c>
    </row>
    <row r="62" spans="1:15" ht="13">
      <c r="A62" s="4" t="s">
        <v>1213</v>
      </c>
      <c r="B62" s="4" t="e">
        <v>#N/A</v>
      </c>
      <c r="E62" s="4" t="s">
        <v>1215</v>
      </c>
      <c r="F62" s="4" t="s">
        <v>1217</v>
      </c>
      <c r="H62" s="4" t="s">
        <v>1219</v>
      </c>
      <c r="I62" s="4" t="s">
        <v>1221</v>
      </c>
      <c r="K62" s="4" t="e">
        <v>#N/A</v>
      </c>
      <c r="N62" s="4" t="e">
        <v>#N/A</v>
      </c>
    </row>
    <row r="63" spans="1:15" ht="13">
      <c r="A63" s="4" t="s">
        <v>1224</v>
      </c>
      <c r="B63" s="4" t="e">
        <v>#N/A</v>
      </c>
      <c r="E63" s="4" t="s">
        <v>1227</v>
      </c>
      <c r="F63" s="4" t="s">
        <v>1228</v>
      </c>
      <c r="H63" s="4" t="s">
        <v>1229</v>
      </c>
      <c r="I63" s="4" t="s">
        <v>1231</v>
      </c>
      <c r="K63" s="4" t="s">
        <v>1233</v>
      </c>
      <c r="L63" s="4" t="s">
        <v>1236</v>
      </c>
      <c r="N63" s="4" t="s">
        <v>1237</v>
      </c>
      <c r="O63" s="4" t="s">
        <v>1239</v>
      </c>
    </row>
    <row r="64" spans="1:15" ht="13">
      <c r="A64" s="4" t="s">
        <v>1242</v>
      </c>
      <c r="B64" s="4" t="s">
        <v>1243</v>
      </c>
      <c r="C64" s="4" t="s">
        <v>1245</v>
      </c>
      <c r="E64" s="4" t="e">
        <v>#N/A</v>
      </c>
      <c r="H64" s="4" t="s">
        <v>1248</v>
      </c>
      <c r="I64" s="4" t="s">
        <v>1250</v>
      </c>
      <c r="K64" s="4" t="s">
        <v>1252</v>
      </c>
      <c r="L64" s="4" t="s">
        <v>1254</v>
      </c>
      <c r="N64" s="4" t="s">
        <v>1256</v>
      </c>
      <c r="O64" s="4" t="s">
        <v>1257</v>
      </c>
    </row>
    <row r="65" spans="1:15" ht="13">
      <c r="A65" s="4" t="s">
        <v>1260</v>
      </c>
      <c r="B65" s="4" t="s">
        <v>1261</v>
      </c>
      <c r="C65" s="4" t="s">
        <v>1263</v>
      </c>
      <c r="E65" s="4" t="s">
        <v>1264</v>
      </c>
      <c r="F65" s="4" t="s">
        <v>1266</v>
      </c>
      <c r="H65" s="4" t="s">
        <v>1268</v>
      </c>
      <c r="I65" s="4" t="s">
        <v>1270</v>
      </c>
      <c r="K65" s="4" t="s">
        <v>1272</v>
      </c>
      <c r="L65" s="4" t="s">
        <v>1274</v>
      </c>
      <c r="N65" s="4"/>
    </row>
    <row r="66" spans="1:15" ht="13">
      <c r="A66" s="4" t="s">
        <v>1277</v>
      </c>
      <c r="B66" s="4" t="s">
        <v>1279</v>
      </c>
      <c r="C66" s="4" t="s">
        <v>1280</v>
      </c>
      <c r="E66" s="4" t="s">
        <v>1282</v>
      </c>
      <c r="F66" s="4" t="s">
        <v>1284</v>
      </c>
      <c r="H66" s="4" t="e">
        <v>#N/A</v>
      </c>
      <c r="K66" s="4" t="e">
        <v>#N/A</v>
      </c>
      <c r="N66" s="4" t="s">
        <v>1286</v>
      </c>
      <c r="O66" s="4" t="s">
        <v>1288</v>
      </c>
    </row>
    <row r="67" spans="1:15" ht="13">
      <c r="A67" s="4" t="s">
        <v>1289</v>
      </c>
      <c r="B67" s="4" t="s">
        <v>1290</v>
      </c>
      <c r="C67" s="4" t="s">
        <v>1292</v>
      </c>
      <c r="E67" s="4" t="s">
        <v>1293</v>
      </c>
      <c r="F67" s="4" t="s">
        <v>1295</v>
      </c>
      <c r="H67" s="4" t="s">
        <v>1296</v>
      </c>
      <c r="I67" s="4" t="s">
        <v>1298</v>
      </c>
      <c r="K67" s="4" t="s">
        <v>1300</v>
      </c>
      <c r="L67" s="4" t="s">
        <v>1302</v>
      </c>
      <c r="N67" s="4" t="s">
        <v>1303</v>
      </c>
      <c r="O67" s="4" t="s">
        <v>1306</v>
      </c>
    </row>
    <row r="68" spans="1:15" ht="13">
      <c r="A68" s="4" t="s">
        <v>1308</v>
      </c>
      <c r="B68" s="4" t="s">
        <v>1309</v>
      </c>
      <c r="C68" s="4" t="s">
        <v>1311</v>
      </c>
      <c r="E68" s="4" t="s">
        <v>1313</v>
      </c>
      <c r="F68" s="4" t="s">
        <v>1314</v>
      </c>
      <c r="H68" s="4" t="s">
        <v>1316</v>
      </c>
      <c r="I68" s="4" t="s">
        <v>1318</v>
      </c>
      <c r="K68" s="4" t="e">
        <v>#N/A</v>
      </c>
      <c r="N68" s="4" t="s">
        <v>1320</v>
      </c>
      <c r="O68" s="4" t="s">
        <v>1322</v>
      </c>
    </row>
    <row r="69" spans="1:15" ht="13">
      <c r="A69" s="4" t="s">
        <v>1323</v>
      </c>
      <c r="B69" s="4" t="s">
        <v>1325</v>
      </c>
      <c r="C69" s="4" t="s">
        <v>1327</v>
      </c>
      <c r="E69" s="4" t="e">
        <v>#N/A</v>
      </c>
      <c r="H69" s="4" t="s">
        <v>1330</v>
      </c>
      <c r="I69" s="4" t="s">
        <v>1331</v>
      </c>
      <c r="K69" s="4" t="s">
        <v>1333</v>
      </c>
      <c r="L69" s="4" t="s">
        <v>1335</v>
      </c>
      <c r="N69" s="4" t="s">
        <v>1336</v>
      </c>
      <c r="O69" s="4" t="s">
        <v>1338</v>
      </c>
    </row>
    <row r="70" spans="1:15" ht="13">
      <c r="A70" s="4" t="s">
        <v>1340</v>
      </c>
      <c r="B70" s="4" t="s">
        <v>1342</v>
      </c>
      <c r="C70" s="4" t="s">
        <v>1344</v>
      </c>
      <c r="E70" s="4" t="s">
        <v>1346</v>
      </c>
      <c r="F70" s="4" t="s">
        <v>1347</v>
      </c>
      <c r="H70" s="4" t="s">
        <v>1349</v>
      </c>
      <c r="I70" s="4" t="s">
        <v>1351</v>
      </c>
      <c r="K70" s="4" t="s">
        <v>1353</v>
      </c>
      <c r="L70" s="4" t="s">
        <v>1355</v>
      </c>
      <c r="N70" s="4"/>
    </row>
    <row r="71" spans="1:15" ht="13">
      <c r="A71" s="4" t="s">
        <v>1358</v>
      </c>
      <c r="B71" s="4" t="s">
        <v>1360</v>
      </c>
      <c r="C71" s="4" t="s">
        <v>1361</v>
      </c>
      <c r="E71" s="4" t="s">
        <v>1362</v>
      </c>
      <c r="F71" s="4" t="s">
        <v>1363</v>
      </c>
      <c r="H71" s="4" t="s">
        <v>1365</v>
      </c>
      <c r="I71" s="4" t="s">
        <v>1366</v>
      </c>
      <c r="K71" s="4" t="s">
        <v>1368</v>
      </c>
      <c r="L71" s="4" t="s">
        <v>1370</v>
      </c>
      <c r="N71" s="4" t="e">
        <v>#N/A</v>
      </c>
    </row>
    <row r="72" spans="1:15" ht="13">
      <c r="A72" s="4" t="s">
        <v>1373</v>
      </c>
      <c r="B72" s="4" t="s">
        <v>1375</v>
      </c>
      <c r="C72" s="4" t="s">
        <v>1377</v>
      </c>
      <c r="E72" s="4" t="s">
        <v>1378</v>
      </c>
      <c r="F72" s="4" t="s">
        <v>1381</v>
      </c>
      <c r="H72" s="4" t="s">
        <v>1382</v>
      </c>
      <c r="I72" s="4" t="s">
        <v>1384</v>
      </c>
      <c r="K72" s="4" t="e">
        <v>#N/A</v>
      </c>
      <c r="N72" s="4" t="s">
        <v>1387</v>
      </c>
      <c r="O72" s="4" t="s">
        <v>1389</v>
      </c>
    </row>
    <row r="73" spans="1:15" ht="13">
      <c r="A73" s="4" t="s">
        <v>1391</v>
      </c>
      <c r="B73" s="4" t="s">
        <v>1393</v>
      </c>
      <c r="C73" s="4" t="s">
        <v>1395</v>
      </c>
      <c r="E73" s="4" t="e">
        <v>#N/A</v>
      </c>
      <c r="H73" s="4" t="s">
        <v>1398</v>
      </c>
      <c r="I73" s="4" t="s">
        <v>1400</v>
      </c>
      <c r="K73" s="4" t="s">
        <v>1401</v>
      </c>
      <c r="L73" s="4" t="s">
        <v>1403</v>
      </c>
      <c r="N73" s="4" t="s">
        <v>1404</v>
      </c>
      <c r="O73" s="4" t="s">
        <v>1406</v>
      </c>
    </row>
    <row r="74" spans="1:15" ht="13">
      <c r="A74" s="4" t="s">
        <v>1408</v>
      </c>
      <c r="B74" s="4" t="s">
        <v>1409</v>
      </c>
      <c r="C74" s="4" t="s">
        <v>1411</v>
      </c>
      <c r="E74" s="4" t="s">
        <v>1413</v>
      </c>
      <c r="F74" s="4" t="s">
        <v>1414</v>
      </c>
      <c r="H74" s="4" t="s">
        <v>1416</v>
      </c>
      <c r="I74" s="4" t="s">
        <v>1418</v>
      </c>
      <c r="K74" s="4" t="e">
        <v>#N/A</v>
      </c>
      <c r="N74" s="4" t="e">
        <v>#N/A</v>
      </c>
    </row>
    <row r="75" spans="1:15" ht="13">
      <c r="A75" s="4" t="s">
        <v>1421</v>
      </c>
      <c r="B75" s="4" t="e">
        <v>#N/A</v>
      </c>
      <c r="E75" s="4" t="s">
        <v>1422</v>
      </c>
      <c r="F75" s="4" t="s">
        <v>1424</v>
      </c>
      <c r="H75" s="4" t="e">
        <v>#N/A</v>
      </c>
      <c r="K75" s="4" t="s">
        <v>1427</v>
      </c>
      <c r="L75" s="4" t="s">
        <v>1430</v>
      </c>
      <c r="N75" s="4" t="e">
        <v>#N/A</v>
      </c>
    </row>
    <row r="76" spans="1:15" ht="13">
      <c r="A76" s="4" t="s">
        <v>1433</v>
      </c>
      <c r="B76" s="4" t="s">
        <v>1435</v>
      </c>
      <c r="C76" s="4" t="s">
        <v>1437</v>
      </c>
      <c r="E76" s="4" t="s">
        <v>1439</v>
      </c>
      <c r="F76" s="4" t="s">
        <v>1441</v>
      </c>
      <c r="H76" s="4" t="s">
        <v>1443</v>
      </c>
      <c r="I76" s="4" t="s">
        <v>1444</v>
      </c>
      <c r="K76" s="4" t="s">
        <v>1446</v>
      </c>
      <c r="L76" s="4" t="s">
        <v>1448</v>
      </c>
      <c r="N76" s="4" t="s">
        <v>1450</v>
      </c>
      <c r="O76" s="4" t="s">
        <v>1452</v>
      </c>
    </row>
    <row r="77" spans="1:15" ht="13">
      <c r="A77" s="4" t="s">
        <v>1455</v>
      </c>
      <c r="B77" s="4" t="e">
        <v>#N/A</v>
      </c>
      <c r="E77" s="4" t="s">
        <v>1457</v>
      </c>
      <c r="F77" s="4" t="s">
        <v>1459</v>
      </c>
      <c r="H77" s="4" t="s">
        <v>1460</v>
      </c>
      <c r="I77" s="4" t="s">
        <v>1462</v>
      </c>
      <c r="K77" s="4" t="s">
        <v>1463</v>
      </c>
      <c r="L77" s="4" t="s">
        <v>1465</v>
      </c>
      <c r="N77" s="4" t="s">
        <v>1466</v>
      </c>
      <c r="O77" s="4" t="s">
        <v>1467</v>
      </c>
    </row>
    <row r="78" spans="1:15" ht="13">
      <c r="A78" s="4" t="s">
        <v>1470</v>
      </c>
      <c r="B78" s="4" t="e">
        <v>#N/A</v>
      </c>
      <c r="E78" s="4" t="s">
        <v>1472</v>
      </c>
      <c r="F78" s="4" t="s">
        <v>1474</v>
      </c>
      <c r="H78" s="4" t="s">
        <v>1476</v>
      </c>
      <c r="I78" s="4" t="s">
        <v>1477</v>
      </c>
      <c r="K78" s="4" t="s">
        <v>1478</v>
      </c>
      <c r="L78" s="4" t="s">
        <v>1480</v>
      </c>
      <c r="N78" s="4" t="s">
        <v>1482</v>
      </c>
      <c r="O78" s="4" t="s">
        <v>1484</v>
      </c>
    </row>
    <row r="79" spans="1:15" ht="13">
      <c r="A79" s="4" t="s">
        <v>1487</v>
      </c>
      <c r="B79" s="4" t="e">
        <v>#N/A</v>
      </c>
      <c r="E79" s="4" t="s">
        <v>1489</v>
      </c>
      <c r="F79" s="4" t="s">
        <v>1491</v>
      </c>
      <c r="H79" s="4" t="e">
        <v>#N/A</v>
      </c>
      <c r="K79" s="4" t="s">
        <v>1493</v>
      </c>
      <c r="L79" s="4" t="s">
        <v>1495</v>
      </c>
      <c r="N79" s="4" t="s">
        <v>1496</v>
      </c>
      <c r="O79" s="4" t="s">
        <v>1499</v>
      </c>
    </row>
    <row r="80" spans="1:15" ht="13">
      <c r="A80" s="4" t="s">
        <v>1501</v>
      </c>
      <c r="B80" s="4" t="e">
        <v>#N/A</v>
      </c>
      <c r="E80" s="4" t="s">
        <v>1504</v>
      </c>
      <c r="F80" s="4" t="s">
        <v>1506</v>
      </c>
      <c r="H80" s="4" t="e">
        <v>#N/A</v>
      </c>
      <c r="K80" s="4" t="s">
        <v>1508</v>
      </c>
      <c r="L80" s="4" t="s">
        <v>1510</v>
      </c>
      <c r="N80" s="4" t="s">
        <v>1512</v>
      </c>
      <c r="O80" s="4" t="s">
        <v>1514</v>
      </c>
    </row>
    <row r="81" spans="1:15" ht="13">
      <c r="A81" s="4" t="s">
        <v>1516</v>
      </c>
      <c r="B81" s="4" t="s">
        <v>1518</v>
      </c>
      <c r="C81" s="4" t="s">
        <v>1519</v>
      </c>
      <c r="E81" s="4" t="e">
        <v>#N/A</v>
      </c>
      <c r="H81" s="4" t="s">
        <v>1522</v>
      </c>
      <c r="I81" s="4" t="s">
        <v>1524</v>
      </c>
      <c r="K81" s="4" t="s">
        <v>1525</v>
      </c>
      <c r="L81" s="4" t="s">
        <v>1527</v>
      </c>
      <c r="N81" s="4" t="s">
        <v>1529</v>
      </c>
      <c r="O81" s="4" t="s">
        <v>1531</v>
      </c>
    </row>
    <row r="82" spans="1:15" ht="13">
      <c r="A82" s="4" t="s">
        <v>1533</v>
      </c>
      <c r="B82" s="4" t="s">
        <v>1536</v>
      </c>
      <c r="C82" s="4" t="s">
        <v>1538</v>
      </c>
      <c r="E82" s="4" t="e">
        <v>#N/A</v>
      </c>
      <c r="H82" s="4" t="s">
        <v>1540</v>
      </c>
      <c r="I82" s="4" t="s">
        <v>1542</v>
      </c>
      <c r="K82" s="4" t="s">
        <v>1544</v>
      </c>
      <c r="L82" s="4" t="s">
        <v>1545</v>
      </c>
      <c r="N82" s="4"/>
    </row>
    <row r="83" spans="1:15" ht="13">
      <c r="A83" s="4" t="s">
        <v>1548</v>
      </c>
      <c r="B83" s="4" t="s">
        <v>1549</v>
      </c>
      <c r="C83" s="4" t="s">
        <v>1551</v>
      </c>
      <c r="E83" s="4" t="s">
        <v>1553</v>
      </c>
      <c r="F83" s="4" t="s">
        <v>1554</v>
      </c>
      <c r="H83" s="4" t="e">
        <v>#N/A</v>
      </c>
      <c r="K83" s="4" t="e">
        <v>#N/A</v>
      </c>
      <c r="N83" s="4" t="s">
        <v>1557</v>
      </c>
      <c r="O83" s="4" t="s">
        <v>1559</v>
      </c>
    </row>
    <row r="84" spans="1:15" ht="13">
      <c r="A84" s="4" t="s">
        <v>1560</v>
      </c>
      <c r="B84" s="4" t="s">
        <v>1561</v>
      </c>
      <c r="C84" s="4" t="s">
        <v>1563</v>
      </c>
      <c r="E84" s="4" t="e">
        <v>#N/A</v>
      </c>
      <c r="H84" s="4" t="s">
        <v>1566</v>
      </c>
      <c r="I84" s="4" t="s">
        <v>1568</v>
      </c>
      <c r="K84" s="4" t="s">
        <v>1570</v>
      </c>
      <c r="L84" s="4" t="s">
        <v>1575</v>
      </c>
      <c r="N84" s="4" t="e">
        <v>#N/A</v>
      </c>
    </row>
    <row r="85" spans="1:15" ht="13">
      <c r="A85" s="4" t="s">
        <v>1578</v>
      </c>
      <c r="B85" s="4" t="e">
        <v>#N/A</v>
      </c>
      <c r="E85" s="4" t="s">
        <v>1580</v>
      </c>
      <c r="F85" s="4" t="s">
        <v>1583</v>
      </c>
      <c r="H85" s="4" t="e">
        <v>#N/A</v>
      </c>
      <c r="K85" s="4" t="s">
        <v>1585</v>
      </c>
      <c r="L85" s="4" t="s">
        <v>1586</v>
      </c>
      <c r="N85" s="4" t="s">
        <v>1587</v>
      </c>
      <c r="O85" s="4" t="s">
        <v>1589</v>
      </c>
    </row>
    <row r="86" spans="1:15" ht="13">
      <c r="A86" s="4" t="s">
        <v>1590</v>
      </c>
      <c r="B86" s="4" t="s">
        <v>1592</v>
      </c>
      <c r="C86" s="4" t="s">
        <v>1594</v>
      </c>
      <c r="E86" s="4" t="s">
        <v>1595</v>
      </c>
      <c r="F86" s="4" t="s">
        <v>1596</v>
      </c>
      <c r="H86" s="4" t="e">
        <v>#N/A</v>
      </c>
      <c r="K86" s="4" t="e">
        <v>#N/A</v>
      </c>
      <c r="N86" s="4" t="s">
        <v>1598</v>
      </c>
      <c r="O86" s="4" t="s">
        <v>1599</v>
      </c>
    </row>
    <row r="87" spans="1:15" ht="13">
      <c r="A87" s="4" t="s">
        <v>1601</v>
      </c>
      <c r="B87" s="4" t="s">
        <v>1603</v>
      </c>
      <c r="C87" s="4" t="s">
        <v>1605</v>
      </c>
      <c r="E87" s="4" t="s">
        <v>1606</v>
      </c>
      <c r="F87" s="4" t="s">
        <v>1608</v>
      </c>
      <c r="H87" s="4" t="s">
        <v>1609</v>
      </c>
      <c r="I87" s="4" t="s">
        <v>1610</v>
      </c>
      <c r="K87" s="4" t="s">
        <v>1612</v>
      </c>
      <c r="L87" s="4" t="s">
        <v>1614</v>
      </c>
      <c r="N87" s="4" t="s">
        <v>1615</v>
      </c>
      <c r="O87" s="4" t="s">
        <v>1617</v>
      </c>
    </row>
    <row r="88" spans="1:15" ht="13">
      <c r="A88" s="4" t="s">
        <v>1619</v>
      </c>
      <c r="B88" s="4" t="s">
        <v>1620</v>
      </c>
      <c r="C88" s="4" t="s">
        <v>1623</v>
      </c>
      <c r="E88" s="4" t="s">
        <v>1624</v>
      </c>
      <c r="F88" s="4" t="s">
        <v>1626</v>
      </c>
      <c r="H88" s="4" t="e">
        <v>#N/A</v>
      </c>
      <c r="K88" s="4" t="s">
        <v>1629</v>
      </c>
      <c r="L88" s="4" t="s">
        <v>1631</v>
      </c>
      <c r="N88" s="4" t="e">
        <v>#N/A</v>
      </c>
    </row>
    <row r="89" spans="1:15" ht="13">
      <c r="A89" s="4" t="s">
        <v>1636</v>
      </c>
      <c r="B89" s="4" t="s">
        <v>1637</v>
      </c>
      <c r="C89" s="4" t="s">
        <v>1638</v>
      </c>
      <c r="E89" s="4" t="s">
        <v>1639</v>
      </c>
      <c r="F89" s="4" t="s">
        <v>1642</v>
      </c>
      <c r="H89" s="4" t="s">
        <v>1643</v>
      </c>
      <c r="I89" s="4" t="s">
        <v>1645</v>
      </c>
      <c r="K89" s="4" t="s">
        <v>1646</v>
      </c>
      <c r="L89" s="4" t="s">
        <v>1648</v>
      </c>
      <c r="N89" s="4" t="s">
        <v>1649</v>
      </c>
      <c r="O89" s="4" t="s">
        <v>1651</v>
      </c>
    </row>
    <row r="90" spans="1:15" ht="13">
      <c r="A90" s="4" t="s">
        <v>1654</v>
      </c>
      <c r="B90" s="4" t="e">
        <v>#N/A</v>
      </c>
      <c r="E90" s="4" t="e">
        <v>#N/A</v>
      </c>
      <c r="H90" s="4" t="s">
        <v>1657</v>
      </c>
      <c r="I90" s="4" t="s">
        <v>1659</v>
      </c>
      <c r="K90" s="4" t="e">
        <v>#N/A</v>
      </c>
      <c r="N90" s="4" t="s">
        <v>1662</v>
      </c>
      <c r="O90" s="4" t="s">
        <v>1664</v>
      </c>
    </row>
    <row r="91" spans="1:15" ht="13">
      <c r="A91" s="4" t="s">
        <v>1666</v>
      </c>
      <c r="B91" s="4" t="s">
        <v>1667</v>
      </c>
      <c r="C91" s="4" t="s">
        <v>1668</v>
      </c>
      <c r="E91" s="4" t="s">
        <v>1669</v>
      </c>
      <c r="F91" s="4" t="s">
        <v>1671</v>
      </c>
      <c r="H91" s="4" t="s">
        <v>1673</v>
      </c>
      <c r="I91" s="4" t="s">
        <v>1674</v>
      </c>
      <c r="K91" s="4" t="e">
        <v>#N/A</v>
      </c>
      <c r="N91" s="4" t="s">
        <v>1677</v>
      </c>
      <c r="O91" s="4" t="s">
        <v>1679</v>
      </c>
    </row>
    <row r="92" spans="1:15" ht="13">
      <c r="A92" s="4" t="s">
        <v>1681</v>
      </c>
      <c r="B92" s="4" t="e">
        <v>#N/A</v>
      </c>
      <c r="E92" s="4" t="s">
        <v>1684</v>
      </c>
      <c r="F92" s="4" t="s">
        <v>1686</v>
      </c>
      <c r="H92" s="4" t="s">
        <v>1688</v>
      </c>
      <c r="I92" s="4" t="s">
        <v>1690</v>
      </c>
      <c r="K92" s="4" t="s">
        <v>1692</v>
      </c>
      <c r="L92" s="4" t="s">
        <v>1695</v>
      </c>
      <c r="N92" s="4" t="s">
        <v>1696</v>
      </c>
      <c r="O92" s="4" t="s">
        <v>1697</v>
      </c>
    </row>
    <row r="93" spans="1:15" ht="13">
      <c r="A93" s="4" t="s">
        <v>1699</v>
      </c>
      <c r="B93" s="4" t="e">
        <v>#N/A</v>
      </c>
      <c r="E93" s="4" t="s">
        <v>1702</v>
      </c>
      <c r="F93" s="4" t="s">
        <v>1704</v>
      </c>
      <c r="H93" s="4" t="s">
        <v>1705</v>
      </c>
      <c r="I93" s="4" t="s">
        <v>1706</v>
      </c>
      <c r="K93" s="4" t="s">
        <v>1707</v>
      </c>
      <c r="L93" s="4" t="s">
        <v>1708</v>
      </c>
      <c r="N93" s="4" t="s">
        <v>1710</v>
      </c>
      <c r="O93" s="4" t="s">
        <v>1712</v>
      </c>
    </row>
    <row r="94" spans="1:15" ht="13">
      <c r="A94" s="4" t="s">
        <v>1714</v>
      </c>
      <c r="B94" s="4" t="s">
        <v>1715</v>
      </c>
      <c r="C94" s="4" t="s">
        <v>1717</v>
      </c>
      <c r="E94" s="4" t="s">
        <v>1718</v>
      </c>
      <c r="F94" s="4" t="s">
        <v>1721</v>
      </c>
      <c r="H94" s="4" t="s">
        <v>1723</v>
      </c>
      <c r="I94" s="4" t="s">
        <v>1724</v>
      </c>
      <c r="K94" s="4" t="s">
        <v>1725</v>
      </c>
      <c r="L94" s="4" t="s">
        <v>1728</v>
      </c>
      <c r="N94" s="4" t="e">
        <v>#N/A</v>
      </c>
    </row>
    <row r="95" spans="1:15" ht="13">
      <c r="A95" s="4" t="s">
        <v>1731</v>
      </c>
      <c r="B95" s="4" t="s">
        <v>1732</v>
      </c>
      <c r="C95" s="4" t="s">
        <v>1734</v>
      </c>
      <c r="E95" s="4" t="s">
        <v>1736</v>
      </c>
      <c r="F95" s="4" t="s">
        <v>1738</v>
      </c>
      <c r="H95" s="4" t="s">
        <v>1739</v>
      </c>
      <c r="I95" s="4" t="s">
        <v>1741</v>
      </c>
      <c r="K95" s="4" t="s">
        <v>1743</v>
      </c>
      <c r="L95" s="4" t="s">
        <v>1745</v>
      </c>
      <c r="N95" s="4" t="e">
        <v>#N/A</v>
      </c>
    </row>
    <row r="96" spans="1:15" ht="13">
      <c r="A96" s="4" t="s">
        <v>1748</v>
      </c>
      <c r="B96" s="4" t="s">
        <v>1749</v>
      </c>
      <c r="C96" s="4" t="s">
        <v>1751</v>
      </c>
      <c r="E96" s="4" t="s">
        <v>1752</v>
      </c>
      <c r="F96" s="4" t="s">
        <v>1753</v>
      </c>
      <c r="H96" s="4" t="s">
        <v>1754</v>
      </c>
      <c r="I96" s="4" t="s">
        <v>1756</v>
      </c>
      <c r="K96" s="4" t="e">
        <v>#N/A</v>
      </c>
      <c r="N96" s="4" t="s">
        <v>1758</v>
      </c>
      <c r="O96" s="4" t="s">
        <v>1760</v>
      </c>
    </row>
    <row r="97" spans="1:15" ht="13">
      <c r="A97" s="4" t="s">
        <v>1762</v>
      </c>
      <c r="B97" s="4" t="s">
        <v>1764</v>
      </c>
      <c r="C97" s="4" t="s">
        <v>1766</v>
      </c>
      <c r="E97" s="4" t="s">
        <v>1767</v>
      </c>
      <c r="F97" s="4" t="s">
        <v>1769</v>
      </c>
      <c r="H97" s="4" t="s">
        <v>1771</v>
      </c>
      <c r="I97" s="4" t="s">
        <v>1772</v>
      </c>
      <c r="K97" s="4" t="s">
        <v>1773</v>
      </c>
      <c r="L97" s="4" t="s">
        <v>1775</v>
      </c>
      <c r="N97" s="4" t="s">
        <v>1777</v>
      </c>
      <c r="O97" s="4" t="s">
        <v>1779</v>
      </c>
    </row>
    <row r="98" spans="1:15" ht="13">
      <c r="A98" s="4" t="s">
        <v>1781</v>
      </c>
      <c r="B98" s="4" t="s">
        <v>1783</v>
      </c>
      <c r="C98" s="4" t="s">
        <v>1785</v>
      </c>
      <c r="E98" s="4" t="e">
        <v>#N/A</v>
      </c>
      <c r="H98" s="4" t="s">
        <v>1787</v>
      </c>
      <c r="I98" s="4" t="s">
        <v>1788</v>
      </c>
      <c r="K98" s="4"/>
      <c r="N98" s="4" t="s">
        <v>1791</v>
      </c>
      <c r="O98" s="4" t="s">
        <v>1793</v>
      </c>
    </row>
    <row r="99" spans="1:15" ht="13">
      <c r="A99" s="4" t="s">
        <v>1795</v>
      </c>
      <c r="B99" s="4" t="s">
        <v>1797</v>
      </c>
      <c r="C99" s="4" t="s">
        <v>1799</v>
      </c>
      <c r="E99" s="4" t="s">
        <v>1801</v>
      </c>
      <c r="F99" s="4" t="s">
        <v>1803</v>
      </c>
      <c r="H99" s="4" t="e">
        <v>#N/A</v>
      </c>
      <c r="K99" s="4" t="s">
        <v>1806</v>
      </c>
      <c r="L99" s="4" t="s">
        <v>1808</v>
      </c>
      <c r="N99" s="4" t="e">
        <v>#N/A</v>
      </c>
    </row>
    <row r="100" spans="1:15" ht="13">
      <c r="A100" s="4" t="s">
        <v>1810</v>
      </c>
      <c r="B100" s="4" t="s">
        <v>1812</v>
      </c>
      <c r="C100" s="4" t="s">
        <v>1814</v>
      </c>
      <c r="E100" s="4" t="s">
        <v>1815</v>
      </c>
      <c r="F100" s="4" t="s">
        <v>1816</v>
      </c>
      <c r="H100" s="4" t="s">
        <v>1818</v>
      </c>
      <c r="I100" s="4" t="s">
        <v>1820</v>
      </c>
      <c r="K100" s="4" t="s">
        <v>1821</v>
      </c>
      <c r="L100" s="4" t="s">
        <v>1823</v>
      </c>
      <c r="N100" s="4" t="s">
        <v>1824</v>
      </c>
      <c r="O100" s="4" t="s">
        <v>1826</v>
      </c>
    </row>
    <row r="101" spans="1:15" ht="13">
      <c r="A101" s="4" t="s">
        <v>1829</v>
      </c>
      <c r="B101" s="4" t="e">
        <v>#N/A</v>
      </c>
      <c r="E101" s="4" t="s">
        <v>1832</v>
      </c>
      <c r="F101" s="4" t="s">
        <v>1834</v>
      </c>
      <c r="H101" s="4" t="e">
        <v>#N/A</v>
      </c>
      <c r="K101" s="4" t="s">
        <v>1835</v>
      </c>
      <c r="L101" s="4" t="s">
        <v>1836</v>
      </c>
      <c r="N101" s="4" t="s">
        <v>1837</v>
      </c>
      <c r="O101" s="4" t="s">
        <v>1839</v>
      </c>
    </row>
    <row r="102" spans="1:15" ht="13">
      <c r="A102" s="4" t="s">
        <v>1841</v>
      </c>
      <c r="B102" s="4" t="s">
        <v>1843</v>
      </c>
      <c r="C102" s="4" t="s">
        <v>1845</v>
      </c>
      <c r="E102" s="4" t="s">
        <v>1846</v>
      </c>
      <c r="F102" s="4" t="s">
        <v>1847</v>
      </c>
      <c r="H102" s="4" t="s">
        <v>1848</v>
      </c>
      <c r="I102" s="4" t="s">
        <v>1850</v>
      </c>
      <c r="K102" s="4" t="e">
        <v>#N/A</v>
      </c>
      <c r="N102" s="4" t="s">
        <v>1854</v>
      </c>
      <c r="O102" s="4" t="s">
        <v>1856</v>
      </c>
    </row>
    <row r="103" spans="1:15" ht="13">
      <c r="A103" s="4" t="s">
        <v>1858</v>
      </c>
      <c r="B103" s="4" t="s">
        <v>1860</v>
      </c>
      <c r="C103" s="4" t="s">
        <v>1862</v>
      </c>
      <c r="E103" s="4" t="e">
        <v>#N/A</v>
      </c>
      <c r="H103" s="4" t="s">
        <v>1865</v>
      </c>
      <c r="I103" s="4" t="s">
        <v>1867</v>
      </c>
      <c r="K103" s="4" t="s">
        <v>1868</v>
      </c>
      <c r="L103" s="4" t="s">
        <v>1870</v>
      </c>
      <c r="N103" s="4" t="e">
        <v>#N/A</v>
      </c>
    </row>
    <row r="104" spans="1:15" ht="13">
      <c r="A104" s="4" t="s">
        <v>1874</v>
      </c>
      <c r="B104" s="4" t="s">
        <v>1876</v>
      </c>
      <c r="C104" s="4" t="s">
        <v>1878</v>
      </c>
      <c r="E104" s="4" t="s">
        <v>1880</v>
      </c>
      <c r="F104" s="4" t="s">
        <v>1881</v>
      </c>
      <c r="H104" s="4" t="s">
        <v>1883</v>
      </c>
      <c r="I104" s="4" t="s">
        <v>1885</v>
      </c>
      <c r="K104" s="4" t="s">
        <v>1887</v>
      </c>
      <c r="L104" s="4" t="s">
        <v>1889</v>
      </c>
      <c r="N104" s="4" t="e">
        <v>#N/A</v>
      </c>
    </row>
    <row r="105" spans="1:15" ht="13">
      <c r="A105" s="4" t="s">
        <v>1891</v>
      </c>
      <c r="B105" s="4" t="s">
        <v>1893</v>
      </c>
      <c r="C105" s="4" t="s">
        <v>1895</v>
      </c>
      <c r="E105" s="4" t="s">
        <v>1897</v>
      </c>
      <c r="F105" s="4" t="s">
        <v>1899</v>
      </c>
      <c r="H105" s="4" t="s">
        <v>1900</v>
      </c>
      <c r="I105" s="4" t="s">
        <v>1902</v>
      </c>
      <c r="K105" s="4" t="s">
        <v>1903</v>
      </c>
      <c r="L105" s="4" t="s">
        <v>1905</v>
      </c>
      <c r="N105" s="4" t="e">
        <v>#N/A</v>
      </c>
    </row>
    <row r="106" spans="1:15" ht="13">
      <c r="A106" s="4" t="s">
        <v>1909</v>
      </c>
      <c r="B106" s="4" t="s">
        <v>1911</v>
      </c>
      <c r="C106" s="4" t="s">
        <v>1913</v>
      </c>
      <c r="E106" s="4" t="s">
        <v>1914</v>
      </c>
      <c r="F106" s="4" t="s">
        <v>1916</v>
      </c>
      <c r="H106" s="4" t="e">
        <v>#N/A</v>
      </c>
      <c r="K106" s="4" t="s">
        <v>1918</v>
      </c>
      <c r="L106" s="4" t="s">
        <v>1920</v>
      </c>
      <c r="N106" s="4" t="e">
        <v>#N/A</v>
      </c>
    </row>
    <row r="107" spans="1:15" ht="13">
      <c r="A107" s="4" t="s">
        <v>1923</v>
      </c>
      <c r="B107" s="4" t="s">
        <v>1925</v>
      </c>
      <c r="C107" s="4" t="s">
        <v>1927</v>
      </c>
      <c r="E107" s="4" t="e">
        <v>#N/A</v>
      </c>
      <c r="H107" s="4" t="s">
        <v>1929</v>
      </c>
      <c r="I107" s="4" t="s">
        <v>1931</v>
      </c>
      <c r="K107" s="4" t="s">
        <v>1933</v>
      </c>
      <c r="L107" s="4" t="s">
        <v>1934</v>
      </c>
      <c r="N107" s="4" t="s">
        <v>1935</v>
      </c>
      <c r="O107" s="4" t="s">
        <v>1936</v>
      </c>
    </row>
    <row r="108" spans="1:15" ht="13">
      <c r="A108" s="4" t="s">
        <v>1938</v>
      </c>
      <c r="B108" s="4" t="s">
        <v>1939</v>
      </c>
      <c r="C108" s="4" t="s">
        <v>1940</v>
      </c>
      <c r="E108" s="4" t="e">
        <v>#N/A</v>
      </c>
      <c r="H108" s="4"/>
      <c r="K108" s="4" t="s">
        <v>1943</v>
      </c>
      <c r="L108" s="4" t="s">
        <v>1945</v>
      </c>
      <c r="N108" s="4" t="e">
        <v>#N/A</v>
      </c>
    </row>
    <row r="109" spans="1:15" ht="13">
      <c r="A109" s="4" t="s">
        <v>1948</v>
      </c>
      <c r="B109" s="4" t="s">
        <v>1950</v>
      </c>
      <c r="C109" s="4" t="s">
        <v>1951</v>
      </c>
      <c r="E109" s="4" t="e">
        <v>#N/A</v>
      </c>
      <c r="H109" s="4" t="s">
        <v>1953</v>
      </c>
      <c r="I109" s="4" t="s">
        <v>1956</v>
      </c>
      <c r="K109" s="4" t="s">
        <v>1957</v>
      </c>
      <c r="L109" s="4" t="s">
        <v>1959</v>
      </c>
      <c r="N109" s="4" t="e">
        <v>#N/A</v>
      </c>
    </row>
    <row r="110" spans="1:15" ht="13">
      <c r="A110" s="4" t="s">
        <v>1962</v>
      </c>
      <c r="B110" s="4" t="s">
        <v>1964</v>
      </c>
      <c r="C110" s="4" t="s">
        <v>1965</v>
      </c>
      <c r="E110" s="4" t="s">
        <v>1967</v>
      </c>
      <c r="F110" s="4" t="s">
        <v>1969</v>
      </c>
      <c r="H110" s="4" t="s">
        <v>1971</v>
      </c>
      <c r="I110" s="4" t="s">
        <v>1973</v>
      </c>
      <c r="K110" s="4" t="s">
        <v>1975</v>
      </c>
      <c r="L110" s="4" t="s">
        <v>1976</v>
      </c>
      <c r="N110" s="4" t="s">
        <v>1978</v>
      </c>
      <c r="O110" s="4" t="s">
        <v>1980</v>
      </c>
    </row>
    <row r="111" spans="1:15" ht="13">
      <c r="A111" s="4" t="s">
        <v>1983</v>
      </c>
      <c r="B111" s="4" t="s">
        <v>1985</v>
      </c>
      <c r="C111" s="4" t="s">
        <v>1986</v>
      </c>
      <c r="E111" s="4" t="s">
        <v>1987</v>
      </c>
      <c r="F111" s="4" t="s">
        <v>1989</v>
      </c>
      <c r="H111" s="4" t="s">
        <v>1991</v>
      </c>
      <c r="I111" s="4" t="s">
        <v>1993</v>
      </c>
      <c r="K111" s="4" t="s">
        <v>1994</v>
      </c>
      <c r="L111" s="4" t="s">
        <v>1996</v>
      </c>
      <c r="N111" s="4" t="s">
        <v>1997</v>
      </c>
      <c r="O111" s="4" t="s">
        <v>1999</v>
      </c>
    </row>
    <row r="112" spans="1:15" ht="13">
      <c r="A112" s="4" t="s">
        <v>2001</v>
      </c>
      <c r="B112" s="4" t="e">
        <v>#N/A</v>
      </c>
      <c r="E112" s="4" t="e">
        <v>#N/A</v>
      </c>
      <c r="H112" s="4" t="s">
        <v>2004</v>
      </c>
      <c r="I112" s="4" t="s">
        <v>2007</v>
      </c>
      <c r="K112" s="4" t="e">
        <v>#N/A</v>
      </c>
      <c r="N112" s="4" t="e">
        <v>#N/A</v>
      </c>
    </row>
    <row r="113" spans="1:15" ht="13">
      <c r="A113" s="4" t="s">
        <v>2011</v>
      </c>
      <c r="B113" s="4" t="s">
        <v>2013</v>
      </c>
      <c r="C113" s="4" t="s">
        <v>2014</v>
      </c>
      <c r="E113" s="4" t="s">
        <v>2016</v>
      </c>
      <c r="F113" s="4" t="s">
        <v>2018</v>
      </c>
      <c r="H113" s="4" t="s">
        <v>2019</v>
      </c>
      <c r="I113" s="4" t="s">
        <v>2021</v>
      </c>
      <c r="K113" s="4" t="s">
        <v>2022</v>
      </c>
      <c r="L113" s="4" t="s">
        <v>2024</v>
      </c>
      <c r="N113" s="4" t="s">
        <v>2026</v>
      </c>
      <c r="O113" s="4" t="s">
        <v>2028</v>
      </c>
    </row>
    <row r="114" spans="1:15" ht="13">
      <c r="A114" s="4" t="s">
        <v>2029</v>
      </c>
      <c r="B114" s="4" t="s">
        <v>2031</v>
      </c>
      <c r="C114" s="4" t="s">
        <v>2033</v>
      </c>
      <c r="E114" s="4" t="s">
        <v>2035</v>
      </c>
      <c r="F114" s="4" t="s">
        <v>2043</v>
      </c>
      <c r="H114" s="4" t="s">
        <v>2045</v>
      </c>
      <c r="I114" s="4" t="s">
        <v>2046</v>
      </c>
      <c r="K114" s="4" t="s">
        <v>2047</v>
      </c>
      <c r="L114" s="4" t="s">
        <v>2049</v>
      </c>
      <c r="N114" s="4" t="s">
        <v>2050</v>
      </c>
      <c r="O114" s="4" t="s">
        <v>2052</v>
      </c>
    </row>
    <row r="115" spans="1:15" ht="13">
      <c r="A115" s="4" t="s">
        <v>2054</v>
      </c>
      <c r="B115" s="4" t="s">
        <v>2056</v>
      </c>
      <c r="C115" s="4" t="s">
        <v>2058</v>
      </c>
      <c r="E115" s="4" t="s">
        <v>2060</v>
      </c>
      <c r="F115" s="4" t="s">
        <v>2061</v>
      </c>
      <c r="H115" s="4" t="e">
        <v>#N/A</v>
      </c>
      <c r="K115" s="4" t="s">
        <v>2064</v>
      </c>
      <c r="L115" s="4" t="s">
        <v>2066</v>
      </c>
      <c r="N115" s="4" t="s">
        <v>2068</v>
      </c>
      <c r="O115" s="4" t="s">
        <v>2069</v>
      </c>
    </row>
    <row r="116" spans="1:15" ht="13">
      <c r="A116" s="4" t="s">
        <v>2072</v>
      </c>
      <c r="B116" s="4" t="s">
        <v>2073</v>
      </c>
      <c r="C116" s="4" t="s">
        <v>2075</v>
      </c>
      <c r="E116" s="4" t="s">
        <v>2076</v>
      </c>
      <c r="F116" s="4" t="s">
        <v>2077</v>
      </c>
      <c r="H116" s="4" t="e">
        <v>#N/A</v>
      </c>
      <c r="K116" s="4" t="s">
        <v>2080</v>
      </c>
      <c r="L116" s="4" t="s">
        <v>2082</v>
      </c>
      <c r="N116" s="4" t="s">
        <v>2084</v>
      </c>
      <c r="O116" s="4" t="s">
        <v>2085</v>
      </c>
    </row>
    <row r="117" spans="1:15" ht="13">
      <c r="A117" s="4" t="s">
        <v>2087</v>
      </c>
      <c r="B117" s="4" t="e">
        <v>#N/A</v>
      </c>
      <c r="E117" s="4" t="s">
        <v>2091</v>
      </c>
      <c r="F117" s="4" t="s">
        <v>2093</v>
      </c>
      <c r="H117" s="4" t="s">
        <v>2094</v>
      </c>
      <c r="I117" s="4" t="s">
        <v>2097</v>
      </c>
      <c r="K117" s="4" t="s">
        <v>2098</v>
      </c>
      <c r="L117" s="4" t="s">
        <v>2100</v>
      </c>
      <c r="N117" s="4" t="s">
        <v>2102</v>
      </c>
      <c r="O117" s="4" t="s">
        <v>2103</v>
      </c>
    </row>
    <row r="118" spans="1:15" ht="13">
      <c r="A118" s="4" t="s">
        <v>2105</v>
      </c>
      <c r="B118" s="4" t="s">
        <v>2106</v>
      </c>
      <c r="C118" s="4" t="s">
        <v>2108</v>
      </c>
      <c r="E118" s="4" t="s">
        <v>2109</v>
      </c>
      <c r="F118" s="4" t="s">
        <v>2111</v>
      </c>
      <c r="H118" s="4" t="e">
        <v>#N/A</v>
      </c>
      <c r="K118" s="4" t="s">
        <v>2114</v>
      </c>
      <c r="L118" s="4" t="s">
        <v>2116</v>
      </c>
      <c r="N118" s="4" t="e">
        <v>#N/A</v>
      </c>
    </row>
    <row r="119" spans="1:15" ht="13">
      <c r="A119" s="4" t="s">
        <v>2120</v>
      </c>
      <c r="B119" s="4" t="e">
        <v>#N/A</v>
      </c>
      <c r="E119" s="4" t="s">
        <v>2122</v>
      </c>
      <c r="F119" s="4" t="s">
        <v>2124</v>
      </c>
      <c r="H119" s="4" t="s">
        <v>2125</v>
      </c>
      <c r="I119" s="4" t="s">
        <v>2127</v>
      </c>
      <c r="K119" s="4" t="s">
        <v>2128</v>
      </c>
      <c r="L119" s="4" t="s">
        <v>2130</v>
      </c>
      <c r="N119" s="4" t="s">
        <v>2131</v>
      </c>
      <c r="O119" s="4" t="s">
        <v>2133</v>
      </c>
    </row>
    <row r="120" spans="1:15" ht="13">
      <c r="A120" s="4" t="s">
        <v>2135</v>
      </c>
      <c r="B120" s="4" t="e">
        <v>#N/A</v>
      </c>
      <c r="E120" s="4" t="e">
        <v>#N/A</v>
      </c>
      <c r="H120" s="4" t="s">
        <v>2137</v>
      </c>
      <c r="I120" s="4" t="s">
        <v>2139</v>
      </c>
      <c r="K120" s="4" t="s">
        <v>2141</v>
      </c>
      <c r="L120" s="4" t="s">
        <v>2142</v>
      </c>
      <c r="N120" s="4" t="e">
        <v>#N/A</v>
      </c>
    </row>
    <row r="121" spans="1:15" ht="13">
      <c r="A121" s="4" t="s">
        <v>2145</v>
      </c>
      <c r="B121" s="4" t="s">
        <v>2146</v>
      </c>
      <c r="C121" s="4" t="s">
        <v>2148</v>
      </c>
      <c r="E121" s="4" t="s">
        <v>2149</v>
      </c>
      <c r="F121" s="4" t="s">
        <v>2151</v>
      </c>
      <c r="H121" s="4" t="s">
        <v>2153</v>
      </c>
      <c r="I121" s="4" t="s">
        <v>2154</v>
      </c>
      <c r="K121" s="4" t="s">
        <v>2156</v>
      </c>
      <c r="L121" s="4" t="s">
        <v>2158</v>
      </c>
      <c r="N121" s="4" t="e">
        <v>#N/A</v>
      </c>
    </row>
    <row r="122" spans="1:15" ht="13">
      <c r="A122" s="4" t="s">
        <v>2160</v>
      </c>
      <c r="B122" s="4" t="s">
        <v>2162</v>
      </c>
      <c r="C122" s="4" t="s">
        <v>2164</v>
      </c>
      <c r="E122" s="4" t="s">
        <v>2166</v>
      </c>
      <c r="F122" s="4" t="s">
        <v>2168</v>
      </c>
      <c r="H122" s="4" t="s">
        <v>2169</v>
      </c>
      <c r="I122" s="4" t="s">
        <v>2171</v>
      </c>
      <c r="K122" s="4" t="e">
        <v>#N/A</v>
      </c>
      <c r="N122" s="4" t="s">
        <v>2173</v>
      </c>
      <c r="O122" s="4" t="s">
        <v>2174</v>
      </c>
    </row>
    <row r="123" spans="1:15" ht="13">
      <c r="A123" s="4" t="s">
        <v>2176</v>
      </c>
      <c r="B123" s="4" t="s">
        <v>2177</v>
      </c>
      <c r="C123" s="4" t="s">
        <v>2178</v>
      </c>
      <c r="E123" s="4" t="e">
        <v>#N/A</v>
      </c>
      <c r="H123" s="4" t="s">
        <v>2180</v>
      </c>
      <c r="I123" s="4" t="s">
        <v>2182</v>
      </c>
      <c r="K123" s="4" t="s">
        <v>2184</v>
      </c>
      <c r="L123" s="4" t="s">
        <v>2185</v>
      </c>
      <c r="N123" s="4" t="e">
        <v>#N/A</v>
      </c>
    </row>
    <row r="124" spans="1:15" ht="13">
      <c r="A124" s="4" t="s">
        <v>2188</v>
      </c>
      <c r="B124" s="4" t="s">
        <v>2190</v>
      </c>
      <c r="C124" s="4" t="s">
        <v>2192</v>
      </c>
      <c r="E124" s="4" t="s">
        <v>2193</v>
      </c>
      <c r="F124" s="4" t="s">
        <v>2195</v>
      </c>
      <c r="H124" s="4" t="s">
        <v>2197</v>
      </c>
      <c r="I124" s="4" t="s">
        <v>2198</v>
      </c>
      <c r="K124" s="4" t="e">
        <v>#N/A</v>
      </c>
      <c r="N124" s="4" t="s">
        <v>2199</v>
      </c>
      <c r="O124" s="4" t="s">
        <v>2200</v>
      </c>
    </row>
    <row r="125" spans="1:15" ht="13">
      <c r="A125" s="4" t="s">
        <v>2201</v>
      </c>
      <c r="B125" s="4" t="s">
        <v>2202</v>
      </c>
      <c r="C125" s="4" t="s">
        <v>2204</v>
      </c>
      <c r="E125" s="4" t="s">
        <v>2206</v>
      </c>
      <c r="F125" s="4" t="s">
        <v>2207</v>
      </c>
      <c r="H125" s="4" t="s">
        <v>2209</v>
      </c>
      <c r="I125" s="4" t="s">
        <v>2210</v>
      </c>
      <c r="K125" s="4" t="s">
        <v>2212</v>
      </c>
      <c r="L125" s="4" t="s">
        <v>2214</v>
      </c>
      <c r="N125" s="4" t="s">
        <v>2215</v>
      </c>
      <c r="O125" s="4" t="s">
        <v>2216</v>
      </c>
    </row>
    <row r="126" spans="1:15" ht="13">
      <c r="A126" s="4" t="s">
        <v>2217</v>
      </c>
      <c r="B126" s="4" t="e">
        <v>#N/A</v>
      </c>
      <c r="E126" s="4" t="s">
        <v>2219</v>
      </c>
      <c r="F126" s="4" t="s">
        <v>2221</v>
      </c>
      <c r="H126" s="4" t="s">
        <v>2222</v>
      </c>
      <c r="I126" s="4" t="s">
        <v>2224</v>
      </c>
      <c r="K126" s="4" t="e">
        <v>#N/A</v>
      </c>
      <c r="N126" s="4" t="s">
        <v>2226</v>
      </c>
      <c r="O126" s="4" t="s">
        <v>2227</v>
      </c>
    </row>
    <row r="127" spans="1:15" ht="13">
      <c r="A127" s="4" t="s">
        <v>2229</v>
      </c>
      <c r="B127" s="4" t="s">
        <v>2231</v>
      </c>
      <c r="C127" s="4" t="s">
        <v>2232</v>
      </c>
      <c r="E127" s="4" t="e">
        <v>#N/A</v>
      </c>
      <c r="H127" s="4" t="e">
        <v>#N/A</v>
      </c>
      <c r="K127" s="4" t="s">
        <v>2236</v>
      </c>
      <c r="L127" s="4" t="s">
        <v>2238</v>
      </c>
      <c r="N127" s="4" t="s">
        <v>2239</v>
      </c>
      <c r="O127" s="4" t="s">
        <v>2241</v>
      </c>
    </row>
    <row r="128" spans="1:15" ht="13">
      <c r="A128" s="4" t="s">
        <v>2243</v>
      </c>
      <c r="B128" s="4" t="e">
        <v>#N/A</v>
      </c>
      <c r="E128" s="4" t="e">
        <v>#N/A</v>
      </c>
      <c r="H128" s="4" t="s">
        <v>2245</v>
      </c>
      <c r="I128" s="4" t="s">
        <v>2248</v>
      </c>
      <c r="K128" s="4" t="s">
        <v>2249</v>
      </c>
      <c r="L128" s="4" t="s">
        <v>2250</v>
      </c>
      <c r="N128" s="4" t="e">
        <v>#N/A</v>
      </c>
    </row>
    <row r="129" spans="1:15" ht="13">
      <c r="A129" s="4" t="s">
        <v>2253</v>
      </c>
      <c r="B129" s="4" t="s">
        <v>2254</v>
      </c>
      <c r="C129" s="4" t="s">
        <v>2256</v>
      </c>
      <c r="E129" s="4" t="e">
        <v>#N/A</v>
      </c>
      <c r="H129" s="4" t="s">
        <v>2258</v>
      </c>
      <c r="I129" s="4" t="s">
        <v>2260</v>
      </c>
      <c r="K129" s="4" t="s">
        <v>2261</v>
      </c>
      <c r="L129" s="4" t="s">
        <v>2263</v>
      </c>
      <c r="N129" s="4" t="s">
        <v>2264</v>
      </c>
      <c r="O129" s="4" t="s">
        <v>2266</v>
      </c>
    </row>
    <row r="130" spans="1:15" ht="13">
      <c r="A130" s="4" t="s">
        <v>2267</v>
      </c>
      <c r="B130" s="4" t="s">
        <v>2268</v>
      </c>
      <c r="C130" s="4" t="s">
        <v>2270</v>
      </c>
      <c r="E130" s="4" t="s">
        <v>2271</v>
      </c>
      <c r="F130" s="4" t="s">
        <v>2273</v>
      </c>
      <c r="H130" s="4" t="s">
        <v>2275</v>
      </c>
      <c r="I130" s="4" t="s">
        <v>2277</v>
      </c>
      <c r="K130" s="4" t="s">
        <v>2278</v>
      </c>
      <c r="L130" s="4" t="s">
        <v>2280</v>
      </c>
      <c r="N130" s="4" t="s">
        <v>2284</v>
      </c>
      <c r="O130" s="4" t="s">
        <v>2285</v>
      </c>
    </row>
    <row r="131" spans="1:15" ht="13">
      <c r="A131" s="4" t="s">
        <v>2286</v>
      </c>
      <c r="B131" s="4" t="s">
        <v>2288</v>
      </c>
      <c r="C131" s="4" t="s">
        <v>2289</v>
      </c>
      <c r="E131" s="4" t="s">
        <v>2291</v>
      </c>
      <c r="F131" s="4" t="s">
        <v>2292</v>
      </c>
      <c r="H131" s="4" t="s">
        <v>2294</v>
      </c>
      <c r="I131" s="4" t="s">
        <v>2295</v>
      </c>
      <c r="K131" s="4" t="s">
        <v>2296</v>
      </c>
      <c r="L131" s="4" t="s">
        <v>2298</v>
      </c>
      <c r="N131" s="4" t="e">
        <v>#N/A</v>
      </c>
    </row>
    <row r="132" spans="1:15" ht="13">
      <c r="A132" s="4" t="s">
        <v>2301</v>
      </c>
      <c r="B132" s="4" t="s">
        <v>2302</v>
      </c>
      <c r="C132" s="4" t="s">
        <v>2303</v>
      </c>
      <c r="E132" s="4" t="s">
        <v>2305</v>
      </c>
      <c r="F132" s="4" t="s">
        <v>2307</v>
      </c>
      <c r="H132" s="4" t="s">
        <v>2308</v>
      </c>
      <c r="I132" s="4" t="s">
        <v>2310</v>
      </c>
      <c r="K132" s="4" t="s">
        <v>2312</v>
      </c>
      <c r="L132" s="4" t="s">
        <v>2313</v>
      </c>
      <c r="N132" s="4" t="s">
        <v>2315</v>
      </c>
      <c r="O132" s="4" t="s">
        <v>2316</v>
      </c>
    </row>
    <row r="133" spans="1:15" ht="13">
      <c r="A133" s="4" t="s">
        <v>2318</v>
      </c>
      <c r="B133" s="4" t="s">
        <v>2319</v>
      </c>
      <c r="C133" s="4" t="s">
        <v>2320</v>
      </c>
      <c r="E133" s="4" t="e">
        <v>#N/A</v>
      </c>
      <c r="H133" s="4" t="s">
        <v>2322</v>
      </c>
      <c r="I133" s="4" t="s">
        <v>2323</v>
      </c>
      <c r="K133" s="4" t="s">
        <v>2325</v>
      </c>
      <c r="L133" s="4" t="s">
        <v>2327</v>
      </c>
      <c r="N133" s="4" t="s">
        <v>2329</v>
      </c>
      <c r="O133" s="4" t="s">
        <v>2331</v>
      </c>
    </row>
    <row r="134" spans="1:15" ht="13">
      <c r="A134" s="4" t="s">
        <v>2333</v>
      </c>
      <c r="B134" s="4" t="s">
        <v>2334</v>
      </c>
      <c r="C134" s="4" t="s">
        <v>2335</v>
      </c>
      <c r="E134" s="4" t="s">
        <v>2336</v>
      </c>
      <c r="F134" s="4" t="s">
        <v>2338</v>
      </c>
      <c r="H134" s="4" t="e">
        <v>#N/A</v>
      </c>
      <c r="K134" s="4" t="s">
        <v>2340</v>
      </c>
      <c r="L134" s="4" t="s">
        <v>2342</v>
      </c>
      <c r="N134" s="4" t="e">
        <v>#N/A</v>
      </c>
    </row>
    <row r="135" spans="1:15" ht="13">
      <c r="A135" s="4" t="s">
        <v>2344</v>
      </c>
      <c r="B135" s="4" t="s">
        <v>2346</v>
      </c>
      <c r="C135" s="4" t="s">
        <v>2347</v>
      </c>
      <c r="E135" s="4" t="s">
        <v>2349</v>
      </c>
      <c r="F135" s="4" t="s">
        <v>2350</v>
      </c>
      <c r="H135" s="4" t="s">
        <v>2351</v>
      </c>
      <c r="I135" s="4" t="s">
        <v>2353</v>
      </c>
      <c r="K135" s="4" t="e">
        <v>#N/A</v>
      </c>
      <c r="N135" s="4" t="e">
        <v>#N/A</v>
      </c>
    </row>
    <row r="136" spans="1:15" ht="13">
      <c r="A136" s="4" t="s">
        <v>2355</v>
      </c>
      <c r="B136" s="4" t="e">
        <v>#N/A</v>
      </c>
      <c r="E136" s="4" t="e">
        <v>#N/A</v>
      </c>
      <c r="H136" s="4" t="s">
        <v>2357</v>
      </c>
      <c r="I136" s="4" t="s">
        <v>2359</v>
      </c>
      <c r="K136" s="4" t="e">
        <v>#N/A</v>
      </c>
      <c r="N136" s="4" t="e">
        <v>#N/A</v>
      </c>
    </row>
    <row r="137" spans="1:15" ht="13">
      <c r="A137" s="4" t="s">
        <v>2361</v>
      </c>
      <c r="B137" s="4" t="e">
        <v>#N/A</v>
      </c>
      <c r="E137" s="4" t="s">
        <v>2363</v>
      </c>
      <c r="F137" s="4" t="s">
        <v>2365</v>
      </c>
      <c r="H137" s="4" t="s">
        <v>2367</v>
      </c>
      <c r="I137" s="4" t="s">
        <v>2368</v>
      </c>
      <c r="K137" s="4" t="s">
        <v>2369</v>
      </c>
      <c r="L137" s="4" t="s">
        <v>2371</v>
      </c>
      <c r="N137" s="4" t="s">
        <v>2373</v>
      </c>
      <c r="O137" s="4" t="s">
        <v>2374</v>
      </c>
    </row>
    <row r="138" spans="1:15" ht="13">
      <c r="A138" s="4" t="s">
        <v>2376</v>
      </c>
      <c r="B138" s="4" t="e">
        <v>#N/A</v>
      </c>
      <c r="E138" s="4" t="e">
        <v>#N/A</v>
      </c>
      <c r="H138" s="4" t="e">
        <v>#N/A</v>
      </c>
      <c r="K138" s="4" t="s">
        <v>2379</v>
      </c>
      <c r="L138" s="4" t="s">
        <v>2381</v>
      </c>
      <c r="N138" s="4" t="s">
        <v>2382</v>
      </c>
      <c r="O138" s="4" t="s">
        <v>2384</v>
      </c>
    </row>
    <row r="139" spans="1:15" ht="13">
      <c r="A139" s="4" t="s">
        <v>2386</v>
      </c>
      <c r="B139" s="4" t="e">
        <v>#N/A</v>
      </c>
      <c r="E139" s="4" t="s">
        <v>2388</v>
      </c>
      <c r="F139" s="4" t="s">
        <v>2390</v>
      </c>
      <c r="H139" s="4" t="s">
        <v>2392</v>
      </c>
      <c r="I139" s="4" t="s">
        <v>2394</v>
      </c>
      <c r="K139" s="4" t="e">
        <v>#N/A</v>
      </c>
      <c r="N139" s="4" t="s">
        <v>2396</v>
      </c>
      <c r="O139" s="4" t="s">
        <v>2399</v>
      </c>
    </row>
    <row r="140" spans="1:15" ht="13">
      <c r="A140" s="4" t="s">
        <v>2401</v>
      </c>
      <c r="B140" s="4" t="s">
        <v>2402</v>
      </c>
      <c r="C140" s="4" t="s">
        <v>2404</v>
      </c>
      <c r="E140" s="4" t="e">
        <v>#N/A</v>
      </c>
      <c r="H140" s="4" t="e">
        <v>#N/A</v>
      </c>
      <c r="K140" s="4" t="e">
        <v>#N/A</v>
      </c>
      <c r="N140" s="4" t="e">
        <v>#N/A</v>
      </c>
    </row>
    <row r="141" spans="1:15" ht="13">
      <c r="A141" s="4" t="s">
        <v>2411</v>
      </c>
      <c r="B141" s="4" t="s">
        <v>2414</v>
      </c>
      <c r="C141" s="4" t="s">
        <v>2415</v>
      </c>
      <c r="E141" s="4" t="e">
        <v>#N/A</v>
      </c>
      <c r="H141" s="4" t="s">
        <v>2417</v>
      </c>
      <c r="I141" s="4" t="s">
        <v>2419</v>
      </c>
      <c r="K141" s="4" t="s">
        <v>2420</v>
      </c>
      <c r="L141" s="4" t="s">
        <v>2422</v>
      </c>
      <c r="N141" s="4" t="e">
        <v>#N/A</v>
      </c>
    </row>
    <row r="142" spans="1:15" ht="13">
      <c r="A142" s="4" t="s">
        <v>2424</v>
      </c>
      <c r="B142" s="4" t="s">
        <v>2425</v>
      </c>
      <c r="C142" s="4" t="s">
        <v>2427</v>
      </c>
      <c r="E142" s="4" t="s">
        <v>2428</v>
      </c>
      <c r="F142" s="4" t="s">
        <v>2430</v>
      </c>
      <c r="H142" s="4" t="e">
        <v>#N/A</v>
      </c>
      <c r="K142" s="4" t="s">
        <v>2432</v>
      </c>
      <c r="L142" s="4" t="s">
        <v>2434</v>
      </c>
      <c r="N142" s="4" t="s">
        <v>2435</v>
      </c>
      <c r="O142" s="4" t="s">
        <v>2437</v>
      </c>
    </row>
    <row r="143" spans="1:15" ht="13">
      <c r="A143" s="4" t="s">
        <v>2439</v>
      </c>
      <c r="B143" s="4" t="s">
        <v>2440</v>
      </c>
      <c r="C143" s="4" t="s">
        <v>2442</v>
      </c>
      <c r="E143" s="4" t="e">
        <v>#N/A</v>
      </c>
      <c r="H143" s="4" t="s">
        <v>2444</v>
      </c>
      <c r="I143" s="4" t="s">
        <v>2446</v>
      </c>
      <c r="K143" s="4" t="s">
        <v>2447</v>
      </c>
      <c r="L143" s="4" t="s">
        <v>2450</v>
      </c>
      <c r="N143" s="4" t="s">
        <v>2452</v>
      </c>
      <c r="O143" s="4" t="s">
        <v>2453</v>
      </c>
    </row>
    <row r="144" spans="1:15" ht="13">
      <c r="A144" s="4" t="s">
        <v>2455</v>
      </c>
      <c r="B144" s="4" t="s">
        <v>2456</v>
      </c>
      <c r="C144" s="4" t="s">
        <v>2457</v>
      </c>
      <c r="E144" s="4" t="s">
        <v>2459</v>
      </c>
      <c r="F144" s="4" t="s">
        <v>2461</v>
      </c>
      <c r="H144" s="4" t="s">
        <v>2462</v>
      </c>
      <c r="I144" s="4" t="s">
        <v>2464</v>
      </c>
      <c r="K144" s="4" t="s">
        <v>2465</v>
      </c>
      <c r="L144" s="4" t="s">
        <v>2467</v>
      </c>
      <c r="N144" s="4" t="s">
        <v>2468</v>
      </c>
      <c r="O144" s="4" t="s">
        <v>2470</v>
      </c>
    </row>
    <row r="145" spans="1:15" ht="13">
      <c r="A145" s="4" t="s">
        <v>2472</v>
      </c>
      <c r="B145" s="4" t="s">
        <v>2473</v>
      </c>
      <c r="C145" s="4" t="s">
        <v>2475</v>
      </c>
      <c r="E145" s="4" t="s">
        <v>2477</v>
      </c>
      <c r="F145" s="4" t="s">
        <v>2478</v>
      </c>
      <c r="H145" s="4" t="s">
        <v>2479</v>
      </c>
      <c r="I145" s="4" t="s">
        <v>2480</v>
      </c>
      <c r="K145" s="4" t="s">
        <v>2482</v>
      </c>
      <c r="L145" s="4" t="s">
        <v>2484</v>
      </c>
      <c r="N145" s="4" t="s">
        <v>2488</v>
      </c>
      <c r="O145" s="4" t="s">
        <v>2490</v>
      </c>
    </row>
    <row r="146" spans="1:15" ht="13">
      <c r="A146" s="4" t="s">
        <v>2491</v>
      </c>
      <c r="B146" s="4" t="s">
        <v>2493</v>
      </c>
      <c r="C146" s="4" t="s">
        <v>2494</v>
      </c>
      <c r="E146" s="4" t="s">
        <v>2496</v>
      </c>
      <c r="F146" s="4" t="s">
        <v>2497</v>
      </c>
      <c r="H146" s="4" t="s">
        <v>2499</v>
      </c>
      <c r="I146" s="4" t="s">
        <v>2502</v>
      </c>
      <c r="K146" s="4" t="s">
        <v>2503</v>
      </c>
      <c r="L146" s="4" t="s">
        <v>2504</v>
      </c>
      <c r="N146" s="4" t="e">
        <v>#N/A</v>
      </c>
    </row>
    <row r="147" spans="1:15" ht="13">
      <c r="A147" s="4" t="s">
        <v>2506</v>
      </c>
      <c r="B147" s="4" t="s">
        <v>2508</v>
      </c>
      <c r="C147" s="4" t="s">
        <v>2509</v>
      </c>
      <c r="E147" s="4" t="s">
        <v>2511</v>
      </c>
      <c r="F147" s="4" t="s">
        <v>2513</v>
      </c>
      <c r="H147" s="4" t="s">
        <v>2514</v>
      </c>
      <c r="I147" s="4" t="s">
        <v>2516</v>
      </c>
      <c r="K147" s="4" t="e">
        <v>#N/A</v>
      </c>
      <c r="N147" s="4" t="s">
        <v>2518</v>
      </c>
      <c r="O147" s="4" t="s">
        <v>2519</v>
      </c>
    </row>
    <row r="148" spans="1:15" ht="13">
      <c r="A148" s="4" t="s">
        <v>2521</v>
      </c>
      <c r="B148" s="4" t="s">
        <v>2523</v>
      </c>
      <c r="C148" s="4" t="s">
        <v>2524</v>
      </c>
      <c r="E148" s="4" t="s">
        <v>2526</v>
      </c>
      <c r="F148" s="4" t="s">
        <v>2528</v>
      </c>
      <c r="H148" s="4" t="s">
        <v>2529</v>
      </c>
      <c r="I148" s="4" t="s">
        <v>2530</v>
      </c>
      <c r="K148" s="4" t="s">
        <v>2531</v>
      </c>
      <c r="L148" s="4" t="s">
        <v>2532</v>
      </c>
      <c r="N148" s="4" t="s">
        <v>2533</v>
      </c>
      <c r="O148" s="4" t="s">
        <v>2536</v>
      </c>
    </row>
    <row r="149" spans="1:15" ht="13">
      <c r="A149" s="4" t="s">
        <v>2539</v>
      </c>
      <c r="B149" s="4" t="s">
        <v>2540</v>
      </c>
      <c r="C149" s="4" t="s">
        <v>2542</v>
      </c>
      <c r="E149" s="4" t="s">
        <v>2544</v>
      </c>
      <c r="F149" s="4" t="s">
        <v>2545</v>
      </c>
      <c r="H149" s="4" t="s">
        <v>2548</v>
      </c>
      <c r="I149" s="4" t="s">
        <v>2549</v>
      </c>
      <c r="K149" s="4" t="s">
        <v>2551</v>
      </c>
      <c r="L149" s="4" t="s">
        <v>2552</v>
      </c>
      <c r="N149" s="4" t="s">
        <v>2554</v>
      </c>
      <c r="O149" s="4" t="s">
        <v>2556</v>
      </c>
    </row>
    <row r="150" spans="1:15" ht="13">
      <c r="A150" s="4" t="s">
        <v>2557</v>
      </c>
      <c r="B150" s="4" t="e">
        <v>#N/A</v>
      </c>
      <c r="E150" s="4" t="s">
        <v>2558</v>
      </c>
      <c r="F150" s="4" t="s">
        <v>2560</v>
      </c>
      <c r="H150" s="4" t="s">
        <v>2561</v>
      </c>
      <c r="I150" s="4" t="s">
        <v>2563</v>
      </c>
      <c r="K150" s="4" t="s">
        <v>2565</v>
      </c>
      <c r="L150" s="4" t="s">
        <v>2567</v>
      </c>
      <c r="N150" s="4" t="e">
        <v>#N/A</v>
      </c>
    </row>
    <row r="151" spans="1:15" ht="13">
      <c r="A151" s="4" t="s">
        <v>2570</v>
      </c>
      <c r="B151" s="4" t="s">
        <v>2571</v>
      </c>
      <c r="C151" s="4" t="s">
        <v>2572</v>
      </c>
      <c r="E151" s="4" t="e">
        <v>#N/A</v>
      </c>
      <c r="H151" s="4" t="s">
        <v>2575</v>
      </c>
      <c r="I151" s="4" t="s">
        <v>2576</v>
      </c>
      <c r="K151" s="4" t="s">
        <v>2578</v>
      </c>
      <c r="L151" s="4" t="s">
        <v>2580</v>
      </c>
      <c r="N151" s="4" t="s">
        <v>2581</v>
      </c>
      <c r="O151" s="4" t="s">
        <v>2583</v>
      </c>
    </row>
    <row r="152" spans="1:15" ht="13">
      <c r="A152" s="4" t="s">
        <v>2584</v>
      </c>
      <c r="B152" s="4" t="s">
        <v>2585</v>
      </c>
      <c r="C152" s="4" t="s">
        <v>2587</v>
      </c>
      <c r="E152" s="4" t="s">
        <v>2589</v>
      </c>
      <c r="F152" s="4" t="s">
        <v>2590</v>
      </c>
      <c r="H152" s="4" t="s">
        <v>2592</v>
      </c>
      <c r="I152" s="4" t="s">
        <v>2594</v>
      </c>
      <c r="K152" s="4" t="s">
        <v>2595</v>
      </c>
      <c r="L152" s="4" t="s">
        <v>2597</v>
      </c>
      <c r="N152" s="4" t="s">
        <v>2598</v>
      </c>
      <c r="O152" s="4" t="s">
        <v>2600</v>
      </c>
    </row>
    <row r="153" spans="1:15" ht="13">
      <c r="A153" s="4" t="s">
        <v>2602</v>
      </c>
      <c r="B153" s="4" t="s">
        <v>2603</v>
      </c>
      <c r="C153" s="4" t="s">
        <v>2605</v>
      </c>
      <c r="E153" s="4" t="s">
        <v>2606</v>
      </c>
      <c r="F153" s="4" t="s">
        <v>2608</v>
      </c>
      <c r="H153" s="4" t="s">
        <v>2610</v>
      </c>
      <c r="I153" s="4" t="s">
        <v>2612</v>
      </c>
      <c r="K153" s="4" t="s">
        <v>2614</v>
      </c>
      <c r="L153" s="4" t="s">
        <v>2615</v>
      </c>
      <c r="N153" s="4" t="s">
        <v>2617</v>
      </c>
      <c r="O153" s="4" t="s">
        <v>2619</v>
      </c>
    </row>
    <row r="154" spans="1:15" ht="13">
      <c r="A154" s="4" t="s">
        <v>2621</v>
      </c>
      <c r="B154" s="4" t="s">
        <v>2622</v>
      </c>
      <c r="C154" s="4" t="s">
        <v>2624</v>
      </c>
      <c r="E154" s="4" t="s">
        <v>2625</v>
      </c>
      <c r="F154" s="4" t="s">
        <v>2626</v>
      </c>
      <c r="H154" s="4" t="s">
        <v>2627</v>
      </c>
      <c r="I154" s="4" t="s">
        <v>2629</v>
      </c>
      <c r="K154" s="4" t="s">
        <v>2630</v>
      </c>
      <c r="L154" s="4" t="s">
        <v>2632</v>
      </c>
      <c r="N154" s="4" t="s">
        <v>2633</v>
      </c>
      <c r="O154" s="4" t="s">
        <v>2634</v>
      </c>
    </row>
    <row r="155" spans="1:15" ht="13">
      <c r="A155" s="4" t="s">
        <v>2636</v>
      </c>
      <c r="B155" s="4" t="s">
        <v>2637</v>
      </c>
      <c r="C155" s="4" t="s">
        <v>2639</v>
      </c>
      <c r="E155" s="4" t="e">
        <v>#N/A</v>
      </c>
      <c r="H155" s="4" t="e">
        <v>#N/A</v>
      </c>
      <c r="K155" s="4" t="e">
        <v>#N/A</v>
      </c>
      <c r="N155" s="4" t="s">
        <v>2642</v>
      </c>
      <c r="O155" s="4" t="s">
        <v>2643</v>
      </c>
    </row>
    <row r="156" spans="1:15" ht="13">
      <c r="A156" s="4" t="s">
        <v>2645</v>
      </c>
      <c r="B156" s="4" t="s">
        <v>2647</v>
      </c>
      <c r="C156" s="4" t="s">
        <v>2648</v>
      </c>
      <c r="E156" s="4" t="s">
        <v>2649</v>
      </c>
      <c r="F156" s="4" t="s">
        <v>2651</v>
      </c>
      <c r="H156" s="4" t="s">
        <v>2653</v>
      </c>
      <c r="I156" s="4" t="s">
        <v>2654</v>
      </c>
      <c r="K156" s="4" t="s">
        <v>2656</v>
      </c>
      <c r="L156" s="4" t="s">
        <v>2658</v>
      </c>
      <c r="N156" s="4" t="e">
        <v>#N/A</v>
      </c>
    </row>
    <row r="157" spans="1:15" ht="13">
      <c r="A157" s="4" t="s">
        <v>2660</v>
      </c>
      <c r="B157" s="4" t="s">
        <v>2662</v>
      </c>
      <c r="C157" s="4" t="s">
        <v>2663</v>
      </c>
      <c r="E157" s="4" t="e">
        <v>#N/A</v>
      </c>
      <c r="H157" s="4" t="e">
        <v>#N/A</v>
      </c>
      <c r="K157" s="4" t="e">
        <v>#N/A</v>
      </c>
      <c r="N157" s="4" t="s">
        <v>2666</v>
      </c>
      <c r="O157" s="4" t="s">
        <v>2667</v>
      </c>
    </row>
    <row r="158" spans="1:15" ht="13">
      <c r="A158" s="4" t="s">
        <v>2669</v>
      </c>
      <c r="B158" s="4" t="s">
        <v>2671</v>
      </c>
      <c r="C158" s="4" t="s">
        <v>2672</v>
      </c>
      <c r="E158" s="4" t="s">
        <v>2673</v>
      </c>
      <c r="F158" s="4" t="s">
        <v>2675</v>
      </c>
      <c r="H158" s="4" t="e">
        <v>#N/A</v>
      </c>
      <c r="K158" s="4" t="s">
        <v>2677</v>
      </c>
      <c r="L158" s="4" t="s">
        <v>2679</v>
      </c>
      <c r="N158" s="4" t="s">
        <v>2680</v>
      </c>
      <c r="O158" s="4" t="s">
        <v>2681</v>
      </c>
    </row>
    <row r="159" spans="1:15" ht="13">
      <c r="A159" s="4" t="s">
        <v>2683</v>
      </c>
      <c r="B159" s="4" t="s">
        <v>2684</v>
      </c>
      <c r="C159" s="4" t="s">
        <v>2686</v>
      </c>
      <c r="E159" s="4" t="e">
        <v>#N/A</v>
      </c>
      <c r="H159" s="4" t="s">
        <v>2687</v>
      </c>
      <c r="I159" s="4" t="s">
        <v>2689</v>
      </c>
      <c r="K159" s="4" t="s">
        <v>2690</v>
      </c>
      <c r="L159" s="4" t="s">
        <v>2693</v>
      </c>
      <c r="N159" s="4" t="s">
        <v>2694</v>
      </c>
      <c r="O159" s="4" t="s">
        <v>2696</v>
      </c>
    </row>
    <row r="160" spans="1:15" ht="13">
      <c r="A160" s="4" t="s">
        <v>2697</v>
      </c>
      <c r="B160" s="4" t="s">
        <v>2699</v>
      </c>
      <c r="C160" s="4" t="s">
        <v>2700</v>
      </c>
      <c r="E160" s="4" t="s">
        <v>2701</v>
      </c>
      <c r="F160" s="4" t="s">
        <v>2703</v>
      </c>
      <c r="H160" s="4" t="e">
        <v>#N/A</v>
      </c>
      <c r="K160" s="4" t="s">
        <v>2705</v>
      </c>
      <c r="L160" s="4" t="s">
        <v>2707</v>
      </c>
      <c r="N160" s="4" t="s">
        <v>2708</v>
      </c>
      <c r="O160" s="4" t="s">
        <v>2710</v>
      </c>
    </row>
    <row r="161" spans="1:15" ht="13">
      <c r="A161" s="4" t="s">
        <v>2712</v>
      </c>
      <c r="B161" s="4" t="s">
        <v>2714</v>
      </c>
      <c r="C161" s="4" t="s">
        <v>2715</v>
      </c>
      <c r="E161" s="4" t="s">
        <v>2717</v>
      </c>
      <c r="F161" s="4" t="s">
        <v>2719</v>
      </c>
      <c r="H161" s="4" t="s">
        <v>2720</v>
      </c>
      <c r="I161" s="4" t="s">
        <v>2721</v>
      </c>
      <c r="K161" s="4" t="s">
        <v>2723</v>
      </c>
      <c r="L161" s="4" t="s">
        <v>2725</v>
      </c>
      <c r="N161" s="4" t="e">
        <v>#N/A</v>
      </c>
    </row>
    <row r="162" spans="1:15" ht="13">
      <c r="A162" s="4" t="s">
        <v>2727</v>
      </c>
      <c r="B162" s="4" t="e">
        <v>#N/A</v>
      </c>
      <c r="E162" s="4" t="s">
        <v>2728</v>
      </c>
      <c r="F162" s="4" t="s">
        <v>2730</v>
      </c>
      <c r="H162" s="4" t="s">
        <v>2731</v>
      </c>
      <c r="I162" s="4" t="s">
        <v>2733</v>
      </c>
      <c r="K162" s="4" t="s">
        <v>2735</v>
      </c>
      <c r="L162" s="4" t="s">
        <v>2736</v>
      </c>
      <c r="N162" s="4" t="s">
        <v>2738</v>
      </c>
      <c r="O162" s="4" t="s">
        <v>2740</v>
      </c>
    </row>
    <row r="163" spans="1:15" ht="13">
      <c r="A163" s="4" t="s">
        <v>2741</v>
      </c>
      <c r="B163" s="4" t="s">
        <v>2742</v>
      </c>
      <c r="C163" s="4" t="s">
        <v>2744</v>
      </c>
      <c r="E163" s="4" t="e">
        <v>#N/A</v>
      </c>
      <c r="H163" s="4" t="s">
        <v>2746</v>
      </c>
      <c r="I163" s="4" t="s">
        <v>2747</v>
      </c>
      <c r="K163" s="4" t="s">
        <v>2749</v>
      </c>
      <c r="L163" s="4" t="s">
        <v>2750</v>
      </c>
      <c r="N163" s="4" t="e">
        <v>#N/A</v>
      </c>
    </row>
    <row r="164" spans="1:15" ht="13">
      <c r="A164" s="4" t="s">
        <v>2753</v>
      </c>
      <c r="B164" s="4" t="s">
        <v>2754</v>
      </c>
      <c r="C164" s="4" t="s">
        <v>2756</v>
      </c>
      <c r="E164" s="4" t="e">
        <v>#N/A</v>
      </c>
      <c r="H164" s="4" t="e">
        <v>#N/A</v>
      </c>
      <c r="K164" s="4" t="s">
        <v>2758</v>
      </c>
      <c r="L164" s="4" t="s">
        <v>2760</v>
      </c>
      <c r="N164" s="4" t="e">
        <v>#N/A</v>
      </c>
    </row>
    <row r="165" spans="1:15" ht="13">
      <c r="A165" s="4" t="s">
        <v>2762</v>
      </c>
      <c r="B165" s="4" t="s">
        <v>2763</v>
      </c>
      <c r="C165" s="4" t="s">
        <v>2764</v>
      </c>
      <c r="E165" s="4" t="s">
        <v>2766</v>
      </c>
      <c r="F165" s="4" t="s">
        <v>2767</v>
      </c>
      <c r="H165" s="4" t="e">
        <v>#N/A</v>
      </c>
      <c r="K165" s="4" t="s">
        <v>2769</v>
      </c>
      <c r="L165" s="4" t="s">
        <v>2770</v>
      </c>
      <c r="N165" s="4" t="s">
        <v>2772</v>
      </c>
      <c r="O165" s="4" t="s">
        <v>2774</v>
      </c>
    </row>
    <row r="166" spans="1:15" ht="13">
      <c r="A166" s="4" t="s">
        <v>2776</v>
      </c>
      <c r="B166" s="4" t="s">
        <v>2778</v>
      </c>
      <c r="C166" s="4" t="s">
        <v>2779</v>
      </c>
      <c r="E166" s="4" t="s">
        <v>2780</v>
      </c>
      <c r="F166" s="4" t="s">
        <v>135</v>
      </c>
      <c r="G166" s="4" t="s">
        <v>2782</v>
      </c>
      <c r="H166" s="4" t="e">
        <v>#N/A</v>
      </c>
      <c r="K166" s="4" t="s">
        <v>2784</v>
      </c>
      <c r="L166" s="4" t="s">
        <v>2785</v>
      </c>
      <c r="N166" s="4" t="e">
        <v>#N/A</v>
      </c>
    </row>
    <row r="167" spans="1:15" ht="13">
      <c r="A167" s="4" t="s">
        <v>2787</v>
      </c>
      <c r="B167" s="4" t="s">
        <v>2789</v>
      </c>
      <c r="C167" s="4" t="s">
        <v>2790</v>
      </c>
      <c r="E167" s="4" t="e">
        <v>#N/A</v>
      </c>
      <c r="H167" s="4" t="e">
        <v>#N/A</v>
      </c>
      <c r="K167" s="4" t="s">
        <v>2792</v>
      </c>
      <c r="L167" s="4" t="s">
        <v>2794</v>
      </c>
      <c r="N167" s="4" t="s">
        <v>2795</v>
      </c>
      <c r="O167" s="4" t="s">
        <v>2797</v>
      </c>
    </row>
    <row r="168" spans="1:15" ht="13">
      <c r="A168" s="4" t="s">
        <v>2800</v>
      </c>
      <c r="B168" s="4" t="s">
        <v>2801</v>
      </c>
      <c r="C168" s="4" t="s">
        <v>2803</v>
      </c>
      <c r="E168" s="4" t="e">
        <v>#N/A</v>
      </c>
      <c r="H168" s="4" t="e">
        <v>#N/A</v>
      </c>
      <c r="K168" s="4" t="s">
        <v>2809</v>
      </c>
      <c r="L168" s="4" t="s">
        <v>2811</v>
      </c>
      <c r="N168" s="4" t="s">
        <v>2813</v>
      </c>
      <c r="O168" s="4" t="s">
        <v>2814</v>
      </c>
    </row>
    <row r="169" spans="1:15" ht="13">
      <c r="A169" s="4" t="s">
        <v>2816</v>
      </c>
      <c r="B169" s="4" t="s">
        <v>2817</v>
      </c>
      <c r="C169" s="4" t="s">
        <v>2818</v>
      </c>
      <c r="E169" s="4" t="s">
        <v>2820</v>
      </c>
      <c r="F169" s="4" t="s">
        <v>2821</v>
      </c>
      <c r="H169" s="4" t="s">
        <v>2822</v>
      </c>
      <c r="I169" s="4" t="s">
        <v>2824</v>
      </c>
      <c r="K169" s="4" t="s">
        <v>2825</v>
      </c>
      <c r="L169" s="4" t="s">
        <v>2827</v>
      </c>
      <c r="N169" s="4" t="s">
        <v>2828</v>
      </c>
      <c r="O169" s="4" t="s">
        <v>2830</v>
      </c>
    </row>
    <row r="170" spans="1:15" ht="13">
      <c r="A170" s="4" t="s">
        <v>2831</v>
      </c>
      <c r="B170" s="4" t="s">
        <v>2832</v>
      </c>
      <c r="C170" s="4" t="s">
        <v>2834</v>
      </c>
      <c r="E170" s="4" t="s">
        <v>2836</v>
      </c>
      <c r="F170" s="4" t="s">
        <v>2837</v>
      </c>
      <c r="H170" s="4" t="e">
        <v>#N/A</v>
      </c>
      <c r="K170" s="4" t="e">
        <v>#N/A</v>
      </c>
      <c r="N170" s="4" t="e">
        <v>#N/A</v>
      </c>
    </row>
    <row r="171" spans="1:15" ht="13">
      <c r="A171" s="4" t="s">
        <v>2842</v>
      </c>
      <c r="B171" s="4" t="e">
        <v>#N/A</v>
      </c>
      <c r="E171" s="4" t="s">
        <v>2843</v>
      </c>
      <c r="F171" s="4" t="s">
        <v>2846</v>
      </c>
      <c r="H171" s="4" t="s">
        <v>2847</v>
      </c>
      <c r="I171" s="4" t="s">
        <v>2849</v>
      </c>
      <c r="K171" s="4" t="s">
        <v>2851</v>
      </c>
      <c r="L171" s="4" t="s">
        <v>2852</v>
      </c>
      <c r="N171" s="4" t="e">
        <v>#N/A</v>
      </c>
    </row>
    <row r="172" spans="1:15" ht="13">
      <c r="A172" s="4" t="s">
        <v>2854</v>
      </c>
      <c r="B172" s="4" t="s">
        <v>2856</v>
      </c>
      <c r="C172" s="4" t="s">
        <v>2858</v>
      </c>
      <c r="E172" s="4" t="s">
        <v>2859</v>
      </c>
      <c r="F172" s="4" t="s">
        <v>2860</v>
      </c>
      <c r="H172" s="4" t="s">
        <v>2862</v>
      </c>
      <c r="I172" s="4" t="s">
        <v>2864</v>
      </c>
      <c r="K172" s="4" t="s">
        <v>2865</v>
      </c>
      <c r="L172" s="4" t="s">
        <v>2867</v>
      </c>
      <c r="N172" s="4" t="e">
        <v>#N/A</v>
      </c>
    </row>
    <row r="173" spans="1:15" ht="13">
      <c r="A173" s="4" t="s">
        <v>2869</v>
      </c>
      <c r="B173" s="4" t="s">
        <v>2871</v>
      </c>
      <c r="C173" s="4" t="s">
        <v>2873</v>
      </c>
      <c r="E173" s="4" t="s">
        <v>2874</v>
      </c>
      <c r="F173" s="4" t="s">
        <v>2875</v>
      </c>
      <c r="H173" s="4" t="s">
        <v>2876</v>
      </c>
      <c r="I173" s="4" t="s">
        <v>2877</v>
      </c>
      <c r="K173" s="4" t="e">
        <v>#N/A</v>
      </c>
      <c r="N173" s="4" t="s">
        <v>2879</v>
      </c>
      <c r="O173" s="4" t="s">
        <v>2880</v>
      </c>
    </row>
    <row r="174" spans="1:15" ht="13">
      <c r="A174" s="4" t="s">
        <v>2882</v>
      </c>
      <c r="B174" s="4" t="s">
        <v>2884</v>
      </c>
      <c r="C174" s="4" t="s">
        <v>2885</v>
      </c>
      <c r="E174" s="4" t="e">
        <v>#N/A</v>
      </c>
      <c r="H174" s="4" t="s">
        <v>2887</v>
      </c>
      <c r="I174" s="4" t="s">
        <v>2890</v>
      </c>
      <c r="K174" s="4" t="s">
        <v>2891</v>
      </c>
      <c r="L174" s="4" t="s">
        <v>2892</v>
      </c>
      <c r="N174" s="4" t="s">
        <v>2893</v>
      </c>
      <c r="O174" s="4" t="s">
        <v>2894</v>
      </c>
    </row>
    <row r="175" spans="1:15" ht="13">
      <c r="A175" s="4" t="s">
        <v>2896</v>
      </c>
      <c r="B175" s="4" t="e">
        <v>#N/A</v>
      </c>
      <c r="E175" s="4" t="s">
        <v>2899</v>
      </c>
      <c r="F175" s="4" t="s">
        <v>2900</v>
      </c>
      <c r="H175" s="4" t="s">
        <v>2902</v>
      </c>
      <c r="I175" s="4" t="s">
        <v>2903</v>
      </c>
      <c r="K175" s="4" t="s">
        <v>2905</v>
      </c>
      <c r="L175" s="4" t="s">
        <v>2907</v>
      </c>
      <c r="N175" s="4" t="e">
        <v>#N/A</v>
      </c>
    </row>
    <row r="176" spans="1:15" ht="13">
      <c r="A176" s="4" t="s">
        <v>2908</v>
      </c>
      <c r="B176" s="4" t="e">
        <v>#N/A</v>
      </c>
      <c r="E176" s="4" t="s">
        <v>2911</v>
      </c>
      <c r="F176" s="4" t="s">
        <v>2912</v>
      </c>
      <c r="H176" s="4" t="s">
        <v>2914</v>
      </c>
      <c r="I176" s="4" t="s">
        <v>2915</v>
      </c>
      <c r="K176" s="4" t="s">
        <v>2916</v>
      </c>
      <c r="L176" s="4" t="s">
        <v>2918</v>
      </c>
      <c r="N176" s="4" t="s">
        <v>2920</v>
      </c>
      <c r="O176" s="4" t="s">
        <v>2921</v>
      </c>
    </row>
    <row r="177" spans="1:15" ht="13">
      <c r="A177" s="4" t="s">
        <v>2923</v>
      </c>
      <c r="B177" s="4" t="s">
        <v>2925</v>
      </c>
      <c r="C177" s="4" t="s">
        <v>2926</v>
      </c>
      <c r="E177" s="4" t="s">
        <v>2928</v>
      </c>
      <c r="F177" s="4" t="s">
        <v>2930</v>
      </c>
      <c r="H177" s="4" t="e">
        <v>#N/A</v>
      </c>
      <c r="K177" s="4" t="e">
        <v>#N/A</v>
      </c>
      <c r="N177" s="4" t="s">
        <v>2933</v>
      </c>
      <c r="O177" s="4" t="s">
        <v>2934</v>
      </c>
    </row>
    <row r="178" spans="1:15" ht="13">
      <c r="A178" s="4" t="s">
        <v>2935</v>
      </c>
      <c r="B178" s="4" t="s">
        <v>2936</v>
      </c>
      <c r="C178" s="4" t="s">
        <v>2938</v>
      </c>
      <c r="E178" s="4" t="s">
        <v>2939</v>
      </c>
      <c r="F178" s="4" t="s">
        <v>2941</v>
      </c>
      <c r="H178" s="4" t="s">
        <v>2943</v>
      </c>
      <c r="I178" s="4" t="s">
        <v>2944</v>
      </c>
      <c r="K178" s="4" t="e">
        <v>#N/A</v>
      </c>
      <c r="N178" s="4" t="s">
        <v>2946</v>
      </c>
      <c r="O178" s="4" t="s">
        <v>2948</v>
      </c>
    </row>
    <row r="179" spans="1:15" ht="13">
      <c r="A179" s="4" t="s">
        <v>2951</v>
      </c>
      <c r="B179" s="4" t="s">
        <v>2952</v>
      </c>
      <c r="C179" s="4" t="s">
        <v>2954</v>
      </c>
      <c r="E179" s="4" t="e">
        <v>#N/A</v>
      </c>
      <c r="H179" s="4" t="s">
        <v>2957</v>
      </c>
      <c r="I179" s="4" t="s">
        <v>2959</v>
      </c>
      <c r="K179" s="4" t="s">
        <v>2960</v>
      </c>
      <c r="L179" s="4" t="s">
        <v>2962</v>
      </c>
      <c r="N179" s="4" t="s">
        <v>2963</v>
      </c>
      <c r="O179" s="4" t="s">
        <v>2965</v>
      </c>
    </row>
    <row r="180" spans="1:15" ht="13">
      <c r="A180" s="4" t="s">
        <v>2966</v>
      </c>
      <c r="B180" s="4" t="e">
        <v>#N/A</v>
      </c>
      <c r="E180" s="4" t="s">
        <v>2969</v>
      </c>
      <c r="F180" s="4" t="s">
        <v>2970</v>
      </c>
      <c r="H180" s="4" t="s">
        <v>2971</v>
      </c>
      <c r="I180" s="4" t="s">
        <v>2973</v>
      </c>
      <c r="K180" s="4" t="s">
        <v>2975</v>
      </c>
      <c r="L180" s="4" t="s">
        <v>2976</v>
      </c>
      <c r="N180" s="4" t="e">
        <v>#N/A</v>
      </c>
    </row>
    <row r="181" spans="1:15" ht="13">
      <c r="A181" s="4" t="s">
        <v>2979</v>
      </c>
      <c r="B181" s="4" t="s">
        <v>2980</v>
      </c>
      <c r="C181" s="4" t="s">
        <v>2982</v>
      </c>
      <c r="E181" s="4" t="s">
        <v>2984</v>
      </c>
      <c r="F181" s="4" t="s">
        <v>2985</v>
      </c>
      <c r="H181" s="4" t="s">
        <v>2987</v>
      </c>
      <c r="I181" s="4" t="s">
        <v>2988</v>
      </c>
      <c r="K181" s="4" t="s">
        <v>2990</v>
      </c>
      <c r="L181" s="4" t="s">
        <v>2991</v>
      </c>
      <c r="N181" s="4" t="s">
        <v>2992</v>
      </c>
      <c r="O181" s="4" t="s">
        <v>2994</v>
      </c>
    </row>
    <row r="182" spans="1:15" ht="13">
      <c r="A182" s="4" t="s">
        <v>2995</v>
      </c>
      <c r="B182" s="4" t="s">
        <v>2997</v>
      </c>
      <c r="C182" s="4" t="s">
        <v>2998</v>
      </c>
      <c r="E182" s="4" t="s">
        <v>3000</v>
      </c>
      <c r="F182" s="4" t="s">
        <v>3001</v>
      </c>
      <c r="H182" s="4" t="s">
        <v>3003</v>
      </c>
      <c r="I182" s="4" t="s">
        <v>3004</v>
      </c>
      <c r="K182" s="4" t="s">
        <v>3006</v>
      </c>
      <c r="L182" s="4" t="s">
        <v>3007</v>
      </c>
      <c r="N182" s="4" t="s">
        <v>3008</v>
      </c>
      <c r="O182" s="4" t="s">
        <v>3009</v>
      </c>
    </row>
    <row r="183" spans="1:15" ht="13">
      <c r="A183" s="4" t="s">
        <v>3011</v>
      </c>
      <c r="B183" s="4" t="s">
        <v>3012</v>
      </c>
      <c r="C183" s="4" t="s">
        <v>3014</v>
      </c>
      <c r="E183" s="4" t="s">
        <v>3016</v>
      </c>
      <c r="F183" s="4" t="s">
        <v>3018</v>
      </c>
      <c r="H183" s="4" t="s">
        <v>3020</v>
      </c>
      <c r="I183" s="4" t="s">
        <v>3021</v>
      </c>
      <c r="K183" s="4" t="e">
        <v>#N/A</v>
      </c>
      <c r="N183" s="4" t="s">
        <v>3025</v>
      </c>
      <c r="O183" s="4" t="s">
        <v>3026</v>
      </c>
    </row>
    <row r="184" spans="1:15" ht="13">
      <c r="A184" s="4" t="s">
        <v>3029</v>
      </c>
      <c r="B184" s="4" t="s">
        <v>3030</v>
      </c>
      <c r="C184" s="4" t="s">
        <v>3032</v>
      </c>
      <c r="E184" s="4" t="s">
        <v>3034</v>
      </c>
      <c r="F184" s="4" t="s">
        <v>3036</v>
      </c>
      <c r="H184" s="4" t="e">
        <v>#N/A</v>
      </c>
      <c r="K184" s="4" t="s">
        <v>3039</v>
      </c>
      <c r="L184" s="4" t="s">
        <v>3040</v>
      </c>
      <c r="N184" s="4" t="e">
        <v>#N/A</v>
      </c>
    </row>
    <row r="185" spans="1:15" ht="13">
      <c r="A185" s="4" t="s">
        <v>3042</v>
      </c>
      <c r="B185" s="4" t="s">
        <v>3044</v>
      </c>
      <c r="C185" s="4" t="s">
        <v>3045</v>
      </c>
      <c r="E185" s="4" t="s">
        <v>3046</v>
      </c>
      <c r="F185" s="4" t="s">
        <v>3048</v>
      </c>
      <c r="H185" s="4" t="s">
        <v>3050</v>
      </c>
      <c r="I185" s="4" t="s">
        <v>3052</v>
      </c>
      <c r="K185" s="4" t="s">
        <v>3053</v>
      </c>
      <c r="L185" s="4" t="s">
        <v>3055</v>
      </c>
      <c r="N185" s="4" t="s">
        <v>3056</v>
      </c>
      <c r="O185" s="4" t="s">
        <v>3058</v>
      </c>
    </row>
    <row r="186" spans="1:15" ht="13">
      <c r="A186" s="4" t="s">
        <v>3060</v>
      </c>
      <c r="B186" s="4" t="s">
        <v>3061</v>
      </c>
      <c r="C186" s="4" t="s">
        <v>3063</v>
      </c>
      <c r="E186" s="4" t="s">
        <v>3065</v>
      </c>
      <c r="F186" s="4" t="s">
        <v>3066</v>
      </c>
      <c r="H186" s="4" t="s">
        <v>3067</v>
      </c>
      <c r="I186" s="4" t="s">
        <v>3068</v>
      </c>
      <c r="K186" s="4" t="e">
        <v>#N/A</v>
      </c>
      <c r="N186" s="4" t="s">
        <v>3070</v>
      </c>
      <c r="O186" s="4" t="s">
        <v>3072</v>
      </c>
    </row>
    <row r="187" spans="1:15" ht="13">
      <c r="A187" s="4" t="s">
        <v>3073</v>
      </c>
      <c r="B187" s="4" t="s">
        <v>3074</v>
      </c>
      <c r="C187" s="4" t="s">
        <v>3076</v>
      </c>
      <c r="E187" s="4" t="s">
        <v>3077</v>
      </c>
      <c r="F187" s="4" t="s">
        <v>135</v>
      </c>
      <c r="G187" s="4" t="s">
        <v>3080</v>
      </c>
      <c r="H187" s="4" t="s">
        <v>3081</v>
      </c>
      <c r="I187" s="4" t="s">
        <v>3082</v>
      </c>
      <c r="K187" s="4" t="s">
        <v>3083</v>
      </c>
      <c r="L187" s="4" t="s">
        <v>3085</v>
      </c>
      <c r="N187" s="4" t="s">
        <v>3087</v>
      </c>
      <c r="O187" s="4" t="s">
        <v>3088</v>
      </c>
    </row>
    <row r="188" spans="1:15" ht="13">
      <c r="A188" s="4" t="s">
        <v>3089</v>
      </c>
      <c r="B188" s="4" t="s">
        <v>3091</v>
      </c>
      <c r="C188" s="4" t="s">
        <v>3092</v>
      </c>
      <c r="E188" s="4" t="e">
        <v>#N/A</v>
      </c>
      <c r="H188" s="4" t="s">
        <v>3094</v>
      </c>
      <c r="I188" s="4" t="s">
        <v>3096</v>
      </c>
      <c r="K188" s="4" t="e">
        <v>#N/A</v>
      </c>
      <c r="N188" s="4" t="s">
        <v>3098</v>
      </c>
      <c r="O188" s="4" t="s">
        <v>3100</v>
      </c>
    </row>
    <row r="189" spans="1:15" ht="13">
      <c r="A189" s="4" t="s">
        <v>3101</v>
      </c>
      <c r="B189" s="4" t="s">
        <v>3102</v>
      </c>
      <c r="C189" s="4" t="s">
        <v>3103</v>
      </c>
      <c r="E189" s="4" t="e">
        <v>#N/A</v>
      </c>
      <c r="H189" s="4" t="s">
        <v>3106</v>
      </c>
      <c r="I189" s="4" t="s">
        <v>3107</v>
      </c>
      <c r="K189" s="4" t="s">
        <v>3109</v>
      </c>
      <c r="L189" s="4" t="s">
        <v>3111</v>
      </c>
      <c r="N189" s="4" t="e">
        <v>#N/A</v>
      </c>
    </row>
    <row r="190" spans="1:15" ht="13">
      <c r="A190" s="4" t="s">
        <v>3113</v>
      </c>
      <c r="B190" s="4" t="s">
        <v>3115</v>
      </c>
      <c r="C190" s="4" t="s">
        <v>3116</v>
      </c>
      <c r="E190" s="4" t="s">
        <v>3118</v>
      </c>
      <c r="F190" s="4" t="s">
        <v>3120</v>
      </c>
      <c r="H190" s="4" t="s">
        <v>3121</v>
      </c>
      <c r="I190" s="4" t="s">
        <v>3122</v>
      </c>
      <c r="K190" s="4" t="s">
        <v>3124</v>
      </c>
      <c r="L190" s="4" t="s">
        <v>3126</v>
      </c>
      <c r="N190" s="4" t="e">
        <v>#N/A</v>
      </c>
    </row>
    <row r="191" spans="1:15" ht="13">
      <c r="A191" s="4" t="s">
        <v>3128</v>
      </c>
      <c r="B191" s="4" t="s">
        <v>3129</v>
      </c>
      <c r="C191" s="4" t="s">
        <v>3130</v>
      </c>
      <c r="E191" s="4" t="s">
        <v>3131</v>
      </c>
      <c r="F191" s="4" t="s">
        <v>3133</v>
      </c>
      <c r="H191" s="4" t="s">
        <v>3135</v>
      </c>
      <c r="I191" s="4" t="s">
        <v>3136</v>
      </c>
      <c r="K191" s="4" t="e">
        <v>#N/A</v>
      </c>
      <c r="N191" s="4" t="e">
        <v>#N/A</v>
      </c>
    </row>
    <row r="192" spans="1:15" ht="13">
      <c r="A192" s="4" t="s">
        <v>3140</v>
      </c>
      <c r="B192" s="4" t="s">
        <v>3141</v>
      </c>
      <c r="C192" s="4" t="s">
        <v>3143</v>
      </c>
      <c r="E192" s="4" t="e">
        <v>#N/A</v>
      </c>
      <c r="H192" s="4" t="s">
        <v>3145</v>
      </c>
      <c r="I192" s="4" t="s">
        <v>3147</v>
      </c>
      <c r="K192" s="4" t="s">
        <v>3148</v>
      </c>
      <c r="L192" s="4" t="s">
        <v>3150</v>
      </c>
      <c r="N192" s="4" t="s">
        <v>3151</v>
      </c>
      <c r="O192" s="4" t="s">
        <v>3153</v>
      </c>
    </row>
    <row r="193" spans="1:15" ht="13">
      <c r="A193" s="4" t="s">
        <v>3154</v>
      </c>
      <c r="B193" s="4" t="s">
        <v>3156</v>
      </c>
      <c r="C193" s="4" t="s">
        <v>3158</v>
      </c>
      <c r="E193" s="4" t="s">
        <v>3159</v>
      </c>
      <c r="F193" s="4" t="s">
        <v>3161</v>
      </c>
      <c r="H193" s="4" t="s">
        <v>3162</v>
      </c>
      <c r="I193" s="4" t="s">
        <v>3164</v>
      </c>
      <c r="K193" s="4" t="s">
        <v>3166</v>
      </c>
      <c r="L193" s="4" t="s">
        <v>3167</v>
      </c>
      <c r="N193" s="4" t="s">
        <v>3169</v>
      </c>
      <c r="O193" s="4" t="s">
        <v>3172</v>
      </c>
    </row>
    <row r="194" spans="1:15" ht="13">
      <c r="A194" s="4" t="s">
        <v>3174</v>
      </c>
      <c r="B194" s="4" t="s">
        <v>3176</v>
      </c>
      <c r="C194" s="4" t="s">
        <v>3178</v>
      </c>
      <c r="E194" s="4" t="s">
        <v>3179</v>
      </c>
      <c r="F194" s="4" t="s">
        <v>3180</v>
      </c>
      <c r="H194" s="4" t="s">
        <v>3181</v>
      </c>
      <c r="I194" s="4" t="s">
        <v>3182</v>
      </c>
      <c r="K194" s="4" t="s">
        <v>3183</v>
      </c>
      <c r="L194" s="4" t="s">
        <v>3185</v>
      </c>
      <c r="N194" s="4" t="e">
        <v>#N/A</v>
      </c>
    </row>
    <row r="195" spans="1:15" ht="13">
      <c r="A195" s="4" t="s">
        <v>3187</v>
      </c>
      <c r="B195" s="4" t="s">
        <v>3188</v>
      </c>
      <c r="C195" s="4" t="s">
        <v>3190</v>
      </c>
      <c r="E195" s="4" t="e">
        <v>#N/A</v>
      </c>
      <c r="H195" s="4" t="s">
        <v>3192</v>
      </c>
      <c r="I195" s="4" t="s">
        <v>3193</v>
      </c>
      <c r="K195" s="4" t="s">
        <v>3195</v>
      </c>
      <c r="L195" s="4" t="s">
        <v>3197</v>
      </c>
      <c r="N195" s="4" t="s">
        <v>3198</v>
      </c>
      <c r="O195" s="4" t="s">
        <v>3199</v>
      </c>
    </row>
    <row r="196" spans="1:15" ht="13">
      <c r="A196" s="4" t="s">
        <v>3200</v>
      </c>
      <c r="B196" s="4" t="s">
        <v>3201</v>
      </c>
      <c r="C196" s="4" t="s">
        <v>3202</v>
      </c>
      <c r="E196" s="4" t="e">
        <v>#N/A</v>
      </c>
      <c r="H196" s="4" t="s">
        <v>3203</v>
      </c>
      <c r="I196" s="4" t="s">
        <v>3204</v>
      </c>
      <c r="K196" s="4" t="s">
        <v>3205</v>
      </c>
      <c r="L196" s="4" t="s">
        <v>3206</v>
      </c>
      <c r="N196" s="4" t="e">
        <v>#N/A</v>
      </c>
    </row>
    <row r="197" spans="1:15" ht="13">
      <c r="A197" s="4" t="s">
        <v>3208</v>
      </c>
      <c r="B197" s="4" t="s">
        <v>3210</v>
      </c>
      <c r="C197" s="4" t="s">
        <v>3211</v>
      </c>
      <c r="E197" s="4" t="s">
        <v>3212</v>
      </c>
      <c r="F197" s="4" t="s">
        <v>3214</v>
      </c>
      <c r="H197" s="4" t="s">
        <v>3215</v>
      </c>
      <c r="I197" s="4" t="s">
        <v>3217</v>
      </c>
      <c r="K197" s="4" t="s">
        <v>3218</v>
      </c>
      <c r="L197" s="4" t="s">
        <v>3220</v>
      </c>
      <c r="N197" s="4" t="s">
        <v>3221</v>
      </c>
      <c r="O197" s="4" t="s">
        <v>3222</v>
      </c>
    </row>
    <row r="198" spans="1:15" ht="13">
      <c r="A198" s="4" t="s">
        <v>3224</v>
      </c>
      <c r="B198" s="4" t="s">
        <v>3225</v>
      </c>
      <c r="C198" s="4" t="s">
        <v>3226</v>
      </c>
      <c r="E198" s="4" t="e">
        <v>#N/A</v>
      </c>
      <c r="H198" s="4" t="s">
        <v>3231</v>
      </c>
      <c r="I198" s="4" t="s">
        <v>3233</v>
      </c>
      <c r="K198" s="4" t="s">
        <v>3234</v>
      </c>
      <c r="L198" s="4" t="s">
        <v>3236</v>
      </c>
      <c r="N198" s="4" t="s">
        <v>3238</v>
      </c>
      <c r="O198" s="4" t="s">
        <v>3239</v>
      </c>
    </row>
    <row r="199" spans="1:15" ht="13">
      <c r="A199" s="4" t="s">
        <v>3241</v>
      </c>
      <c r="B199" s="4" t="e">
        <v>#N/A</v>
      </c>
      <c r="E199" s="4" t="s">
        <v>3243</v>
      </c>
      <c r="F199" s="4" t="s">
        <v>3245</v>
      </c>
      <c r="H199" s="4" t="s">
        <v>3246</v>
      </c>
      <c r="I199" s="4" t="s">
        <v>3248</v>
      </c>
      <c r="K199" s="4" t="s">
        <v>3249</v>
      </c>
      <c r="L199" s="4" t="s">
        <v>3251</v>
      </c>
      <c r="N199" s="4" t="e">
        <v>#N/A</v>
      </c>
    </row>
    <row r="200" spans="1:15" ht="13">
      <c r="A200" s="4" t="s">
        <v>3253</v>
      </c>
      <c r="B200" s="4" t="s">
        <v>3255</v>
      </c>
      <c r="C200" s="4" t="s">
        <v>3256</v>
      </c>
      <c r="E200" s="4" t="s">
        <v>3257</v>
      </c>
      <c r="F200" s="4" t="s">
        <v>3259</v>
      </c>
      <c r="H200" s="4" t="s">
        <v>3262</v>
      </c>
      <c r="I200" s="4" t="s">
        <v>3264</v>
      </c>
      <c r="K200" s="4" t="s">
        <v>3266</v>
      </c>
      <c r="L200" s="4" t="s">
        <v>3268</v>
      </c>
      <c r="N200" s="4" t="s">
        <v>3270</v>
      </c>
      <c r="O200" s="4" t="s">
        <v>3273</v>
      </c>
    </row>
    <row r="201" spans="1:15" ht="13">
      <c r="A201" s="4" t="s">
        <v>3275</v>
      </c>
      <c r="B201" s="4" t="s">
        <v>3277</v>
      </c>
      <c r="C201" s="4" t="s">
        <v>3279</v>
      </c>
      <c r="E201" s="4" t="s">
        <v>3281</v>
      </c>
      <c r="F201" s="4" t="s">
        <v>3283</v>
      </c>
      <c r="H201" s="4" t="s">
        <v>3285</v>
      </c>
      <c r="I201" s="4" t="s">
        <v>3288</v>
      </c>
      <c r="K201" s="4" t="e">
        <v>#N/A</v>
      </c>
      <c r="N201" s="4" t="s">
        <v>3290</v>
      </c>
      <c r="O201" s="4" t="s">
        <v>3292</v>
      </c>
    </row>
    <row r="202" spans="1:15" ht="13">
      <c r="A202" s="4" t="s">
        <v>3294</v>
      </c>
      <c r="B202" s="4" t="e">
        <v>#N/A</v>
      </c>
      <c r="E202" s="4" t="s">
        <v>3295</v>
      </c>
      <c r="F202" s="4" t="s">
        <v>3297</v>
      </c>
      <c r="H202" s="4" t="s">
        <v>3298</v>
      </c>
      <c r="I202" s="4" t="s">
        <v>3299</v>
      </c>
      <c r="K202" s="4" t="s">
        <v>3300</v>
      </c>
      <c r="L202" s="4" t="s">
        <v>3302</v>
      </c>
      <c r="N202" s="4" t="s">
        <v>3303</v>
      </c>
      <c r="O202" s="4" t="s">
        <v>3306</v>
      </c>
    </row>
    <row r="203" spans="1:15" ht="13">
      <c r="A203" s="4" t="s">
        <v>3309</v>
      </c>
      <c r="B203" s="4" t="s">
        <v>3311</v>
      </c>
      <c r="C203" s="4" t="s">
        <v>3313</v>
      </c>
      <c r="E203" s="4" t="s">
        <v>3315</v>
      </c>
      <c r="F203" s="4" t="s">
        <v>3317</v>
      </c>
      <c r="H203" s="4" t="s">
        <v>3319</v>
      </c>
      <c r="I203" s="4" t="s">
        <v>3321</v>
      </c>
      <c r="K203" s="4" t="e">
        <v>#N/A</v>
      </c>
      <c r="N203" s="4" t="e">
        <v>#N/A</v>
      </c>
    </row>
    <row r="204" spans="1:15" ht="13">
      <c r="A204" s="4" t="s">
        <v>3325</v>
      </c>
      <c r="B204" s="4" t="s">
        <v>3327</v>
      </c>
      <c r="C204" s="4" t="s">
        <v>3328</v>
      </c>
      <c r="E204" s="4" t="s">
        <v>3330</v>
      </c>
      <c r="F204" s="4" t="s">
        <v>3332</v>
      </c>
      <c r="H204" s="4" t="e">
        <v>#N/A</v>
      </c>
      <c r="K204" s="4" t="e">
        <v>#N/A</v>
      </c>
      <c r="N204" s="4" t="s">
        <v>3335</v>
      </c>
      <c r="O204" s="4" t="s">
        <v>3336</v>
      </c>
    </row>
    <row r="205" spans="1:15" ht="13">
      <c r="A205" s="4" t="s">
        <v>3338</v>
      </c>
      <c r="B205" s="4" t="s">
        <v>3340</v>
      </c>
      <c r="C205" s="4" t="s">
        <v>3342</v>
      </c>
      <c r="E205" s="4" t="s">
        <v>3344</v>
      </c>
      <c r="F205" s="4" t="s">
        <v>3345</v>
      </c>
      <c r="H205" s="4" t="s">
        <v>3346</v>
      </c>
      <c r="I205" s="4" t="s">
        <v>3348</v>
      </c>
      <c r="K205" s="4" t="s">
        <v>3349</v>
      </c>
      <c r="L205" s="4" t="s">
        <v>3351</v>
      </c>
      <c r="N205" s="4" t="s">
        <v>3352</v>
      </c>
      <c r="O205" s="4" t="s">
        <v>3355</v>
      </c>
    </row>
    <row r="206" spans="1:15" ht="13">
      <c r="A206" s="4" t="s">
        <v>3356</v>
      </c>
      <c r="B206" s="4" t="e">
        <v>#N/A</v>
      </c>
      <c r="E206" s="4" t="s">
        <v>3359</v>
      </c>
      <c r="F206" s="4" t="s">
        <v>3362</v>
      </c>
      <c r="H206" s="4" t="s">
        <v>3364</v>
      </c>
      <c r="I206" s="4" t="s">
        <v>3366</v>
      </c>
      <c r="K206" s="4" t="s">
        <v>3369</v>
      </c>
      <c r="L206" s="4" t="s">
        <v>3371</v>
      </c>
      <c r="N206" s="4" t="s">
        <v>3373</v>
      </c>
      <c r="O206" s="4" t="s">
        <v>3375</v>
      </c>
    </row>
    <row r="207" spans="1:15" ht="13">
      <c r="A207" s="4" t="s">
        <v>3378</v>
      </c>
      <c r="B207" s="4" t="s">
        <v>3380</v>
      </c>
      <c r="C207" s="4" t="s">
        <v>3383</v>
      </c>
      <c r="E207" s="4" t="e">
        <v>#N/A</v>
      </c>
      <c r="H207" s="4" t="s">
        <v>3387</v>
      </c>
      <c r="I207" s="4" t="s">
        <v>3389</v>
      </c>
      <c r="K207" s="4" t="s">
        <v>3390</v>
      </c>
      <c r="L207" s="4" t="s">
        <v>3392</v>
      </c>
      <c r="N207" s="4" t="e">
        <v>#N/A</v>
      </c>
    </row>
    <row r="208" spans="1:15" ht="13">
      <c r="A208" s="4" t="s">
        <v>3396</v>
      </c>
      <c r="B208" s="4" t="s">
        <v>3397</v>
      </c>
      <c r="C208" s="4" t="s">
        <v>3399</v>
      </c>
      <c r="E208" s="4" t="s">
        <v>3401</v>
      </c>
      <c r="F208" s="4" t="s">
        <v>3402</v>
      </c>
      <c r="H208" s="4" t="s">
        <v>3404</v>
      </c>
      <c r="I208" s="4" t="s">
        <v>3407</v>
      </c>
      <c r="K208" s="4" t="e">
        <v>#N/A</v>
      </c>
      <c r="N208" s="4" t="e">
        <v>#N/A</v>
      </c>
    </row>
    <row r="209" spans="1:15" ht="13">
      <c r="A209" s="4" t="s">
        <v>3410</v>
      </c>
      <c r="B209" s="4" t="s">
        <v>3412</v>
      </c>
      <c r="C209" s="4" t="s">
        <v>3414</v>
      </c>
      <c r="E209" s="4" t="e">
        <v>#N/A</v>
      </c>
      <c r="H209" s="4" t="e">
        <v>#N/A</v>
      </c>
      <c r="K209" s="4" t="s">
        <v>3418</v>
      </c>
      <c r="L209" s="4" t="s">
        <v>3421</v>
      </c>
      <c r="N209" s="4" t="s">
        <v>3422</v>
      </c>
      <c r="O209" s="4" t="s">
        <v>3424</v>
      </c>
    </row>
    <row r="210" spans="1:15" ht="13">
      <c r="A210" s="4" t="s">
        <v>3427</v>
      </c>
      <c r="B210" s="4" t="s">
        <v>3429</v>
      </c>
      <c r="C210" s="4" t="s">
        <v>3431</v>
      </c>
      <c r="E210" s="4" t="s">
        <v>3434</v>
      </c>
      <c r="F210" s="4" t="s">
        <v>3436</v>
      </c>
      <c r="H210" s="4" t="s">
        <v>3439</v>
      </c>
      <c r="I210" s="4" t="s">
        <v>3441</v>
      </c>
      <c r="K210" s="4" t="e">
        <v>#N/A</v>
      </c>
      <c r="N210" s="4" t="s">
        <v>3444</v>
      </c>
      <c r="O210" s="4" t="s">
        <v>3447</v>
      </c>
    </row>
    <row r="211" spans="1:15" ht="13">
      <c r="A211" s="4" t="s">
        <v>3450</v>
      </c>
      <c r="B211" s="4" t="s">
        <v>3452</v>
      </c>
      <c r="C211" s="4" t="s">
        <v>3454</v>
      </c>
      <c r="E211" s="4" t="e">
        <v>#N/A</v>
      </c>
      <c r="H211" s="4" t="s">
        <v>3457</v>
      </c>
      <c r="I211" s="4" t="s">
        <v>3459</v>
      </c>
      <c r="K211" s="4" t="s">
        <v>3461</v>
      </c>
      <c r="L211" s="4" t="s">
        <v>3463</v>
      </c>
      <c r="N211" s="4" t="e">
        <v>#N/A</v>
      </c>
    </row>
    <row r="212" spans="1:15" ht="13">
      <c r="A212" s="4" t="s">
        <v>3467</v>
      </c>
      <c r="B212" s="4" t="s">
        <v>3470</v>
      </c>
      <c r="C212" s="4" t="s">
        <v>3471</v>
      </c>
      <c r="E212" s="4" t="s">
        <v>3473</v>
      </c>
      <c r="F212" s="4" t="s">
        <v>3476</v>
      </c>
      <c r="H212" s="4" t="s">
        <v>3479</v>
      </c>
      <c r="I212" s="4" t="s">
        <v>3480</v>
      </c>
      <c r="K212" s="4" t="s">
        <v>3483</v>
      </c>
      <c r="L212" s="4" t="s">
        <v>3486</v>
      </c>
      <c r="N212" s="4" t="s">
        <v>3488</v>
      </c>
      <c r="O212" s="4" t="s">
        <v>3489</v>
      </c>
    </row>
    <row r="213" spans="1:15" ht="13">
      <c r="A213" s="4" t="s">
        <v>3491</v>
      </c>
      <c r="B213" s="4" t="s">
        <v>3493</v>
      </c>
      <c r="C213" s="4" t="s">
        <v>3495</v>
      </c>
      <c r="E213" s="4"/>
      <c r="H213" s="4" t="s">
        <v>3498</v>
      </c>
      <c r="I213" s="4" t="s">
        <v>3500</v>
      </c>
      <c r="K213" s="4" t="e">
        <v>#N/A</v>
      </c>
      <c r="N213" s="4" t="e">
        <v>#N/A</v>
      </c>
    </row>
    <row r="214" spans="1:15" ht="13">
      <c r="A214" s="4" t="s">
        <v>3503</v>
      </c>
      <c r="B214" s="4" t="e">
        <v>#N/A</v>
      </c>
      <c r="E214" s="4" t="e">
        <v>#N/A</v>
      </c>
      <c r="H214" s="4" t="s">
        <v>3506</v>
      </c>
      <c r="I214" s="4" t="s">
        <v>3509</v>
      </c>
      <c r="K214" s="4" t="e">
        <v>#N/A</v>
      </c>
      <c r="N214" s="4" t="s">
        <v>3511</v>
      </c>
      <c r="O214" s="4" t="s">
        <v>3513</v>
      </c>
    </row>
    <row r="215" spans="1:15" ht="13">
      <c r="A215" s="4" t="s">
        <v>3515</v>
      </c>
      <c r="B215" s="4" t="e">
        <v>#N/A</v>
      </c>
      <c r="E215" s="4" t="s">
        <v>3518</v>
      </c>
      <c r="F215" s="4" t="s">
        <v>3519</v>
      </c>
      <c r="H215" s="4" t="s">
        <v>3521</v>
      </c>
      <c r="I215" s="4" t="s">
        <v>3523</v>
      </c>
      <c r="K215" s="4" t="s">
        <v>3525</v>
      </c>
      <c r="L215" s="4" t="s">
        <v>3529</v>
      </c>
      <c r="N215" s="4" t="s">
        <v>3531</v>
      </c>
      <c r="O215" s="4" t="s">
        <v>3533</v>
      </c>
    </row>
    <row r="216" spans="1:15" ht="13">
      <c r="A216" s="4" t="s">
        <v>3535</v>
      </c>
      <c r="B216" s="4" t="e">
        <v>#N/A</v>
      </c>
      <c r="E216" s="4" t="s">
        <v>3538</v>
      </c>
      <c r="F216" s="4" t="s">
        <v>3539</v>
      </c>
      <c r="H216" s="4" t="s">
        <v>3540</v>
      </c>
      <c r="I216" s="4" t="s">
        <v>3541</v>
      </c>
      <c r="K216" s="4" t="s">
        <v>3543</v>
      </c>
      <c r="L216" s="4" t="s">
        <v>3546</v>
      </c>
      <c r="N216" s="4" t="s">
        <v>3547</v>
      </c>
      <c r="O216" s="4" t="s">
        <v>3549</v>
      </c>
    </row>
    <row r="217" spans="1:15" ht="13">
      <c r="A217" s="4" t="s">
        <v>3551</v>
      </c>
      <c r="B217" s="4" t="s">
        <v>3553</v>
      </c>
      <c r="C217" s="4" t="s">
        <v>3555</v>
      </c>
      <c r="E217" s="4" t="s">
        <v>3557</v>
      </c>
      <c r="F217" s="4" t="s">
        <v>3559</v>
      </c>
      <c r="H217" s="4" t="e">
        <v>#N/A</v>
      </c>
      <c r="K217" s="4" t="s">
        <v>3561</v>
      </c>
      <c r="L217" s="4" t="s">
        <v>3564</v>
      </c>
      <c r="N217" s="4" t="s">
        <v>3565</v>
      </c>
      <c r="O217" s="4" t="s">
        <v>3566</v>
      </c>
    </row>
    <row r="218" spans="1:15" ht="13">
      <c r="A218" s="4" t="s">
        <v>3567</v>
      </c>
      <c r="B218" s="4" t="s">
        <v>3568</v>
      </c>
      <c r="C218" s="4" t="s">
        <v>3570</v>
      </c>
      <c r="E218" s="4" t="s">
        <v>3571</v>
      </c>
      <c r="F218" s="4" t="s">
        <v>3573</v>
      </c>
      <c r="H218" s="4" t="s">
        <v>3574</v>
      </c>
      <c r="I218" s="4" t="s">
        <v>3575</v>
      </c>
      <c r="K218" s="4" t="s">
        <v>3576</v>
      </c>
      <c r="L218" s="4" t="s">
        <v>3577</v>
      </c>
      <c r="N218" s="4" t="s">
        <v>3579</v>
      </c>
      <c r="O218" s="4" t="s">
        <v>3580</v>
      </c>
    </row>
    <row r="219" spans="1:15" ht="13">
      <c r="A219" s="4" t="s">
        <v>3583</v>
      </c>
      <c r="B219" s="4" t="e">
        <v>#N/A</v>
      </c>
      <c r="E219" s="4" t="e">
        <v>#N/A</v>
      </c>
      <c r="H219" s="4" t="s">
        <v>3588</v>
      </c>
      <c r="I219" s="4" t="s">
        <v>3590</v>
      </c>
      <c r="K219" s="4" t="e">
        <v>#N/A</v>
      </c>
      <c r="N219" s="4" t="s">
        <v>3593</v>
      </c>
      <c r="O219" s="4" t="s">
        <v>3595</v>
      </c>
    </row>
    <row r="220" spans="1:15" ht="13">
      <c r="A220" s="4" t="s">
        <v>3597</v>
      </c>
      <c r="B220" s="4" t="s">
        <v>3599</v>
      </c>
      <c r="C220" s="4" t="s">
        <v>3601</v>
      </c>
      <c r="E220" s="4" t="s">
        <v>3603</v>
      </c>
      <c r="F220" s="4" t="s">
        <v>3605</v>
      </c>
      <c r="H220" s="4" t="e">
        <v>#N/A</v>
      </c>
      <c r="K220" s="4" t="s">
        <v>3608</v>
      </c>
      <c r="L220" s="4" t="s">
        <v>3609</v>
      </c>
      <c r="N220" s="4" t="s">
        <v>3611</v>
      </c>
      <c r="O220" s="4" t="s">
        <v>3613</v>
      </c>
    </row>
    <row r="221" spans="1:15" ht="13">
      <c r="A221" s="4" t="s">
        <v>3615</v>
      </c>
      <c r="B221" s="4" t="s">
        <v>3617</v>
      </c>
      <c r="C221" s="4" t="s">
        <v>3619</v>
      </c>
      <c r="E221" s="4" t="e">
        <v>#N/A</v>
      </c>
      <c r="H221" s="4" t="s">
        <v>3623</v>
      </c>
      <c r="I221" s="4" t="s">
        <v>3626</v>
      </c>
      <c r="K221" s="4" t="s">
        <v>3628</v>
      </c>
      <c r="L221" s="4" t="s">
        <v>3630</v>
      </c>
      <c r="N221" s="4" t="e">
        <v>#N/A</v>
      </c>
    </row>
    <row r="222" spans="1:15" ht="13">
      <c r="A222" s="4" t="s">
        <v>3634</v>
      </c>
      <c r="B222" s="4" t="s">
        <v>3637</v>
      </c>
      <c r="C222" s="4" t="s">
        <v>3639</v>
      </c>
      <c r="E222" s="4" t="s">
        <v>3641</v>
      </c>
      <c r="F222" s="4" t="s">
        <v>3643</v>
      </c>
      <c r="H222" s="4" t="s">
        <v>3646</v>
      </c>
      <c r="I222" s="4" t="s">
        <v>3649</v>
      </c>
      <c r="K222" s="4" t="s">
        <v>3651</v>
      </c>
      <c r="L222" s="4" t="s">
        <v>3654</v>
      </c>
      <c r="N222" s="4" t="s">
        <v>3656</v>
      </c>
      <c r="O222" s="4" t="s">
        <v>3658</v>
      </c>
    </row>
    <row r="223" spans="1:15" ht="13">
      <c r="A223" s="4" t="s">
        <v>3660</v>
      </c>
      <c r="B223" s="4" t="s">
        <v>3662</v>
      </c>
      <c r="C223" s="4" t="s">
        <v>3664</v>
      </c>
      <c r="E223" s="4" t="s">
        <v>3665</v>
      </c>
      <c r="F223" s="4" t="s">
        <v>3666</v>
      </c>
      <c r="H223" s="4" t="s">
        <v>3667</v>
      </c>
      <c r="I223" s="4" t="s">
        <v>3668</v>
      </c>
      <c r="K223" s="4" t="s">
        <v>3669</v>
      </c>
      <c r="L223" s="4" t="s">
        <v>3670</v>
      </c>
      <c r="N223" s="4" t="s">
        <v>3671</v>
      </c>
      <c r="O223" s="4" t="s">
        <v>3672</v>
      </c>
    </row>
    <row r="224" spans="1:15" ht="13">
      <c r="A224" s="4" t="s">
        <v>3674</v>
      </c>
      <c r="B224" s="4" t="s">
        <v>3676</v>
      </c>
      <c r="C224" s="4" t="s">
        <v>3677</v>
      </c>
      <c r="E224" s="4" t="s">
        <v>3679</v>
      </c>
      <c r="F224" s="4" t="s">
        <v>3681</v>
      </c>
      <c r="H224" s="4" t="s">
        <v>3682</v>
      </c>
      <c r="I224" s="4" t="s">
        <v>3683</v>
      </c>
      <c r="K224" s="4" t="s">
        <v>3685</v>
      </c>
      <c r="L224" s="4" t="s">
        <v>3686</v>
      </c>
      <c r="N224" s="4" t="e">
        <v>#N/A</v>
      </c>
    </row>
    <row r="225" spans="1:15" ht="13">
      <c r="A225" s="4" t="s">
        <v>3689</v>
      </c>
      <c r="B225" s="4" t="s">
        <v>3691</v>
      </c>
      <c r="C225" s="4" t="s">
        <v>3693</v>
      </c>
      <c r="E225" s="4" t="e">
        <v>#N/A</v>
      </c>
      <c r="H225" s="4" t="s">
        <v>3696</v>
      </c>
      <c r="I225" s="4" t="s">
        <v>3698</v>
      </c>
      <c r="K225" s="4" t="e">
        <v>#N/A</v>
      </c>
      <c r="N225" s="4" t="s">
        <v>3700</v>
      </c>
      <c r="O225" s="4" t="s">
        <v>3703</v>
      </c>
    </row>
    <row r="226" spans="1:15" ht="13">
      <c r="A226" s="4" t="s">
        <v>3705</v>
      </c>
      <c r="B226" s="4" t="s">
        <v>3707</v>
      </c>
      <c r="C226" s="4" t="s">
        <v>3708</v>
      </c>
      <c r="E226" s="4" t="s">
        <v>3710</v>
      </c>
      <c r="F226" s="4" t="s">
        <v>3712</v>
      </c>
      <c r="H226" s="4" t="s">
        <v>3715</v>
      </c>
      <c r="I226" s="4" t="s">
        <v>3716</v>
      </c>
      <c r="K226" s="4" t="s">
        <v>3719</v>
      </c>
      <c r="L226" s="4" t="s">
        <v>3721</v>
      </c>
      <c r="N226" s="4" t="s">
        <v>3724</v>
      </c>
      <c r="O226" s="4" t="s">
        <v>3727</v>
      </c>
    </row>
    <row r="227" spans="1:15" ht="13">
      <c r="A227" s="4" t="s">
        <v>3729</v>
      </c>
      <c r="B227" s="4" t="e">
        <v>#N/A</v>
      </c>
      <c r="E227" s="4" t="s">
        <v>3733</v>
      </c>
      <c r="F227" s="4" t="s">
        <v>3736</v>
      </c>
      <c r="H227" s="4" t="s">
        <v>3738</v>
      </c>
      <c r="I227" s="4" t="s">
        <v>3740</v>
      </c>
      <c r="K227" s="4" t="e">
        <v>#N/A</v>
      </c>
      <c r="N227" s="4" t="e">
        <v>#N/A</v>
      </c>
    </row>
    <row r="228" spans="1:15" ht="13">
      <c r="A228" s="4" t="s">
        <v>3745</v>
      </c>
      <c r="B228" s="4" t="s">
        <v>3746</v>
      </c>
      <c r="C228" s="4" t="s">
        <v>3748</v>
      </c>
      <c r="E228" s="4" t="s">
        <v>3749</v>
      </c>
      <c r="F228" s="4" t="s">
        <v>3752</v>
      </c>
      <c r="H228" s="4" t="s">
        <v>3753</v>
      </c>
      <c r="I228" s="4" t="s">
        <v>3756</v>
      </c>
      <c r="K228" s="4" t="s">
        <v>3758</v>
      </c>
      <c r="L228" s="4" t="s">
        <v>3760</v>
      </c>
      <c r="N228" s="4" t="e">
        <v>#N/A</v>
      </c>
    </row>
    <row r="229" spans="1:15" ht="13">
      <c r="A229" s="4" t="s">
        <v>3763</v>
      </c>
      <c r="B229" s="4" t="s">
        <v>3765</v>
      </c>
      <c r="C229" s="4" t="s">
        <v>3767</v>
      </c>
      <c r="E229" s="4" t="s">
        <v>3769</v>
      </c>
      <c r="F229" s="4" t="s">
        <v>3770</v>
      </c>
      <c r="H229" s="4" t="e">
        <v>#N/A</v>
      </c>
      <c r="K229" s="4" t="s">
        <v>3773</v>
      </c>
      <c r="L229" s="4" t="s">
        <v>3775</v>
      </c>
      <c r="N229" s="4" t="s">
        <v>3777</v>
      </c>
      <c r="O229" s="4" t="s">
        <v>3779</v>
      </c>
    </row>
    <row r="230" spans="1:15" ht="13">
      <c r="A230" s="4" t="s">
        <v>3780</v>
      </c>
      <c r="B230" s="4" t="e">
        <v>#N/A</v>
      </c>
      <c r="E230" s="4" t="s">
        <v>3782</v>
      </c>
      <c r="F230" s="4" t="s">
        <v>3784</v>
      </c>
      <c r="H230" s="4" t="s">
        <v>3786</v>
      </c>
      <c r="I230" s="4" t="s">
        <v>3788</v>
      </c>
      <c r="K230" s="4" t="e">
        <v>#N/A</v>
      </c>
      <c r="N230" s="4" t="s">
        <v>3791</v>
      </c>
      <c r="O230" s="4" t="s">
        <v>3792</v>
      </c>
    </row>
    <row r="231" spans="1:15" ht="13">
      <c r="A231" s="4" t="s">
        <v>3794</v>
      </c>
      <c r="B231" s="4" t="s">
        <v>3795</v>
      </c>
      <c r="C231" s="4" t="s">
        <v>3796</v>
      </c>
      <c r="E231" s="4" t="e">
        <v>#N/A</v>
      </c>
      <c r="H231" s="4" t="s">
        <v>3797</v>
      </c>
      <c r="I231" s="4" t="s">
        <v>3800</v>
      </c>
      <c r="K231" s="4" t="e">
        <v>#N/A</v>
      </c>
      <c r="N231" s="4" t="s">
        <v>3804</v>
      </c>
      <c r="O231" s="4" t="s">
        <v>3805</v>
      </c>
    </row>
    <row r="232" spans="1:15" ht="13">
      <c r="A232" s="4" t="s">
        <v>3808</v>
      </c>
      <c r="B232" s="4" t="s">
        <v>3810</v>
      </c>
      <c r="C232" s="4" t="s">
        <v>3812</v>
      </c>
      <c r="E232" s="4" t="s">
        <v>3815</v>
      </c>
      <c r="F232" s="4" t="s">
        <v>3816</v>
      </c>
      <c r="H232" s="4" t="s">
        <v>3818</v>
      </c>
      <c r="I232" s="4" t="s">
        <v>3821</v>
      </c>
      <c r="K232" s="4" t="s">
        <v>3822</v>
      </c>
      <c r="L232" s="4" t="s">
        <v>3823</v>
      </c>
      <c r="N232" s="4" t="s">
        <v>3824</v>
      </c>
      <c r="O232" s="4" t="s">
        <v>3826</v>
      </c>
    </row>
    <row r="233" spans="1:15" ht="13">
      <c r="A233" s="4" t="s">
        <v>3828</v>
      </c>
      <c r="B233" s="4" t="e">
        <v>#N/A</v>
      </c>
      <c r="E233" s="4" t="s">
        <v>3831</v>
      </c>
      <c r="F233" s="4" t="s">
        <v>3833</v>
      </c>
      <c r="H233" s="4" t="s">
        <v>3834</v>
      </c>
      <c r="I233" s="4" t="s">
        <v>3836</v>
      </c>
      <c r="K233" s="4" t="s">
        <v>3838</v>
      </c>
      <c r="L233" s="4" t="s">
        <v>3840</v>
      </c>
      <c r="N233" s="4" t="e">
        <v>#N/A</v>
      </c>
    </row>
    <row r="234" spans="1:15" ht="13">
      <c r="A234" s="4" t="s">
        <v>3842</v>
      </c>
      <c r="B234" s="4" t="s">
        <v>3845</v>
      </c>
      <c r="C234" s="4" t="s">
        <v>3847</v>
      </c>
      <c r="E234" s="4" t="s">
        <v>3849</v>
      </c>
      <c r="F234" s="4" t="s">
        <v>3852</v>
      </c>
      <c r="H234" s="4" t="e">
        <v>#N/A</v>
      </c>
      <c r="K234" s="4" t="e">
        <v>#N/A</v>
      </c>
      <c r="N234" s="4" t="s">
        <v>3856</v>
      </c>
      <c r="O234" s="4" t="s">
        <v>3858</v>
      </c>
    </row>
    <row r="235" spans="1:15" ht="13">
      <c r="A235" s="4" t="s">
        <v>3861</v>
      </c>
      <c r="B235" s="4" t="e">
        <v>#N/A</v>
      </c>
      <c r="E235" s="4" t="s">
        <v>3865</v>
      </c>
      <c r="F235" s="4" t="s">
        <v>3867</v>
      </c>
      <c r="H235" s="4" t="s">
        <v>3876</v>
      </c>
      <c r="I235" s="4" t="s">
        <v>3879</v>
      </c>
      <c r="K235" s="4" t="s">
        <v>3881</v>
      </c>
      <c r="L235" s="4" t="s">
        <v>3884</v>
      </c>
      <c r="N235" s="4" t="s">
        <v>3886</v>
      </c>
      <c r="O235" s="4" t="s">
        <v>3889</v>
      </c>
    </row>
    <row r="236" spans="1:15" ht="13">
      <c r="A236" s="4" t="s">
        <v>3893</v>
      </c>
      <c r="B236" s="4" t="s">
        <v>3895</v>
      </c>
      <c r="C236" s="4" t="s">
        <v>3897</v>
      </c>
      <c r="E236" s="4" t="e">
        <v>#N/A</v>
      </c>
      <c r="H236" s="4" t="e">
        <v>#N/A</v>
      </c>
      <c r="K236" s="4" t="s">
        <v>3902</v>
      </c>
      <c r="L236" s="4" t="s">
        <v>3904</v>
      </c>
      <c r="N236" s="4" t="s">
        <v>3906</v>
      </c>
      <c r="O236" s="4" t="s">
        <v>3908</v>
      </c>
    </row>
    <row r="237" spans="1:15" ht="13">
      <c r="A237" s="4" t="s">
        <v>3909</v>
      </c>
      <c r="B237" s="4" t="s">
        <v>3911</v>
      </c>
      <c r="C237" s="4" t="s">
        <v>3913</v>
      </c>
      <c r="E237" s="4" t="e">
        <v>#N/A</v>
      </c>
      <c r="H237" s="4" t="s">
        <v>3940</v>
      </c>
      <c r="I237" s="4" t="s">
        <v>3941</v>
      </c>
      <c r="K237" s="4" t="s">
        <v>3942</v>
      </c>
      <c r="L237" s="4" t="s">
        <v>3944</v>
      </c>
      <c r="N237" s="4" t="s">
        <v>3946</v>
      </c>
      <c r="O237" s="4" t="s">
        <v>3948</v>
      </c>
    </row>
    <row r="238" spans="1:15" ht="13">
      <c r="A238" s="4" t="s">
        <v>3951</v>
      </c>
      <c r="B238" s="4" t="s">
        <v>3952</v>
      </c>
      <c r="C238" s="4" t="s">
        <v>3954</v>
      </c>
      <c r="E238" s="4" t="s">
        <v>3956</v>
      </c>
      <c r="F238" s="4" t="s">
        <v>3958</v>
      </c>
      <c r="H238" s="4" t="s">
        <v>3960</v>
      </c>
      <c r="I238" s="4" t="s">
        <v>3961</v>
      </c>
      <c r="K238" s="4" t="e">
        <v>#N/A</v>
      </c>
      <c r="N238" s="4" t="s">
        <v>3965</v>
      </c>
      <c r="O238" s="4" t="s">
        <v>3967</v>
      </c>
    </row>
    <row r="239" spans="1:15" ht="13">
      <c r="A239" s="4" t="s">
        <v>3970</v>
      </c>
      <c r="B239" s="4" t="e">
        <v>#N/A</v>
      </c>
      <c r="E239" s="4" t="s">
        <v>3974</v>
      </c>
      <c r="F239" s="4" t="s">
        <v>3976</v>
      </c>
      <c r="H239" s="4" t="s">
        <v>3977</v>
      </c>
      <c r="I239" s="4" t="s">
        <v>3979</v>
      </c>
      <c r="K239" s="4" t="s">
        <v>3981</v>
      </c>
      <c r="L239" s="4" t="s">
        <v>3982</v>
      </c>
      <c r="N239" s="4" t="s">
        <v>3984</v>
      </c>
      <c r="O239" s="4" t="s">
        <v>3986</v>
      </c>
    </row>
    <row r="240" spans="1:15" ht="13">
      <c r="A240" s="26">
        <f>SUM(C240:O240)</f>
        <v>879</v>
      </c>
      <c r="C240" s="4">
        <v>183</v>
      </c>
      <c r="F240" s="4">
        <v>170</v>
      </c>
      <c r="I240" s="4">
        <v>188</v>
      </c>
      <c r="L240" s="4">
        <v>176</v>
      </c>
      <c r="O240" s="4">
        <v>162</v>
      </c>
    </row>
    <row r="241" spans="1:2" ht="13">
      <c r="A241" s="27">
        <f>A240/1185</f>
        <v>0.74177215189873413</v>
      </c>
      <c r="B241"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449"/>
  <sheetViews>
    <sheetView workbookViewId="0"/>
  </sheetViews>
  <sheetFormatPr baseColWidth="10" defaultColWidth="14.5" defaultRowHeight="15.75" customHeight="1"/>
  <cols>
    <col min="1" max="1" width="63.5" customWidth="1"/>
    <col min="2" max="2" width="69.5" customWidth="1"/>
    <col min="3" max="3" width="143.5" customWidth="1"/>
    <col min="5" max="5" width="69.5" customWidth="1"/>
    <col min="6" max="6" width="117" customWidth="1"/>
    <col min="7" max="7" width="95" customWidth="1"/>
    <col min="8" max="8" width="68.33203125" customWidth="1"/>
    <col min="9" max="9" width="124.83203125" customWidth="1"/>
    <col min="10" max="10" width="92.33203125" customWidth="1"/>
    <col min="11" max="11" width="69.83203125" customWidth="1"/>
    <col min="12" max="12" width="122.1640625" customWidth="1"/>
    <col min="13" max="13" width="99" customWidth="1"/>
    <col min="14" max="14" width="69.33203125" customWidth="1"/>
    <col min="15" max="15" width="126.6640625" customWidth="1"/>
    <col min="16" max="16" width="117.6640625" customWidth="1"/>
  </cols>
  <sheetData>
    <row r="1" spans="1:15" ht="15.75" customHeight="1">
      <c r="B1" s="11" t="s">
        <v>2</v>
      </c>
      <c r="C1" s="11"/>
      <c r="E1" s="11" t="s">
        <v>6</v>
      </c>
      <c r="G1" s="11"/>
      <c r="H1" s="11" t="s">
        <v>7</v>
      </c>
      <c r="I1" s="11"/>
      <c r="K1" s="11" t="s">
        <v>8</v>
      </c>
      <c r="L1" s="11"/>
      <c r="N1" s="11" t="s">
        <v>11</v>
      </c>
    </row>
    <row r="2" spans="1:15" ht="15.75" customHeight="1">
      <c r="A2" s="11" t="s">
        <v>10</v>
      </c>
      <c r="B2" s="4" t="s">
        <v>5746</v>
      </c>
      <c r="C2" s="4" t="s">
        <v>5747</v>
      </c>
      <c r="E2" s="4" t="e">
        <v>#N/A</v>
      </c>
      <c r="H2" s="4" t="s">
        <v>5748</v>
      </c>
      <c r="I2" s="4" t="s">
        <v>5749</v>
      </c>
      <c r="K2" s="4" t="s">
        <v>5750</v>
      </c>
      <c r="L2" s="4" t="s">
        <v>5751</v>
      </c>
      <c r="N2" s="4" t="s">
        <v>5752</v>
      </c>
      <c r="O2" s="4" t="s">
        <v>5753</v>
      </c>
    </row>
    <row r="3" spans="1:15" ht="15.75" customHeight="1">
      <c r="A3" s="4" t="s">
        <v>5754</v>
      </c>
      <c r="B3" s="4" t="e">
        <v>#N/A</v>
      </c>
      <c r="E3" s="4" t="s">
        <v>5755</v>
      </c>
      <c r="F3" s="4" t="s">
        <v>135</v>
      </c>
      <c r="G3" s="4" t="s">
        <v>5756</v>
      </c>
      <c r="H3" s="4" t="e">
        <v>#N/A</v>
      </c>
      <c r="K3" s="4" t="s">
        <v>5757</v>
      </c>
      <c r="L3" s="4" t="s">
        <v>5758</v>
      </c>
      <c r="N3" s="4" t="e">
        <v>#N/A</v>
      </c>
    </row>
    <row r="4" spans="1:15" ht="15.75" customHeight="1">
      <c r="A4" s="4" t="s">
        <v>5759</v>
      </c>
      <c r="B4" s="4" t="e">
        <v>#N/A</v>
      </c>
      <c r="E4" s="4" t="s">
        <v>5760</v>
      </c>
      <c r="F4" s="4" t="s">
        <v>5761</v>
      </c>
      <c r="H4" s="4" t="s">
        <v>5762</v>
      </c>
      <c r="I4" s="4" t="s">
        <v>5763</v>
      </c>
      <c r="K4" s="4" t="s">
        <v>5764</v>
      </c>
      <c r="L4" s="4" t="s">
        <v>5765</v>
      </c>
      <c r="N4" s="4" t="s">
        <v>5766</v>
      </c>
      <c r="O4" s="4" t="s">
        <v>5767</v>
      </c>
    </row>
    <row r="5" spans="1:15" ht="15.75" customHeight="1">
      <c r="A5" s="4" t="s">
        <v>5768</v>
      </c>
      <c r="B5" s="4" t="e">
        <v>#N/A</v>
      </c>
      <c r="E5" s="4" t="s">
        <v>5769</v>
      </c>
      <c r="F5" s="4" t="s">
        <v>5770</v>
      </c>
      <c r="H5" s="4" t="s">
        <v>5771</v>
      </c>
      <c r="I5" s="4" t="s">
        <v>5772</v>
      </c>
      <c r="K5" s="4" t="e">
        <v>#N/A</v>
      </c>
      <c r="N5" s="4" t="e">
        <v>#N/A</v>
      </c>
    </row>
    <row r="6" spans="1:15" ht="15.75" customHeight="1">
      <c r="A6" s="4" t="s">
        <v>5773</v>
      </c>
      <c r="B6" s="4" t="e">
        <v>#N/A</v>
      </c>
      <c r="E6" s="4" t="s">
        <v>5774</v>
      </c>
      <c r="F6" s="4" t="s">
        <v>5775</v>
      </c>
      <c r="H6" s="4" t="s">
        <v>5776</v>
      </c>
      <c r="I6" s="4" t="s">
        <v>5777</v>
      </c>
      <c r="K6" s="4" t="s">
        <v>5778</v>
      </c>
      <c r="L6" s="4" t="s">
        <v>5779</v>
      </c>
      <c r="N6" s="4" t="e">
        <v>#N/A</v>
      </c>
    </row>
    <row r="7" spans="1:15" ht="15.75" customHeight="1">
      <c r="A7" s="4" t="s">
        <v>5780</v>
      </c>
      <c r="B7" s="4" t="s">
        <v>5781</v>
      </c>
      <c r="C7" s="4" t="s">
        <v>5782</v>
      </c>
      <c r="E7" s="4" t="s">
        <v>5783</v>
      </c>
      <c r="F7" s="4" t="s">
        <v>5784</v>
      </c>
      <c r="H7" s="4" t="s">
        <v>5785</v>
      </c>
      <c r="I7" s="4" t="s">
        <v>5786</v>
      </c>
      <c r="K7" s="4" t="s">
        <v>5787</v>
      </c>
      <c r="L7" s="4" t="s">
        <v>5788</v>
      </c>
      <c r="N7" s="4" t="s">
        <v>5789</v>
      </c>
      <c r="O7" s="4" t="s">
        <v>5790</v>
      </c>
    </row>
    <row r="8" spans="1:15" ht="15.75" customHeight="1">
      <c r="A8" s="4" t="s">
        <v>5791</v>
      </c>
      <c r="B8" s="4" t="s">
        <v>5792</v>
      </c>
      <c r="C8" s="4" t="s">
        <v>5793</v>
      </c>
      <c r="E8" s="4" t="e">
        <v>#N/A</v>
      </c>
      <c r="H8" s="4" t="e">
        <v>#N/A</v>
      </c>
      <c r="K8" s="4" t="s">
        <v>5795</v>
      </c>
      <c r="L8" s="4" t="s">
        <v>5796</v>
      </c>
      <c r="N8" s="4" t="s">
        <v>5797</v>
      </c>
      <c r="O8" s="4" t="s">
        <v>5798</v>
      </c>
    </row>
    <row r="9" spans="1:15" ht="15.75" customHeight="1">
      <c r="A9" s="4" t="s">
        <v>5799</v>
      </c>
      <c r="B9" s="4" t="s">
        <v>5800</v>
      </c>
      <c r="C9" s="4" t="s">
        <v>5801</v>
      </c>
      <c r="E9" s="4" t="s">
        <v>5802</v>
      </c>
      <c r="F9" s="4" t="s">
        <v>5803</v>
      </c>
      <c r="H9" s="4" t="e">
        <v>#N/A</v>
      </c>
      <c r="K9" s="4" t="s">
        <v>5804</v>
      </c>
      <c r="L9" s="4" t="s">
        <v>5805</v>
      </c>
      <c r="N9" s="4" t="s">
        <v>5806</v>
      </c>
      <c r="O9" s="4" t="s">
        <v>5807</v>
      </c>
    </row>
    <row r="10" spans="1:15" ht="15.75" customHeight="1">
      <c r="A10" s="4" t="s">
        <v>5808</v>
      </c>
      <c r="B10" s="4" t="s">
        <v>5809</v>
      </c>
      <c r="C10" s="4" t="s">
        <v>5810</v>
      </c>
      <c r="E10" s="4" t="s">
        <v>5811</v>
      </c>
      <c r="F10" s="4" t="s">
        <v>5812</v>
      </c>
      <c r="H10" s="4" t="s">
        <v>5813</v>
      </c>
      <c r="I10" s="4" t="s">
        <v>5814</v>
      </c>
      <c r="K10" s="4" t="s">
        <v>5815</v>
      </c>
      <c r="L10" s="4" t="s">
        <v>5816</v>
      </c>
      <c r="N10" s="4" t="e">
        <v>#N/A</v>
      </c>
    </row>
    <row r="11" spans="1:15" ht="15.75" customHeight="1">
      <c r="A11" s="4" t="s">
        <v>5817</v>
      </c>
      <c r="B11" s="4" t="e">
        <v>#N/A</v>
      </c>
      <c r="E11" s="4" t="s">
        <v>5818</v>
      </c>
      <c r="F11" s="4" t="s">
        <v>5819</v>
      </c>
      <c r="H11" s="4" t="s">
        <v>5820</v>
      </c>
      <c r="I11" s="4" t="s">
        <v>5821</v>
      </c>
      <c r="K11" s="4" t="s">
        <v>5822</v>
      </c>
      <c r="L11" s="4" t="s">
        <v>5823</v>
      </c>
      <c r="N11" s="4" t="s">
        <v>5824</v>
      </c>
      <c r="O11" s="4" t="s">
        <v>5825</v>
      </c>
    </row>
    <row r="12" spans="1:15" ht="15.75" customHeight="1">
      <c r="A12" s="4" t="s">
        <v>5826</v>
      </c>
      <c r="B12" s="4" t="e">
        <v>#N/A</v>
      </c>
      <c r="E12" s="4" t="s">
        <v>5827</v>
      </c>
      <c r="F12" s="4" t="s">
        <v>5828</v>
      </c>
      <c r="H12" s="4" t="s">
        <v>5829</v>
      </c>
      <c r="I12" s="4" t="s">
        <v>5830</v>
      </c>
      <c r="K12" s="4" t="s">
        <v>5831</v>
      </c>
      <c r="L12" s="4" t="s">
        <v>5832</v>
      </c>
      <c r="N12" s="4" t="s">
        <v>5833</v>
      </c>
      <c r="O12" s="4" t="s">
        <v>5834</v>
      </c>
    </row>
    <row r="13" spans="1:15" ht="15.75" customHeight="1">
      <c r="A13" s="4" t="s">
        <v>5835</v>
      </c>
      <c r="B13" s="4" t="s">
        <v>5836</v>
      </c>
      <c r="C13" s="4" t="s">
        <v>5837</v>
      </c>
      <c r="E13" s="4" t="s">
        <v>5838</v>
      </c>
      <c r="F13" s="4" t="s">
        <v>5839</v>
      </c>
      <c r="H13" s="4" t="e">
        <v>#N/A</v>
      </c>
      <c r="K13" s="4" t="s">
        <v>5840</v>
      </c>
      <c r="L13" s="4" t="s">
        <v>5842</v>
      </c>
      <c r="N13" s="4" t="s">
        <v>5843</v>
      </c>
      <c r="O13" s="4" t="s">
        <v>5844</v>
      </c>
    </row>
    <row r="14" spans="1:15" ht="15.75" customHeight="1">
      <c r="A14" s="4" t="s">
        <v>5845</v>
      </c>
      <c r="B14" s="4" t="s">
        <v>5846</v>
      </c>
      <c r="C14" s="4" t="s">
        <v>5847</v>
      </c>
      <c r="E14" s="4" t="s">
        <v>5848</v>
      </c>
      <c r="F14" s="4" t="s">
        <v>5849</v>
      </c>
      <c r="H14" s="4" t="s">
        <v>5850</v>
      </c>
      <c r="I14" s="4" t="s">
        <v>5851</v>
      </c>
      <c r="K14" s="4" t="e">
        <v>#N/A</v>
      </c>
      <c r="N14" s="4" t="e">
        <v>#N/A</v>
      </c>
    </row>
    <row r="15" spans="1:15" ht="15.75" customHeight="1">
      <c r="A15" s="4" t="s">
        <v>5852</v>
      </c>
      <c r="B15" s="4" t="s">
        <v>5853</v>
      </c>
      <c r="C15" s="4" t="s">
        <v>5854</v>
      </c>
      <c r="E15" s="4" t="s">
        <v>5855</v>
      </c>
      <c r="F15" s="4" t="s">
        <v>5856</v>
      </c>
      <c r="H15" s="4" t="e">
        <v>#N/A</v>
      </c>
      <c r="K15" s="4" t="e">
        <v>#N/A</v>
      </c>
      <c r="N15" s="4" t="s">
        <v>5857</v>
      </c>
      <c r="O15" s="4" t="s">
        <v>5858</v>
      </c>
    </row>
    <row r="16" spans="1:15" ht="15.75" customHeight="1">
      <c r="A16" s="4" t="s">
        <v>5859</v>
      </c>
      <c r="B16" s="4" t="s">
        <v>5860</v>
      </c>
      <c r="C16" s="4" t="s">
        <v>5861</v>
      </c>
      <c r="E16" s="4" t="e">
        <v>#N/A</v>
      </c>
      <c r="H16" s="4" t="s">
        <v>5862</v>
      </c>
      <c r="I16" s="4" t="s">
        <v>5863</v>
      </c>
      <c r="K16" s="4" t="s">
        <v>5864</v>
      </c>
      <c r="L16" s="4" t="s">
        <v>5865</v>
      </c>
      <c r="N16" s="4" t="e">
        <v>#N/A</v>
      </c>
    </row>
    <row r="17" spans="1:15" ht="15.75" customHeight="1">
      <c r="A17" s="4" t="s">
        <v>5866</v>
      </c>
      <c r="B17" s="4" t="e">
        <v>#N/A</v>
      </c>
      <c r="E17" s="4" t="s">
        <v>5867</v>
      </c>
      <c r="F17" s="4" t="s">
        <v>5868</v>
      </c>
      <c r="H17" s="4" t="e">
        <v>#N/A</v>
      </c>
      <c r="K17" s="4" t="s">
        <v>5869</v>
      </c>
      <c r="L17" s="4" t="s">
        <v>5870</v>
      </c>
      <c r="N17" s="4" t="s">
        <v>5871</v>
      </c>
      <c r="O17" s="4" t="s">
        <v>5872</v>
      </c>
    </row>
    <row r="18" spans="1:15" ht="15.75" customHeight="1">
      <c r="A18" s="4" t="s">
        <v>5873</v>
      </c>
      <c r="B18" s="4" t="s">
        <v>5874</v>
      </c>
      <c r="C18" s="4" t="s">
        <v>5875</v>
      </c>
      <c r="E18" s="4" t="s">
        <v>5876</v>
      </c>
      <c r="F18" s="4" t="s">
        <v>5877</v>
      </c>
      <c r="H18" s="4" t="s">
        <v>5878</v>
      </c>
      <c r="I18" s="4" t="s">
        <v>5879</v>
      </c>
      <c r="K18" s="4" t="s">
        <v>5880</v>
      </c>
      <c r="L18" s="4" t="s">
        <v>5881</v>
      </c>
      <c r="N18" s="4" t="s">
        <v>5882</v>
      </c>
      <c r="O18" s="4" t="s">
        <v>5883</v>
      </c>
    </row>
    <row r="19" spans="1:15" ht="15.75" customHeight="1">
      <c r="A19" s="4" t="s">
        <v>5884</v>
      </c>
      <c r="B19" s="4" t="s">
        <v>5885</v>
      </c>
      <c r="C19" s="4" t="s">
        <v>5886</v>
      </c>
      <c r="E19" s="4" t="e">
        <v>#N/A</v>
      </c>
      <c r="H19" s="4" t="s">
        <v>5887</v>
      </c>
      <c r="I19" s="4" t="s">
        <v>5888</v>
      </c>
      <c r="K19" s="4" t="s">
        <v>5889</v>
      </c>
      <c r="L19" s="4" t="s">
        <v>5890</v>
      </c>
      <c r="N19" s="4" t="s">
        <v>5891</v>
      </c>
      <c r="O19" s="4" t="s">
        <v>5892</v>
      </c>
    </row>
    <row r="20" spans="1:15" ht="15.75" customHeight="1">
      <c r="A20" s="4" t="s">
        <v>5893</v>
      </c>
      <c r="B20" s="4" t="s">
        <v>5894</v>
      </c>
      <c r="C20" s="4" t="s">
        <v>5895</v>
      </c>
      <c r="E20" s="4" t="s">
        <v>5896</v>
      </c>
      <c r="F20" s="4" t="s">
        <v>5897</v>
      </c>
      <c r="H20" s="4" t="e">
        <v>#N/A</v>
      </c>
      <c r="K20" s="4" t="e">
        <v>#N/A</v>
      </c>
      <c r="N20" s="4" t="s">
        <v>5898</v>
      </c>
      <c r="O20" s="4" t="s">
        <v>5900</v>
      </c>
    </row>
    <row r="21" spans="1:15" ht="15.75" customHeight="1">
      <c r="A21" s="4" t="s">
        <v>5901</v>
      </c>
      <c r="B21" s="4" t="s">
        <v>5902</v>
      </c>
      <c r="C21" s="4" t="s">
        <v>5903</v>
      </c>
      <c r="E21" s="4" t="s">
        <v>5904</v>
      </c>
      <c r="F21" s="4" t="s">
        <v>5905</v>
      </c>
      <c r="H21" s="4" t="s">
        <v>5906</v>
      </c>
      <c r="I21" s="4" t="s">
        <v>5907</v>
      </c>
      <c r="K21" s="4" t="s">
        <v>5908</v>
      </c>
      <c r="L21" s="4" t="s">
        <v>5909</v>
      </c>
      <c r="N21" s="4" t="s">
        <v>5910</v>
      </c>
      <c r="O21" s="4" t="s">
        <v>5911</v>
      </c>
    </row>
    <row r="22" spans="1:15" ht="15.75" customHeight="1">
      <c r="A22" s="4" t="s">
        <v>5912</v>
      </c>
      <c r="B22" s="4" t="s">
        <v>5913</v>
      </c>
      <c r="C22" s="4" t="s">
        <v>5914</v>
      </c>
      <c r="E22" s="4" t="e">
        <v>#N/A</v>
      </c>
      <c r="H22" s="4" t="s">
        <v>5915</v>
      </c>
      <c r="I22" s="4" t="s">
        <v>5916</v>
      </c>
      <c r="K22" s="4" t="s">
        <v>5917</v>
      </c>
      <c r="L22" s="4" t="s">
        <v>5918</v>
      </c>
      <c r="N22" s="4" t="e">
        <v>#N/A</v>
      </c>
    </row>
    <row r="23" spans="1:15" ht="15.75" customHeight="1">
      <c r="A23" s="4" t="s">
        <v>5919</v>
      </c>
      <c r="B23" s="4" t="s">
        <v>5920</v>
      </c>
      <c r="C23" s="4" t="s">
        <v>5921</v>
      </c>
      <c r="E23" s="4" t="s">
        <v>5922</v>
      </c>
      <c r="F23" s="4" t="s">
        <v>5923</v>
      </c>
      <c r="H23" s="4" t="s">
        <v>5924</v>
      </c>
      <c r="I23" s="4" t="s">
        <v>5925</v>
      </c>
      <c r="K23" s="4" t="s">
        <v>5926</v>
      </c>
      <c r="L23" s="4" t="s">
        <v>5927</v>
      </c>
      <c r="N23" s="4" t="s">
        <v>5928</v>
      </c>
      <c r="O23" s="4" t="s">
        <v>5929</v>
      </c>
    </row>
    <row r="24" spans="1:15" ht="15.75" customHeight="1">
      <c r="A24" s="4" t="s">
        <v>5930</v>
      </c>
      <c r="B24" s="4" t="e">
        <v>#N/A</v>
      </c>
      <c r="E24" s="4" t="s">
        <v>5931</v>
      </c>
      <c r="F24" s="4" t="s">
        <v>5932</v>
      </c>
      <c r="H24" s="4" t="s">
        <v>5933</v>
      </c>
      <c r="I24" s="4" t="s">
        <v>5934</v>
      </c>
      <c r="K24" s="4" t="s">
        <v>5935</v>
      </c>
      <c r="L24" s="4" t="s">
        <v>5936</v>
      </c>
      <c r="N24" s="4" t="s">
        <v>5937</v>
      </c>
      <c r="O24" s="4" t="s">
        <v>5938</v>
      </c>
    </row>
    <row r="25" spans="1:15" ht="15.75" customHeight="1">
      <c r="A25" s="4" t="s">
        <v>5939</v>
      </c>
      <c r="B25" s="4" t="s">
        <v>5940</v>
      </c>
      <c r="C25" s="4" t="s">
        <v>5941</v>
      </c>
      <c r="E25" s="4" t="s">
        <v>5942</v>
      </c>
      <c r="F25" s="4" t="s">
        <v>5943</v>
      </c>
      <c r="H25" s="4" t="s">
        <v>5944</v>
      </c>
      <c r="I25" s="4" t="s">
        <v>5945</v>
      </c>
      <c r="K25" s="4" t="e">
        <v>#N/A</v>
      </c>
      <c r="N25" s="4" t="s">
        <v>5947</v>
      </c>
      <c r="O25" s="4" t="s">
        <v>5948</v>
      </c>
    </row>
    <row r="26" spans="1:15" ht="15.75" customHeight="1">
      <c r="A26" s="4" t="s">
        <v>5949</v>
      </c>
      <c r="B26" s="4" t="s">
        <v>5950</v>
      </c>
      <c r="C26" s="4" t="s">
        <v>5951</v>
      </c>
      <c r="E26" s="4" t="e">
        <v>#N/A</v>
      </c>
      <c r="H26" s="4" t="s">
        <v>5952</v>
      </c>
      <c r="I26" s="4" t="s">
        <v>5953</v>
      </c>
      <c r="K26" s="4" t="s">
        <v>5954</v>
      </c>
      <c r="L26" s="4" t="s">
        <v>5955</v>
      </c>
      <c r="N26" s="4" t="s">
        <v>5956</v>
      </c>
      <c r="O26" s="4" t="s">
        <v>5957</v>
      </c>
    </row>
    <row r="27" spans="1:15" ht="15.75" customHeight="1">
      <c r="A27" s="4" t="s">
        <v>5958</v>
      </c>
      <c r="B27" s="4" t="s">
        <v>5959</v>
      </c>
      <c r="C27" s="4" t="s">
        <v>5960</v>
      </c>
      <c r="E27" s="4" t="s">
        <v>5961</v>
      </c>
      <c r="F27" s="4" t="s">
        <v>5962</v>
      </c>
      <c r="H27" s="4" t="e">
        <v>#N/A</v>
      </c>
      <c r="K27" s="4" t="e">
        <v>#N/A</v>
      </c>
      <c r="N27" s="4" t="s">
        <v>5963</v>
      </c>
      <c r="O27" s="4" t="s">
        <v>5964</v>
      </c>
    </row>
    <row r="28" spans="1:15" ht="15.75" customHeight="1">
      <c r="A28" s="4" t="s">
        <v>5965</v>
      </c>
      <c r="B28" s="4" t="e">
        <v>#N/A</v>
      </c>
      <c r="E28" s="4" t="s">
        <v>5966</v>
      </c>
      <c r="F28" s="4" t="s">
        <v>5967</v>
      </c>
      <c r="H28" s="4" t="s">
        <v>5968</v>
      </c>
      <c r="I28" s="4" t="s">
        <v>5969</v>
      </c>
      <c r="K28" s="4" t="s">
        <v>5970</v>
      </c>
      <c r="L28" s="4" t="s">
        <v>5971</v>
      </c>
      <c r="N28" s="4" t="s">
        <v>5972</v>
      </c>
      <c r="O28" s="4" t="s">
        <v>5973</v>
      </c>
    </row>
    <row r="29" spans="1:15" ht="15.75" customHeight="1">
      <c r="A29" s="4" t="s">
        <v>5974</v>
      </c>
      <c r="B29" s="4" t="s">
        <v>5975</v>
      </c>
      <c r="C29" s="4" t="s">
        <v>5976</v>
      </c>
      <c r="E29" s="4" t="s">
        <v>5977</v>
      </c>
      <c r="F29" s="4" t="s">
        <v>5978</v>
      </c>
      <c r="H29" s="4" t="e">
        <v>#N/A</v>
      </c>
      <c r="K29" s="4" t="s">
        <v>5979</v>
      </c>
      <c r="L29" s="4" t="s">
        <v>5980</v>
      </c>
      <c r="N29" s="4" t="e">
        <v>#N/A</v>
      </c>
    </row>
    <row r="30" spans="1:15" ht="15.75" customHeight="1">
      <c r="A30" s="4" t="s">
        <v>5981</v>
      </c>
      <c r="B30" s="4" t="s">
        <v>5982</v>
      </c>
      <c r="C30" s="4" t="s">
        <v>5983</v>
      </c>
      <c r="E30" s="4" t="s">
        <v>5984</v>
      </c>
      <c r="F30" s="4" t="s">
        <v>5985</v>
      </c>
      <c r="H30" s="4" t="s">
        <v>5986</v>
      </c>
      <c r="I30" s="4" t="s">
        <v>5987</v>
      </c>
      <c r="K30" s="4" t="e">
        <v>#N/A</v>
      </c>
      <c r="N30" s="4" t="s">
        <v>5988</v>
      </c>
      <c r="O30" s="4" t="s">
        <v>5989</v>
      </c>
    </row>
    <row r="31" spans="1:15" ht="15.75" customHeight="1">
      <c r="A31" s="4" t="s">
        <v>5991</v>
      </c>
      <c r="B31" s="4" t="e">
        <v>#N/A</v>
      </c>
      <c r="E31" s="4" t="e">
        <v>#N/A</v>
      </c>
      <c r="H31" s="4" t="s">
        <v>5992</v>
      </c>
      <c r="I31" s="4" t="s">
        <v>5993</v>
      </c>
      <c r="K31" s="4" t="s">
        <v>5994</v>
      </c>
      <c r="L31" s="4" t="s">
        <v>5995</v>
      </c>
      <c r="N31" s="4" t="s">
        <v>5996</v>
      </c>
      <c r="O31" s="4" t="s">
        <v>5997</v>
      </c>
    </row>
    <row r="32" spans="1:15" ht="15.75" customHeight="1">
      <c r="A32" s="4" t="s">
        <v>5998</v>
      </c>
      <c r="B32" s="4" t="e">
        <v>#N/A</v>
      </c>
      <c r="E32" s="4" t="s">
        <v>5999</v>
      </c>
      <c r="F32" s="4" t="s">
        <v>6000</v>
      </c>
      <c r="H32" s="4" t="s">
        <v>6001</v>
      </c>
      <c r="I32" s="4" t="s">
        <v>6002</v>
      </c>
      <c r="K32" s="4" t="s">
        <v>6003</v>
      </c>
      <c r="L32" s="4" t="s">
        <v>6004</v>
      </c>
      <c r="N32" s="4" t="e">
        <v>#N/A</v>
      </c>
    </row>
    <row r="33" spans="1:15" ht="15.75" customHeight="1">
      <c r="A33" s="4" t="s">
        <v>6005</v>
      </c>
      <c r="B33" s="4" t="s">
        <v>6006</v>
      </c>
      <c r="C33" s="4" t="s">
        <v>6007</v>
      </c>
      <c r="E33" s="4" t="s">
        <v>6008</v>
      </c>
      <c r="F33" s="4" t="s">
        <v>6009</v>
      </c>
      <c r="H33" s="4" t="s">
        <v>6010</v>
      </c>
      <c r="I33" s="4" t="s">
        <v>6011</v>
      </c>
      <c r="K33" s="4" t="s">
        <v>6012</v>
      </c>
      <c r="L33" s="4" t="s">
        <v>6013</v>
      </c>
      <c r="N33" s="4" t="s">
        <v>6014</v>
      </c>
      <c r="O33" s="4" t="s">
        <v>6015</v>
      </c>
    </row>
    <row r="34" spans="1:15" ht="15.75" customHeight="1">
      <c r="A34" s="4" t="s">
        <v>6016</v>
      </c>
      <c r="B34" s="4" t="s">
        <v>6017</v>
      </c>
      <c r="C34" s="4" t="s">
        <v>6018</v>
      </c>
      <c r="E34" s="4" t="s">
        <v>6019</v>
      </c>
      <c r="F34" s="4" t="s">
        <v>6021</v>
      </c>
      <c r="H34" s="4" t="s">
        <v>6022</v>
      </c>
      <c r="I34" s="4" t="s">
        <v>6023</v>
      </c>
      <c r="K34" s="4" t="s">
        <v>6024</v>
      </c>
      <c r="L34" s="4" t="s">
        <v>6025</v>
      </c>
      <c r="N34" s="4" t="s">
        <v>6026</v>
      </c>
      <c r="O34" s="4" t="s">
        <v>6027</v>
      </c>
    </row>
    <row r="35" spans="1:15" ht="15.75" customHeight="1">
      <c r="A35" s="4" t="s">
        <v>6028</v>
      </c>
      <c r="B35" s="4" t="s">
        <v>6029</v>
      </c>
      <c r="C35" s="4" t="s">
        <v>6030</v>
      </c>
      <c r="E35" s="4" t="s">
        <v>6031</v>
      </c>
      <c r="F35" s="4" t="s">
        <v>6032</v>
      </c>
      <c r="H35" s="4" t="s">
        <v>6033</v>
      </c>
      <c r="I35" s="4" t="s">
        <v>6034</v>
      </c>
      <c r="K35" s="4" t="e">
        <v>#N/A</v>
      </c>
      <c r="N35" s="4" t="s">
        <v>6035</v>
      </c>
      <c r="O35" s="4" t="s">
        <v>6036</v>
      </c>
    </row>
    <row r="36" spans="1:15" ht="15.75" customHeight="1">
      <c r="A36" s="4" t="s">
        <v>6037</v>
      </c>
      <c r="B36" s="4" t="s">
        <v>6038</v>
      </c>
      <c r="C36" s="4" t="s">
        <v>6039</v>
      </c>
      <c r="E36" s="4" t="s">
        <v>6040</v>
      </c>
      <c r="F36" s="4" t="s">
        <v>6041</v>
      </c>
      <c r="H36" s="4" t="s">
        <v>6042</v>
      </c>
      <c r="I36" s="4" t="s">
        <v>6043</v>
      </c>
      <c r="K36" s="4" t="s">
        <v>6044</v>
      </c>
      <c r="L36" s="4" t="s">
        <v>6045</v>
      </c>
      <c r="N36" s="4" t="s">
        <v>6046</v>
      </c>
      <c r="O36" s="4" t="s">
        <v>6047</v>
      </c>
    </row>
    <row r="37" spans="1:15" ht="15.75" customHeight="1">
      <c r="A37" s="4" t="s">
        <v>6048</v>
      </c>
      <c r="B37" s="4" t="e">
        <v>#N/A</v>
      </c>
      <c r="E37" s="4" t="s">
        <v>6049</v>
      </c>
      <c r="F37" s="4" t="s">
        <v>6050</v>
      </c>
      <c r="H37" s="4" t="s">
        <v>6051</v>
      </c>
      <c r="I37" s="4" t="s">
        <v>6052</v>
      </c>
      <c r="K37" s="4" t="s">
        <v>6053</v>
      </c>
      <c r="L37" s="4" t="s">
        <v>6054</v>
      </c>
      <c r="N37" s="4" t="s">
        <v>6055</v>
      </c>
      <c r="O37" s="4" t="s">
        <v>6056</v>
      </c>
    </row>
    <row r="38" spans="1:15" ht="15.75" customHeight="1">
      <c r="A38" s="4" t="s">
        <v>6057</v>
      </c>
      <c r="B38" s="4" t="s">
        <v>6058</v>
      </c>
      <c r="C38" s="4" t="s">
        <v>6059</v>
      </c>
      <c r="E38" s="4" t="e">
        <v>#N/A</v>
      </c>
      <c r="H38" s="4" t="s">
        <v>6060</v>
      </c>
      <c r="I38" s="4" t="s">
        <v>6061</v>
      </c>
      <c r="K38" s="4" t="e">
        <v>#N/A</v>
      </c>
      <c r="N38" s="4" t="s">
        <v>6063</v>
      </c>
      <c r="O38" s="4" t="s">
        <v>6064</v>
      </c>
    </row>
    <row r="39" spans="1:15" ht="15.75" customHeight="1">
      <c r="A39" s="4" t="s">
        <v>6065</v>
      </c>
      <c r="B39" s="4" t="e">
        <v>#N/A</v>
      </c>
      <c r="E39" s="4" t="s">
        <v>6066</v>
      </c>
      <c r="F39" s="4" t="s">
        <v>6067</v>
      </c>
      <c r="H39" s="4" t="s">
        <v>6068</v>
      </c>
      <c r="I39" s="4" t="s">
        <v>6069</v>
      </c>
      <c r="K39" s="4" t="e">
        <v>#N/A</v>
      </c>
      <c r="N39" s="4" t="e">
        <v>#N/A</v>
      </c>
    </row>
    <row r="40" spans="1:15" ht="15.75" customHeight="1">
      <c r="A40" s="4" t="s">
        <v>6070</v>
      </c>
      <c r="B40" s="4" t="s">
        <v>6071</v>
      </c>
      <c r="C40" s="4" t="s">
        <v>6072</v>
      </c>
      <c r="E40" s="4" t="s">
        <v>6073</v>
      </c>
      <c r="F40" s="4" t="s">
        <v>6074</v>
      </c>
      <c r="H40" s="4" t="s">
        <v>6075</v>
      </c>
      <c r="I40" s="4" t="s">
        <v>6076</v>
      </c>
      <c r="K40" s="4" t="e">
        <v>#N/A</v>
      </c>
      <c r="N40" s="4" t="s">
        <v>6077</v>
      </c>
      <c r="O40" s="4" t="s">
        <v>6078</v>
      </c>
    </row>
    <row r="41" spans="1:15" ht="15.75" customHeight="1">
      <c r="A41" s="4" t="s">
        <v>6079</v>
      </c>
      <c r="B41" s="4" t="s">
        <v>6080</v>
      </c>
      <c r="C41" s="4" t="s">
        <v>6081</v>
      </c>
      <c r="E41" s="4" t="e">
        <v>#N/A</v>
      </c>
      <c r="H41" s="4" t="e">
        <v>#N/A</v>
      </c>
      <c r="K41" s="4" t="s">
        <v>6082</v>
      </c>
      <c r="L41" s="4" t="s">
        <v>6083</v>
      </c>
      <c r="N41" s="4" t="s">
        <v>6084</v>
      </c>
      <c r="O41" s="4" t="s">
        <v>6085</v>
      </c>
    </row>
    <row r="42" spans="1:15" ht="15.75" customHeight="1">
      <c r="A42" s="4" t="s">
        <v>6086</v>
      </c>
      <c r="B42" s="4" t="e">
        <v>#N/A</v>
      </c>
      <c r="E42" s="4" t="e">
        <v>#N/A</v>
      </c>
      <c r="H42" s="4" t="s">
        <v>6087</v>
      </c>
      <c r="I42" s="4" t="s">
        <v>6088</v>
      </c>
      <c r="K42" s="4" t="s">
        <v>6089</v>
      </c>
      <c r="L42" s="4" t="s">
        <v>6090</v>
      </c>
      <c r="N42" s="4" t="e">
        <v>#N/A</v>
      </c>
    </row>
    <row r="43" spans="1:15" ht="15.75" customHeight="1">
      <c r="A43" s="4" t="s">
        <v>6091</v>
      </c>
      <c r="B43" s="4" t="e">
        <v>#N/A</v>
      </c>
      <c r="E43" s="4" t="e">
        <v>#N/A</v>
      </c>
      <c r="H43" s="4" t="s">
        <v>6092</v>
      </c>
      <c r="I43" s="4" t="s">
        <v>6093</v>
      </c>
      <c r="K43" s="4" t="s">
        <v>6094</v>
      </c>
      <c r="L43" s="4" t="s">
        <v>6095</v>
      </c>
      <c r="N43" s="4" t="s">
        <v>6096</v>
      </c>
      <c r="O43" s="4" t="s">
        <v>6098</v>
      </c>
    </row>
    <row r="44" spans="1:15" ht="15.75" customHeight="1">
      <c r="A44" s="4" t="s">
        <v>6099</v>
      </c>
      <c r="B44" s="4" t="s">
        <v>6100</v>
      </c>
      <c r="C44" s="4" t="s">
        <v>6101</v>
      </c>
      <c r="E44" s="4" t="s">
        <v>6102</v>
      </c>
      <c r="F44" s="4" t="s">
        <v>6103</v>
      </c>
      <c r="H44" s="4" t="e">
        <v>#N/A</v>
      </c>
      <c r="K44" s="4" t="s">
        <v>6104</v>
      </c>
      <c r="L44" s="4" t="s">
        <v>6105</v>
      </c>
      <c r="N44" s="4" t="s">
        <v>6106</v>
      </c>
      <c r="O44" s="4" t="s">
        <v>6107</v>
      </c>
    </row>
    <row r="45" spans="1:15" ht="15.75" customHeight="1">
      <c r="A45" s="4" t="s">
        <v>6108</v>
      </c>
      <c r="B45" s="4" t="s">
        <v>6109</v>
      </c>
      <c r="C45" s="4" t="s">
        <v>6110</v>
      </c>
      <c r="E45" s="4" t="s">
        <v>6111</v>
      </c>
      <c r="F45" s="4" t="s">
        <v>6112</v>
      </c>
      <c r="H45" s="4" t="s">
        <v>6113</v>
      </c>
      <c r="I45" s="4" t="s">
        <v>6114</v>
      </c>
      <c r="K45" s="4" t="s">
        <v>6115</v>
      </c>
      <c r="L45" s="4" t="s">
        <v>6116</v>
      </c>
      <c r="N45" s="4" t="s">
        <v>6117</v>
      </c>
      <c r="O45" s="4" t="s">
        <v>6118</v>
      </c>
    </row>
    <row r="46" spans="1:15" ht="15.75" customHeight="1">
      <c r="A46" s="4" t="s">
        <v>6119</v>
      </c>
      <c r="B46" s="4" t="s">
        <v>6120</v>
      </c>
      <c r="C46" s="4" t="s">
        <v>6121</v>
      </c>
      <c r="E46" s="4" t="s">
        <v>6122</v>
      </c>
      <c r="F46" s="4" t="s">
        <v>6123</v>
      </c>
      <c r="H46" s="4" t="s">
        <v>6124</v>
      </c>
      <c r="I46" s="4" t="s">
        <v>6125</v>
      </c>
      <c r="K46" s="4" t="s">
        <v>6126</v>
      </c>
      <c r="L46" s="4" t="s">
        <v>6127</v>
      </c>
      <c r="N46" s="4" t="e">
        <v>#N/A</v>
      </c>
    </row>
    <row r="47" spans="1:15" ht="15.75" customHeight="1">
      <c r="A47" s="4" t="s">
        <v>6128</v>
      </c>
      <c r="B47" s="4" t="s">
        <v>6129</v>
      </c>
      <c r="C47" s="4" t="s">
        <v>6130</v>
      </c>
      <c r="E47" s="4" t="s">
        <v>6131</v>
      </c>
      <c r="F47" s="4" t="s">
        <v>6132</v>
      </c>
      <c r="H47" s="4" t="s">
        <v>6133</v>
      </c>
      <c r="I47" s="4" t="s">
        <v>6134</v>
      </c>
      <c r="K47" s="4" t="s">
        <v>6135</v>
      </c>
      <c r="L47" s="4" t="s">
        <v>6136</v>
      </c>
      <c r="N47" s="4" t="s">
        <v>6137</v>
      </c>
      <c r="O47" s="4" t="s">
        <v>6138</v>
      </c>
    </row>
    <row r="48" spans="1:15" ht="15.75" customHeight="1">
      <c r="A48" s="4" t="s">
        <v>6139</v>
      </c>
      <c r="B48" s="4" t="s">
        <v>6140</v>
      </c>
      <c r="C48" s="4" t="s">
        <v>6141</v>
      </c>
      <c r="E48" s="4" t="e">
        <v>#N/A</v>
      </c>
      <c r="H48" s="4" t="s">
        <v>6143</v>
      </c>
      <c r="I48" s="4" t="s">
        <v>6144</v>
      </c>
      <c r="K48" s="4" t="s">
        <v>6145</v>
      </c>
      <c r="L48" s="4" t="s">
        <v>6146</v>
      </c>
      <c r="N48" s="4" t="s">
        <v>6147</v>
      </c>
      <c r="O48" s="4" t="s">
        <v>6148</v>
      </c>
    </row>
    <row r="49" spans="1:15" ht="15.75" customHeight="1">
      <c r="A49" s="4" t="s">
        <v>6149</v>
      </c>
      <c r="B49" s="4" t="s">
        <v>6150</v>
      </c>
      <c r="C49" s="4" t="s">
        <v>6151</v>
      </c>
      <c r="E49" s="4" t="e">
        <v>#N/A</v>
      </c>
      <c r="H49" s="4" t="s">
        <v>6152</v>
      </c>
      <c r="I49" s="4" t="s">
        <v>6153</v>
      </c>
      <c r="K49" s="4" t="s">
        <v>6154</v>
      </c>
      <c r="L49" s="4" t="s">
        <v>6155</v>
      </c>
      <c r="N49" s="4" t="s">
        <v>6156</v>
      </c>
      <c r="O49" s="4" t="s">
        <v>6157</v>
      </c>
    </row>
    <row r="50" spans="1:15" ht="15.75" customHeight="1">
      <c r="A50" s="4" t="s">
        <v>6158</v>
      </c>
      <c r="B50" s="4" t="e">
        <v>#N/A</v>
      </c>
      <c r="E50" s="4" t="s">
        <v>6159</v>
      </c>
      <c r="F50" s="4" t="s">
        <v>6160</v>
      </c>
      <c r="H50" s="4" t="s">
        <v>6161</v>
      </c>
      <c r="I50" s="4" t="s">
        <v>6162</v>
      </c>
      <c r="K50" s="4" t="e">
        <v>#N/A</v>
      </c>
      <c r="N50" s="4" t="s">
        <v>6163</v>
      </c>
      <c r="O50" s="4" t="s">
        <v>6164</v>
      </c>
    </row>
    <row r="51" spans="1:15" ht="15.75" customHeight="1">
      <c r="A51" s="4" t="s">
        <v>6165</v>
      </c>
      <c r="B51" s="4" t="s">
        <v>6166</v>
      </c>
      <c r="C51" s="4" t="s">
        <v>6167</v>
      </c>
      <c r="E51" s="4" t="s">
        <v>6168</v>
      </c>
      <c r="F51" s="4" t="s">
        <v>6169</v>
      </c>
      <c r="H51" s="4" t="s">
        <v>6170</v>
      </c>
      <c r="I51" s="4" t="s">
        <v>6171</v>
      </c>
      <c r="K51" s="4" t="s">
        <v>6172</v>
      </c>
      <c r="L51" s="4" t="s">
        <v>6173</v>
      </c>
      <c r="N51" s="4" t="e">
        <v>#N/A</v>
      </c>
    </row>
    <row r="52" spans="1:15" ht="13">
      <c r="A52" s="4" t="s">
        <v>6174</v>
      </c>
      <c r="B52" s="4" t="s">
        <v>6175</v>
      </c>
      <c r="C52" s="4" t="s">
        <v>6176</v>
      </c>
      <c r="E52" s="4" t="s">
        <v>6177</v>
      </c>
      <c r="F52" s="4" t="s">
        <v>6178</v>
      </c>
      <c r="H52" s="4" t="s">
        <v>6179</v>
      </c>
      <c r="I52" s="4" t="s">
        <v>6180</v>
      </c>
      <c r="K52" s="4" t="s">
        <v>6181</v>
      </c>
      <c r="L52" s="4" t="s">
        <v>6182</v>
      </c>
      <c r="N52" s="4" t="s">
        <v>6183</v>
      </c>
      <c r="O52" s="4" t="s">
        <v>6184</v>
      </c>
    </row>
    <row r="53" spans="1:15" ht="13">
      <c r="A53" s="4" t="s">
        <v>6185</v>
      </c>
      <c r="B53" s="4" t="s">
        <v>6186</v>
      </c>
      <c r="C53" s="4" t="s">
        <v>6187</v>
      </c>
      <c r="E53" s="4" t="e">
        <v>#N/A</v>
      </c>
      <c r="H53" s="4" t="s">
        <v>6188</v>
      </c>
      <c r="I53" s="4" t="s">
        <v>6189</v>
      </c>
      <c r="K53" s="4" t="e">
        <v>#N/A</v>
      </c>
      <c r="N53" s="4" t="s">
        <v>6190</v>
      </c>
      <c r="O53" s="4" t="s">
        <v>6191</v>
      </c>
    </row>
    <row r="54" spans="1:15" ht="13">
      <c r="A54" s="4" t="s">
        <v>6192</v>
      </c>
      <c r="B54" s="4" t="s">
        <v>6193</v>
      </c>
      <c r="C54" s="4" t="s">
        <v>6194</v>
      </c>
      <c r="E54" s="4" t="s">
        <v>6195</v>
      </c>
      <c r="F54" s="4" t="s">
        <v>6196</v>
      </c>
      <c r="H54" s="4" t="s">
        <v>6197</v>
      </c>
      <c r="I54" s="4" t="s">
        <v>6198</v>
      </c>
      <c r="K54" s="4" t="s">
        <v>6199</v>
      </c>
      <c r="L54" s="4" t="s">
        <v>6200</v>
      </c>
      <c r="N54" s="4" t="s">
        <v>6201</v>
      </c>
      <c r="O54" s="4" t="s">
        <v>6202</v>
      </c>
    </row>
    <row r="55" spans="1:15" ht="13">
      <c r="A55" s="4" t="s">
        <v>6203</v>
      </c>
      <c r="B55" s="4" t="e">
        <v>#N/A</v>
      </c>
      <c r="E55" s="4" t="s">
        <v>6204</v>
      </c>
      <c r="F55" s="4" t="s">
        <v>6205</v>
      </c>
      <c r="H55" s="4" t="e">
        <v>#N/A</v>
      </c>
      <c r="K55" s="4" t="e">
        <v>#N/A</v>
      </c>
      <c r="N55" s="4" t="s">
        <v>6207</v>
      </c>
      <c r="O55" s="4" t="s">
        <v>6208</v>
      </c>
    </row>
    <row r="56" spans="1:15" ht="13">
      <c r="A56" s="4" t="s">
        <v>6209</v>
      </c>
      <c r="B56" s="4" t="s">
        <v>6210</v>
      </c>
      <c r="C56" s="4" t="s">
        <v>6211</v>
      </c>
      <c r="E56" s="4" t="e">
        <v>#N/A</v>
      </c>
      <c r="H56" s="4" t="s">
        <v>6212</v>
      </c>
      <c r="I56" s="4" t="s">
        <v>6213</v>
      </c>
      <c r="K56" s="4" t="e">
        <v>#N/A</v>
      </c>
      <c r="N56" s="4" t="s">
        <v>6214</v>
      </c>
      <c r="O56" s="4" t="s">
        <v>6215</v>
      </c>
    </row>
    <row r="57" spans="1:15" ht="13">
      <c r="A57" s="4" t="s">
        <v>6216</v>
      </c>
      <c r="B57" s="4" t="s">
        <v>6217</v>
      </c>
      <c r="C57" s="4" t="s">
        <v>6218</v>
      </c>
      <c r="E57" s="4" t="e">
        <v>#N/A</v>
      </c>
      <c r="H57" s="4" t="s">
        <v>6219</v>
      </c>
      <c r="I57" s="4" t="s">
        <v>6220</v>
      </c>
      <c r="K57" s="4" t="s">
        <v>6221</v>
      </c>
      <c r="L57" s="4" t="s">
        <v>6222</v>
      </c>
      <c r="N57" s="4" t="s">
        <v>6223</v>
      </c>
      <c r="O57" s="4" t="s">
        <v>6224</v>
      </c>
    </row>
    <row r="58" spans="1:15" ht="13">
      <c r="A58" s="4" t="s">
        <v>6225</v>
      </c>
      <c r="B58" s="4" t="s">
        <v>6226</v>
      </c>
      <c r="C58" s="4" t="s">
        <v>6227</v>
      </c>
      <c r="E58" s="4" t="e">
        <v>#N/A</v>
      </c>
      <c r="H58" s="4" t="s">
        <v>6228</v>
      </c>
      <c r="I58" s="4" t="s">
        <v>6229</v>
      </c>
      <c r="K58" s="4" t="s">
        <v>6230</v>
      </c>
      <c r="L58" s="4" t="s">
        <v>6231</v>
      </c>
      <c r="N58" s="4" t="e">
        <v>#N/A</v>
      </c>
    </row>
    <row r="59" spans="1:15" ht="13">
      <c r="A59" s="4" t="s">
        <v>6232</v>
      </c>
      <c r="B59" s="4" t="e">
        <v>#N/A</v>
      </c>
      <c r="E59" s="4" t="s">
        <v>6233</v>
      </c>
      <c r="F59" s="4" t="s">
        <v>6234</v>
      </c>
      <c r="H59" s="4" t="s">
        <v>6235</v>
      </c>
      <c r="I59" s="4" t="s">
        <v>6236</v>
      </c>
      <c r="K59" s="4" t="e">
        <v>#N/A</v>
      </c>
      <c r="N59" s="4" t="s">
        <v>6237</v>
      </c>
      <c r="O59" s="4" t="s">
        <v>6238</v>
      </c>
    </row>
    <row r="60" spans="1:15" ht="13">
      <c r="A60" s="4" t="s">
        <v>6239</v>
      </c>
      <c r="B60" s="4" t="e">
        <v>#N/A</v>
      </c>
      <c r="E60" s="4" t="s">
        <v>6240</v>
      </c>
      <c r="F60" s="4" t="s">
        <v>6241</v>
      </c>
      <c r="H60" s="4" t="s">
        <v>6242</v>
      </c>
      <c r="I60" s="4" t="s">
        <v>6243</v>
      </c>
      <c r="K60" s="4" t="s">
        <v>6244</v>
      </c>
      <c r="L60" s="4" t="s">
        <v>6245</v>
      </c>
      <c r="N60" s="4" t="s">
        <v>6246</v>
      </c>
      <c r="O60" s="4" t="s">
        <v>6247</v>
      </c>
    </row>
    <row r="61" spans="1:15" ht="13">
      <c r="A61" s="4" t="s">
        <v>6248</v>
      </c>
      <c r="B61" s="4" t="s">
        <v>6249</v>
      </c>
      <c r="C61" s="4" t="s">
        <v>6250</v>
      </c>
      <c r="E61" s="4" t="e">
        <v>#N/A</v>
      </c>
      <c r="H61" s="4" t="s">
        <v>6251</v>
      </c>
      <c r="I61" s="4" t="s">
        <v>6252</v>
      </c>
      <c r="K61" s="4" t="s">
        <v>6253</v>
      </c>
      <c r="L61" s="4" t="s">
        <v>6254</v>
      </c>
      <c r="N61" s="4" t="s">
        <v>6255</v>
      </c>
      <c r="O61" s="4" t="s">
        <v>6256</v>
      </c>
    </row>
    <row r="62" spans="1:15" ht="13">
      <c r="A62" s="4" t="s">
        <v>6257</v>
      </c>
      <c r="B62" s="4" t="s">
        <v>6259</v>
      </c>
      <c r="C62" s="4" t="s">
        <v>6260</v>
      </c>
      <c r="E62" s="4" t="e">
        <v>#N/A</v>
      </c>
      <c r="H62" s="4" t="e">
        <v>#N/A</v>
      </c>
      <c r="K62" s="4" t="s">
        <v>6261</v>
      </c>
      <c r="L62" s="4" t="s">
        <v>6262</v>
      </c>
      <c r="N62" s="4" t="e">
        <v>#N/A</v>
      </c>
    </row>
    <row r="63" spans="1:15" ht="13">
      <c r="A63" s="4" t="s">
        <v>6263</v>
      </c>
      <c r="B63" s="4" t="s">
        <v>6264</v>
      </c>
      <c r="C63" s="4" t="s">
        <v>6265</v>
      </c>
      <c r="E63" s="4" t="e">
        <v>#N/A</v>
      </c>
      <c r="H63" s="4" t="s">
        <v>6266</v>
      </c>
      <c r="I63" s="4" t="s">
        <v>6267</v>
      </c>
      <c r="K63" s="4" t="s">
        <v>6268</v>
      </c>
      <c r="L63" s="4" t="s">
        <v>6269</v>
      </c>
      <c r="N63" s="4" t="s">
        <v>6270</v>
      </c>
      <c r="O63" s="4" t="s">
        <v>6271</v>
      </c>
    </row>
    <row r="64" spans="1:15" ht="13">
      <c r="A64" s="4" t="s">
        <v>6272</v>
      </c>
      <c r="B64" s="4" t="e">
        <v>#N/A</v>
      </c>
      <c r="E64" s="4" t="s">
        <v>6273</v>
      </c>
      <c r="F64" s="4" t="s">
        <v>6274</v>
      </c>
      <c r="H64" s="4" t="s">
        <v>6275</v>
      </c>
      <c r="I64" s="4" t="s">
        <v>6276</v>
      </c>
      <c r="K64" s="4" t="e">
        <v>#N/A</v>
      </c>
      <c r="N64" s="4" t="s">
        <v>6277</v>
      </c>
      <c r="O64" s="4" t="s">
        <v>6278</v>
      </c>
    </row>
    <row r="65" spans="1:15" ht="13">
      <c r="A65" s="4" t="s">
        <v>6279</v>
      </c>
      <c r="B65" s="4" t="s">
        <v>6280</v>
      </c>
      <c r="C65" s="4" t="s">
        <v>6281</v>
      </c>
      <c r="E65" s="4" t="s">
        <v>6282</v>
      </c>
      <c r="F65" s="4" t="s">
        <v>6283</v>
      </c>
      <c r="H65" s="4" t="s">
        <v>6284</v>
      </c>
      <c r="I65" s="4" t="s">
        <v>6285</v>
      </c>
      <c r="K65" s="4" t="s">
        <v>6286</v>
      </c>
      <c r="L65" s="4" t="s">
        <v>6287</v>
      </c>
      <c r="N65" s="4" t="s">
        <v>6288</v>
      </c>
      <c r="O65" s="4" t="s">
        <v>6289</v>
      </c>
    </row>
    <row r="66" spans="1:15" ht="13">
      <c r="A66" s="4" t="s">
        <v>6290</v>
      </c>
      <c r="B66" s="4" t="s">
        <v>6291</v>
      </c>
      <c r="C66" s="4" t="s">
        <v>6292</v>
      </c>
      <c r="E66" s="4" t="s">
        <v>6293</v>
      </c>
      <c r="F66" s="4" t="s">
        <v>6294</v>
      </c>
      <c r="H66" s="4" t="s">
        <v>6295</v>
      </c>
      <c r="I66" s="4" t="s">
        <v>6296</v>
      </c>
      <c r="K66" s="4" t="s">
        <v>6297</v>
      </c>
      <c r="L66" s="4" t="s">
        <v>6298</v>
      </c>
      <c r="N66" s="4" t="s">
        <v>6299</v>
      </c>
      <c r="O66" s="4" t="s">
        <v>6300</v>
      </c>
    </row>
    <row r="67" spans="1:15" ht="13">
      <c r="A67" s="4" t="s">
        <v>6301</v>
      </c>
      <c r="B67" s="4" t="s">
        <v>6302</v>
      </c>
      <c r="C67" s="4" t="s">
        <v>6303</v>
      </c>
      <c r="E67" s="4" t="e">
        <v>#N/A</v>
      </c>
      <c r="H67" s="4" t="s">
        <v>6304</v>
      </c>
      <c r="I67" s="4" t="s">
        <v>6305</v>
      </c>
      <c r="K67" s="4" t="e">
        <v>#N/A</v>
      </c>
      <c r="N67" s="4" t="e">
        <v>#N/A</v>
      </c>
    </row>
    <row r="68" spans="1:15" ht="13">
      <c r="A68" s="4" t="s">
        <v>6306</v>
      </c>
      <c r="B68" s="4" t="s">
        <v>6307</v>
      </c>
      <c r="C68" s="4" t="s">
        <v>6308</v>
      </c>
      <c r="E68" s="4" t="e">
        <v>#N/A</v>
      </c>
      <c r="H68" s="4" t="s">
        <v>6309</v>
      </c>
      <c r="I68" s="4" t="s">
        <v>6310</v>
      </c>
      <c r="K68" s="4" t="s">
        <v>6311</v>
      </c>
      <c r="L68" s="4" t="s">
        <v>6312</v>
      </c>
      <c r="N68" s="4" t="s">
        <v>6313</v>
      </c>
      <c r="O68" s="4" t="s">
        <v>6315</v>
      </c>
    </row>
    <row r="69" spans="1:15" ht="13">
      <c r="A69" s="4" t="s">
        <v>6316</v>
      </c>
      <c r="B69" s="4" t="s">
        <v>6317</v>
      </c>
      <c r="C69" s="4" t="s">
        <v>6318</v>
      </c>
      <c r="E69" s="4" t="s">
        <v>6319</v>
      </c>
      <c r="F69" s="4" t="s">
        <v>6320</v>
      </c>
      <c r="H69" s="4" t="s">
        <v>6321</v>
      </c>
      <c r="I69" s="4" t="s">
        <v>6322</v>
      </c>
      <c r="K69" s="4" t="s">
        <v>6323</v>
      </c>
      <c r="L69" s="4" t="s">
        <v>6324</v>
      </c>
      <c r="N69" s="4" t="s">
        <v>6325</v>
      </c>
      <c r="O69" s="4" t="s">
        <v>6326</v>
      </c>
    </row>
    <row r="70" spans="1:15" ht="13">
      <c r="A70" s="4" t="s">
        <v>6327</v>
      </c>
      <c r="B70" s="4" t="e">
        <v>#N/A</v>
      </c>
      <c r="E70" s="4" t="s">
        <v>6328</v>
      </c>
      <c r="F70" s="4" t="s">
        <v>6329</v>
      </c>
      <c r="H70" s="4" t="s">
        <v>6330</v>
      </c>
      <c r="I70" s="4" t="s">
        <v>6331</v>
      </c>
      <c r="K70" s="4" t="s">
        <v>6332</v>
      </c>
      <c r="L70" s="4" t="s">
        <v>6333</v>
      </c>
      <c r="N70" s="4" t="s">
        <v>6334</v>
      </c>
      <c r="O70" s="4" t="s">
        <v>6335</v>
      </c>
    </row>
    <row r="71" spans="1:15" ht="13">
      <c r="A71" s="4" t="s">
        <v>6336</v>
      </c>
      <c r="B71" s="4" t="e">
        <v>#N/A</v>
      </c>
      <c r="E71" s="4" t="s">
        <v>6337</v>
      </c>
      <c r="F71" s="4" t="s">
        <v>6338</v>
      </c>
      <c r="H71" s="4" t="s">
        <v>6339</v>
      </c>
      <c r="I71" s="4" t="s">
        <v>6340</v>
      </c>
      <c r="K71" s="4" t="s">
        <v>6341</v>
      </c>
      <c r="L71" s="4" t="s">
        <v>6343</v>
      </c>
      <c r="N71" s="4" t="e">
        <v>#N/A</v>
      </c>
    </row>
    <row r="72" spans="1:15" ht="13">
      <c r="A72" s="4" t="s">
        <v>6346</v>
      </c>
      <c r="B72" s="4" t="s">
        <v>6347</v>
      </c>
      <c r="C72" s="4" t="s">
        <v>6348</v>
      </c>
      <c r="E72" s="4" t="s">
        <v>6349</v>
      </c>
      <c r="F72" s="4" t="s">
        <v>6351</v>
      </c>
      <c r="H72" s="4" t="s">
        <v>6352</v>
      </c>
      <c r="I72" s="4" t="s">
        <v>6354</v>
      </c>
      <c r="K72" s="4" t="e">
        <v>#N/A</v>
      </c>
      <c r="N72" s="4" t="s">
        <v>6357</v>
      </c>
      <c r="O72" s="4" t="s">
        <v>6359</v>
      </c>
    </row>
    <row r="73" spans="1:15" ht="13">
      <c r="A73" s="4" t="s">
        <v>6362</v>
      </c>
      <c r="B73" s="4" t="s">
        <v>6363</v>
      </c>
      <c r="C73" s="4" t="s">
        <v>6366</v>
      </c>
      <c r="E73" s="4" t="e">
        <v>#N/A</v>
      </c>
      <c r="H73" s="4" t="s">
        <v>6369</v>
      </c>
      <c r="I73" s="4" t="s">
        <v>6371</v>
      </c>
      <c r="K73" s="4" t="s">
        <v>6372</v>
      </c>
      <c r="L73" s="4" t="s">
        <v>6375</v>
      </c>
      <c r="N73" s="4" t="s">
        <v>6376</v>
      </c>
      <c r="O73" s="4" t="s">
        <v>6378</v>
      </c>
    </row>
    <row r="74" spans="1:15" ht="13">
      <c r="A74" s="4" t="s">
        <v>6381</v>
      </c>
      <c r="B74" s="4" t="e">
        <v>#N/A</v>
      </c>
      <c r="E74" s="4" t="s">
        <v>6384</v>
      </c>
      <c r="F74" s="4" t="s">
        <v>6386</v>
      </c>
      <c r="H74" s="4" t="s">
        <v>6388</v>
      </c>
      <c r="I74" s="4" t="s">
        <v>6390</v>
      </c>
      <c r="K74" s="4" t="e">
        <v>#N/A</v>
      </c>
      <c r="N74" s="4" t="s">
        <v>6394</v>
      </c>
      <c r="O74" s="4" t="s">
        <v>6396</v>
      </c>
    </row>
    <row r="75" spans="1:15" ht="13">
      <c r="A75" s="4" t="s">
        <v>6398</v>
      </c>
      <c r="B75" s="4" t="e">
        <v>#N/A</v>
      </c>
      <c r="E75" s="4" t="s">
        <v>6399</v>
      </c>
      <c r="F75" s="4" t="s">
        <v>6403</v>
      </c>
      <c r="H75" s="4" t="s">
        <v>6404</v>
      </c>
      <c r="I75" s="4" t="s">
        <v>6407</v>
      </c>
      <c r="K75" s="4" t="s">
        <v>6409</v>
      </c>
      <c r="L75" s="4" t="s">
        <v>6410</v>
      </c>
      <c r="N75" s="4" t="e">
        <v>#N/A</v>
      </c>
    </row>
    <row r="76" spans="1:15" ht="13">
      <c r="A76" s="4" t="s">
        <v>6411</v>
      </c>
      <c r="B76" s="4" t="s">
        <v>6413</v>
      </c>
      <c r="C76" s="4" t="s">
        <v>6415</v>
      </c>
      <c r="E76" s="4" t="e">
        <v>#N/A</v>
      </c>
      <c r="H76" s="4" t="e">
        <v>#N/A</v>
      </c>
      <c r="K76" s="4" t="s">
        <v>6417</v>
      </c>
      <c r="L76" s="4" t="s">
        <v>6420</v>
      </c>
      <c r="N76" s="4" t="e">
        <v>#N/A</v>
      </c>
    </row>
    <row r="77" spans="1:15" ht="13">
      <c r="A77" s="4" t="s">
        <v>6423</v>
      </c>
      <c r="B77" s="4" t="s">
        <v>6425</v>
      </c>
      <c r="C77" s="4" t="s">
        <v>6427</v>
      </c>
      <c r="E77" s="4" t="s">
        <v>6429</v>
      </c>
      <c r="F77" s="4" t="s">
        <v>6432</v>
      </c>
      <c r="H77" s="4" t="s">
        <v>6434</v>
      </c>
      <c r="I77" s="4" t="s">
        <v>6435</v>
      </c>
      <c r="K77" s="4" t="s">
        <v>6437</v>
      </c>
      <c r="L77" s="4" t="s">
        <v>6439</v>
      </c>
      <c r="N77" s="4" t="s">
        <v>6441</v>
      </c>
      <c r="O77" s="4" t="s">
        <v>6443</v>
      </c>
    </row>
    <row r="78" spans="1:15" ht="13">
      <c r="A78" s="4" t="s">
        <v>6444</v>
      </c>
      <c r="B78" s="4" t="s">
        <v>6446</v>
      </c>
      <c r="C78" s="4" t="s">
        <v>6448</v>
      </c>
      <c r="E78" s="4" t="e">
        <v>#N/A</v>
      </c>
      <c r="H78" s="4" t="e">
        <v>#N/A</v>
      </c>
      <c r="K78" s="4" t="s">
        <v>6452</v>
      </c>
      <c r="L78" s="4" t="s">
        <v>6454</v>
      </c>
      <c r="N78" s="4" t="s">
        <v>6455</v>
      </c>
      <c r="O78" s="4" t="s">
        <v>6457</v>
      </c>
    </row>
    <row r="79" spans="1:15" ht="13">
      <c r="A79" s="4" t="s">
        <v>6459</v>
      </c>
      <c r="B79" s="4" t="s">
        <v>6461</v>
      </c>
      <c r="C79" s="4" t="s">
        <v>6463</v>
      </c>
      <c r="E79" s="4" t="s">
        <v>6465</v>
      </c>
      <c r="F79" s="4" t="s">
        <v>6467</v>
      </c>
      <c r="H79" s="4" t="s">
        <v>6469</v>
      </c>
      <c r="I79" s="4" t="s">
        <v>6471</v>
      </c>
      <c r="K79" s="4" t="s">
        <v>6473</v>
      </c>
      <c r="L79" s="4" t="s">
        <v>6475</v>
      </c>
      <c r="N79" s="4" t="s">
        <v>6477</v>
      </c>
      <c r="O79" s="4" t="s">
        <v>6479</v>
      </c>
    </row>
    <row r="80" spans="1:15" ht="13">
      <c r="A80" s="4" t="s">
        <v>6480</v>
      </c>
      <c r="B80" s="4" t="s">
        <v>6481</v>
      </c>
      <c r="C80" s="4" t="s">
        <v>6484</v>
      </c>
      <c r="E80" s="4" t="s">
        <v>6486</v>
      </c>
      <c r="F80" s="4" t="s">
        <v>6488</v>
      </c>
      <c r="H80" s="4" t="s">
        <v>6490</v>
      </c>
      <c r="I80" s="4" t="s">
        <v>6492</v>
      </c>
      <c r="K80" s="4" t="s">
        <v>6494</v>
      </c>
      <c r="L80" s="4" t="s">
        <v>6496</v>
      </c>
      <c r="N80" s="4" t="s">
        <v>6498</v>
      </c>
      <c r="O80" s="4" t="s">
        <v>6500</v>
      </c>
    </row>
    <row r="81" spans="1:15" ht="13">
      <c r="A81" s="4" t="s">
        <v>6502</v>
      </c>
      <c r="B81" s="4" t="s">
        <v>6504</v>
      </c>
      <c r="C81" s="4" t="s">
        <v>6506</v>
      </c>
      <c r="E81" s="4" t="e">
        <v>#N/A</v>
      </c>
      <c r="H81" s="4" t="s">
        <v>6509</v>
      </c>
      <c r="I81" s="4" t="s">
        <v>6511</v>
      </c>
      <c r="K81" s="4" t="s">
        <v>6516</v>
      </c>
      <c r="L81" s="4" t="s">
        <v>6518</v>
      </c>
      <c r="N81" s="4" t="e">
        <v>#N/A</v>
      </c>
    </row>
    <row r="82" spans="1:15" ht="13">
      <c r="A82" s="4" t="s">
        <v>6520</v>
      </c>
      <c r="B82" s="4" t="s">
        <v>6521</v>
      </c>
      <c r="C82" s="4" t="s">
        <v>6524</v>
      </c>
      <c r="E82" s="4" t="s">
        <v>6525</v>
      </c>
      <c r="F82" s="4" t="s">
        <v>6526</v>
      </c>
      <c r="H82" s="4" t="s">
        <v>6528</v>
      </c>
      <c r="I82" s="4" t="s">
        <v>6530</v>
      </c>
      <c r="K82" s="4" t="e">
        <v>#N/A</v>
      </c>
      <c r="N82" s="4" t="e">
        <v>#N/A</v>
      </c>
    </row>
    <row r="83" spans="1:15" ht="13">
      <c r="A83" s="4" t="s">
        <v>6532</v>
      </c>
      <c r="B83" s="4" t="s">
        <v>6533</v>
      </c>
      <c r="C83" s="4" t="s">
        <v>6536</v>
      </c>
      <c r="E83" s="4" t="s">
        <v>6537</v>
      </c>
      <c r="F83" s="4" t="s">
        <v>6539</v>
      </c>
      <c r="H83" s="4" t="e">
        <v>#N/A</v>
      </c>
      <c r="K83" s="4" t="s">
        <v>6542</v>
      </c>
      <c r="L83" s="4" t="s">
        <v>6544</v>
      </c>
      <c r="N83" s="4" t="s">
        <v>6546</v>
      </c>
      <c r="O83" s="4" t="s">
        <v>6548</v>
      </c>
    </row>
    <row r="84" spans="1:15" ht="13">
      <c r="A84" s="4" t="s">
        <v>6550</v>
      </c>
      <c r="B84" s="4" t="s">
        <v>6551</v>
      </c>
      <c r="C84" s="4" t="s">
        <v>6552</v>
      </c>
      <c r="E84" s="4" t="s">
        <v>6554</v>
      </c>
      <c r="F84" s="4" t="s">
        <v>6556</v>
      </c>
      <c r="H84" s="4" t="s">
        <v>6558</v>
      </c>
      <c r="I84" s="4" t="s">
        <v>6560</v>
      </c>
      <c r="K84" s="4" t="s">
        <v>6562</v>
      </c>
      <c r="L84" s="4" t="s">
        <v>6564</v>
      </c>
      <c r="N84" s="4" t="s">
        <v>6565</v>
      </c>
      <c r="O84" s="4" t="s">
        <v>6567</v>
      </c>
    </row>
    <row r="85" spans="1:15" ht="13">
      <c r="A85" s="4" t="s">
        <v>6569</v>
      </c>
      <c r="B85" s="4" t="s">
        <v>6571</v>
      </c>
      <c r="C85" s="4" t="s">
        <v>6573</v>
      </c>
      <c r="E85" s="4" t="s">
        <v>6575</v>
      </c>
      <c r="F85" s="4" t="s">
        <v>6577</v>
      </c>
      <c r="H85" s="4" t="s">
        <v>6579</v>
      </c>
      <c r="I85" s="4" t="s">
        <v>6581</v>
      </c>
      <c r="K85" s="4" t="s">
        <v>6583</v>
      </c>
      <c r="L85" s="4" t="s">
        <v>6585</v>
      </c>
      <c r="N85" s="4" t="s">
        <v>6587</v>
      </c>
      <c r="O85" s="4" t="s">
        <v>6589</v>
      </c>
    </row>
    <row r="86" spans="1:15" ht="13">
      <c r="A86" s="4" t="s">
        <v>6590</v>
      </c>
      <c r="B86" s="4" t="s">
        <v>6592</v>
      </c>
      <c r="C86" s="4" t="s">
        <v>6595</v>
      </c>
      <c r="E86" s="4" t="s">
        <v>6597</v>
      </c>
      <c r="F86" s="4" t="s">
        <v>135</v>
      </c>
      <c r="G86" s="4" t="s">
        <v>6599</v>
      </c>
      <c r="H86" s="4" t="e">
        <v>#N/A</v>
      </c>
      <c r="K86" s="4" t="s">
        <v>6603</v>
      </c>
      <c r="L86" s="4" t="s">
        <v>6606</v>
      </c>
      <c r="N86" s="4" t="s">
        <v>6608</v>
      </c>
      <c r="O86" s="4" t="s">
        <v>6611</v>
      </c>
    </row>
    <row r="87" spans="1:15" ht="13">
      <c r="A87" s="4" t="s">
        <v>6613</v>
      </c>
      <c r="B87" s="4" t="s">
        <v>6614</v>
      </c>
      <c r="C87" s="4" t="s">
        <v>6616</v>
      </c>
      <c r="E87" s="4" t="s">
        <v>6618</v>
      </c>
      <c r="F87" s="4" t="s">
        <v>6621</v>
      </c>
      <c r="H87" s="4" t="e">
        <v>#N/A</v>
      </c>
      <c r="K87" s="4" t="s">
        <v>6623</v>
      </c>
      <c r="L87" s="4" t="s">
        <v>6625</v>
      </c>
      <c r="N87" s="4" t="s">
        <v>6626</v>
      </c>
      <c r="O87" s="4" t="s">
        <v>6628</v>
      </c>
    </row>
    <row r="88" spans="1:15" ht="13">
      <c r="A88" s="4" t="s">
        <v>6630</v>
      </c>
      <c r="B88" s="4" t="s">
        <v>6631</v>
      </c>
      <c r="C88" s="4" t="s">
        <v>6634</v>
      </c>
      <c r="E88" s="4" t="s">
        <v>6636</v>
      </c>
      <c r="F88" s="4" t="s">
        <v>6638</v>
      </c>
      <c r="H88" s="4" t="s">
        <v>6640</v>
      </c>
      <c r="I88" s="4" t="s">
        <v>6642</v>
      </c>
      <c r="K88" s="4" t="s">
        <v>6644</v>
      </c>
      <c r="L88" s="4" t="s">
        <v>6645</v>
      </c>
      <c r="N88" s="4" t="s">
        <v>6646</v>
      </c>
      <c r="O88" s="4" t="s">
        <v>6647</v>
      </c>
    </row>
    <row r="89" spans="1:15" ht="13">
      <c r="A89" s="4" t="s">
        <v>6649</v>
      </c>
      <c r="B89" s="4" t="s">
        <v>6650</v>
      </c>
      <c r="C89" s="4" t="s">
        <v>6652</v>
      </c>
      <c r="E89" s="4" t="s">
        <v>6654</v>
      </c>
      <c r="F89" s="4" t="s">
        <v>6656</v>
      </c>
      <c r="H89" s="4" t="s">
        <v>6658</v>
      </c>
      <c r="I89" s="4" t="s">
        <v>6660</v>
      </c>
      <c r="K89" s="4" t="s">
        <v>6662</v>
      </c>
      <c r="L89" s="4" t="s">
        <v>6664</v>
      </c>
      <c r="N89" s="4" t="s">
        <v>6666</v>
      </c>
      <c r="O89" s="4" t="s">
        <v>6668</v>
      </c>
    </row>
    <row r="90" spans="1:15" ht="13">
      <c r="A90" s="4" t="s">
        <v>6671</v>
      </c>
      <c r="B90" s="4" t="s">
        <v>6674</v>
      </c>
      <c r="C90" s="4" t="s">
        <v>6677</v>
      </c>
      <c r="E90" s="4" t="s">
        <v>6678</v>
      </c>
      <c r="F90" s="4" t="s">
        <v>6681</v>
      </c>
      <c r="H90" s="4" t="e">
        <v>#N/A</v>
      </c>
      <c r="K90" s="4" t="s">
        <v>6683</v>
      </c>
      <c r="L90" s="4" t="s">
        <v>6686</v>
      </c>
      <c r="N90" s="4" t="s">
        <v>6687</v>
      </c>
      <c r="O90" s="4" t="s">
        <v>6689</v>
      </c>
    </row>
    <row r="91" spans="1:15" ht="13">
      <c r="A91" s="4" t="s">
        <v>6690</v>
      </c>
      <c r="B91" s="4" t="s">
        <v>6691</v>
      </c>
      <c r="C91" s="4" t="s">
        <v>6693</v>
      </c>
      <c r="E91" s="4" t="s">
        <v>6696</v>
      </c>
      <c r="F91" s="4" t="s">
        <v>6697</v>
      </c>
      <c r="H91" s="4" t="e">
        <v>#N/A</v>
      </c>
      <c r="K91" s="4" t="s">
        <v>6699</v>
      </c>
      <c r="L91" s="4" t="s">
        <v>135</v>
      </c>
      <c r="M91" s="4" t="s">
        <v>6703</v>
      </c>
      <c r="N91" s="4" t="s">
        <v>6704</v>
      </c>
      <c r="O91" s="4" t="s">
        <v>6707</v>
      </c>
    </row>
    <row r="92" spans="1:15" ht="13">
      <c r="A92" s="4" t="s">
        <v>6709</v>
      </c>
      <c r="B92" s="4" t="s">
        <v>6711</v>
      </c>
      <c r="C92" s="4" t="s">
        <v>6712</v>
      </c>
      <c r="E92" s="4" t="s">
        <v>6714</v>
      </c>
      <c r="F92" s="4" t="s">
        <v>6716</v>
      </c>
      <c r="H92" s="4" t="s">
        <v>6718</v>
      </c>
      <c r="I92" s="4" t="s">
        <v>6721</v>
      </c>
      <c r="K92" s="4" t="s">
        <v>6722</v>
      </c>
      <c r="L92" s="4" t="s">
        <v>6723</v>
      </c>
      <c r="N92" s="4" t="s">
        <v>6725</v>
      </c>
      <c r="O92" s="4" t="s">
        <v>6728</v>
      </c>
    </row>
    <row r="93" spans="1:15" ht="13">
      <c r="A93" s="4" t="s">
        <v>6729</v>
      </c>
      <c r="B93" s="4" t="s">
        <v>6731</v>
      </c>
      <c r="C93" s="4" t="s">
        <v>6733</v>
      </c>
      <c r="E93" s="4" t="e">
        <v>#N/A</v>
      </c>
      <c r="H93" s="4" t="s">
        <v>6737</v>
      </c>
      <c r="I93" s="4" t="s">
        <v>6739</v>
      </c>
      <c r="K93" s="4" t="s">
        <v>6741</v>
      </c>
      <c r="L93" s="4" t="s">
        <v>6743</v>
      </c>
      <c r="N93" s="4" t="e">
        <v>#N/A</v>
      </c>
    </row>
    <row r="94" spans="1:15" ht="13">
      <c r="A94" s="4" t="s">
        <v>6746</v>
      </c>
      <c r="B94" s="4" t="s">
        <v>6748</v>
      </c>
      <c r="C94" s="4" t="s">
        <v>6750</v>
      </c>
      <c r="E94" s="4" t="s">
        <v>6752</v>
      </c>
      <c r="F94" s="4" t="s">
        <v>6754</v>
      </c>
      <c r="H94" s="4" t="s">
        <v>6756</v>
      </c>
      <c r="I94" s="4" t="s">
        <v>6759</v>
      </c>
      <c r="K94" s="4" t="s">
        <v>6761</v>
      </c>
      <c r="L94" s="4" t="s">
        <v>6762</v>
      </c>
      <c r="N94" s="4" t="s">
        <v>6763</v>
      </c>
      <c r="O94" s="4" t="s">
        <v>6765</v>
      </c>
    </row>
    <row r="95" spans="1:15" ht="13">
      <c r="A95" s="4" t="s">
        <v>6768</v>
      </c>
      <c r="B95" s="4" t="s">
        <v>6770</v>
      </c>
      <c r="C95" s="4" t="s">
        <v>6771</v>
      </c>
      <c r="E95" s="4" t="s">
        <v>6773</v>
      </c>
      <c r="F95" s="4" t="s">
        <v>6776</v>
      </c>
      <c r="H95" s="4" t="s">
        <v>6778</v>
      </c>
      <c r="I95" s="4" t="s">
        <v>6780</v>
      </c>
      <c r="K95" s="4" t="s">
        <v>6781</v>
      </c>
      <c r="L95" s="4" t="s">
        <v>6784</v>
      </c>
      <c r="N95" s="4" t="e">
        <v>#N/A</v>
      </c>
    </row>
    <row r="96" spans="1:15" ht="13">
      <c r="A96" s="4" t="s">
        <v>6787</v>
      </c>
      <c r="B96" s="4" t="s">
        <v>6789</v>
      </c>
      <c r="C96" s="4" t="s">
        <v>6791</v>
      </c>
      <c r="E96" s="4" t="s">
        <v>6793</v>
      </c>
      <c r="F96" s="4" t="s">
        <v>6795</v>
      </c>
      <c r="H96" s="4" t="s">
        <v>6797</v>
      </c>
      <c r="I96" s="4" t="s">
        <v>6799</v>
      </c>
      <c r="K96" s="4" t="s">
        <v>6801</v>
      </c>
      <c r="L96" s="4" t="s">
        <v>6803</v>
      </c>
      <c r="N96" s="4" t="e">
        <v>#N/A</v>
      </c>
    </row>
    <row r="97" spans="1:15" ht="13">
      <c r="A97" s="4" t="s">
        <v>6813</v>
      </c>
      <c r="B97" s="4" t="s">
        <v>6814</v>
      </c>
      <c r="C97" s="4" t="s">
        <v>6817</v>
      </c>
      <c r="E97" s="4" t="s">
        <v>6819</v>
      </c>
      <c r="F97" s="4" t="s">
        <v>6820</v>
      </c>
      <c r="H97" s="4" t="s">
        <v>6822</v>
      </c>
      <c r="I97" s="4" t="s">
        <v>6824</v>
      </c>
      <c r="K97" s="4" t="s">
        <v>6826</v>
      </c>
      <c r="L97" s="4" t="s">
        <v>6828</v>
      </c>
      <c r="N97" s="4" t="e">
        <v>#N/A</v>
      </c>
    </row>
    <row r="98" spans="1:15" ht="13">
      <c r="A98" s="4" t="s">
        <v>6831</v>
      </c>
      <c r="B98" s="4" t="e">
        <v>#N/A</v>
      </c>
      <c r="E98" s="4" t="s">
        <v>6834</v>
      </c>
      <c r="F98" s="4" t="s">
        <v>6836</v>
      </c>
      <c r="H98" s="4" t="s">
        <v>6838</v>
      </c>
      <c r="I98" s="4" t="s">
        <v>6840</v>
      </c>
      <c r="K98" s="4" t="s">
        <v>6842</v>
      </c>
      <c r="L98" s="4" t="s">
        <v>6845</v>
      </c>
      <c r="N98" s="4" t="s">
        <v>6846</v>
      </c>
      <c r="O98" s="4" t="s">
        <v>6848</v>
      </c>
    </row>
    <row r="99" spans="1:15" ht="13">
      <c r="A99" s="4" t="s">
        <v>6850</v>
      </c>
      <c r="B99" s="4" t="s">
        <v>6852</v>
      </c>
      <c r="C99" s="4" t="s">
        <v>6854</v>
      </c>
      <c r="E99" s="4" t="s">
        <v>6856</v>
      </c>
      <c r="F99" s="4" t="s">
        <v>6858</v>
      </c>
      <c r="H99" s="4" t="s">
        <v>6860</v>
      </c>
      <c r="I99" s="4" t="s">
        <v>6862</v>
      </c>
      <c r="K99" s="4" t="s">
        <v>6864</v>
      </c>
      <c r="L99" s="4" t="s">
        <v>6866</v>
      </c>
      <c r="N99" s="4" t="s">
        <v>6868</v>
      </c>
      <c r="O99" s="4" t="s">
        <v>6870</v>
      </c>
    </row>
    <row r="100" spans="1:15" ht="13">
      <c r="A100" s="4" t="s">
        <v>6872</v>
      </c>
      <c r="B100" s="4" t="s">
        <v>6876</v>
      </c>
      <c r="C100" s="4" t="s">
        <v>6879</v>
      </c>
      <c r="E100" s="4" t="s">
        <v>6881</v>
      </c>
      <c r="F100" s="4" t="s">
        <v>6883</v>
      </c>
      <c r="H100" s="4" t="s">
        <v>6885</v>
      </c>
      <c r="I100" s="4" t="s">
        <v>6886</v>
      </c>
      <c r="K100" s="4" t="e">
        <v>#N/A</v>
      </c>
      <c r="N100" s="4" t="s">
        <v>6888</v>
      </c>
      <c r="O100" s="4" t="s">
        <v>6889</v>
      </c>
    </row>
    <row r="101" spans="1:15" ht="13">
      <c r="A101" s="4" t="s">
        <v>6891</v>
      </c>
      <c r="B101" s="4" t="s">
        <v>6892</v>
      </c>
      <c r="C101" s="4" t="s">
        <v>6894</v>
      </c>
      <c r="E101" s="4" t="s">
        <v>6896</v>
      </c>
      <c r="F101" s="4" t="s">
        <v>6898</v>
      </c>
      <c r="H101" s="4" t="e">
        <v>#N/A</v>
      </c>
      <c r="K101" s="4" t="e">
        <v>#N/A</v>
      </c>
      <c r="N101" s="4" t="e">
        <v>#N/A</v>
      </c>
    </row>
    <row r="102" spans="1:15" ht="13">
      <c r="A102" s="4" t="s">
        <v>6903</v>
      </c>
      <c r="B102" s="4" t="s">
        <v>6906</v>
      </c>
      <c r="C102" s="4" t="s">
        <v>6908</v>
      </c>
      <c r="E102" s="4" t="s">
        <v>6909</v>
      </c>
      <c r="F102" s="4" t="s">
        <v>6911</v>
      </c>
      <c r="H102" s="4" t="e">
        <v>#N/A</v>
      </c>
      <c r="K102" s="4" t="e">
        <v>#N/A</v>
      </c>
      <c r="N102" s="4" t="s">
        <v>6914</v>
      </c>
      <c r="O102" s="4" t="s">
        <v>6916</v>
      </c>
    </row>
    <row r="103" spans="1:15" ht="13">
      <c r="A103" s="4" t="s">
        <v>6918</v>
      </c>
      <c r="B103" s="4" t="s">
        <v>6919</v>
      </c>
      <c r="C103" s="4" t="s">
        <v>6921</v>
      </c>
      <c r="E103" s="4" t="e">
        <v>#N/A</v>
      </c>
      <c r="H103" s="4" t="s">
        <v>6923</v>
      </c>
      <c r="I103" s="4" t="s">
        <v>6925</v>
      </c>
      <c r="K103" s="4" t="s">
        <v>6927</v>
      </c>
      <c r="L103" s="4" t="s">
        <v>6928</v>
      </c>
      <c r="N103" s="4" t="s">
        <v>6930</v>
      </c>
      <c r="O103" s="4" t="s">
        <v>6932</v>
      </c>
    </row>
    <row r="104" spans="1:15" ht="13">
      <c r="A104" s="4" t="s">
        <v>6934</v>
      </c>
      <c r="B104" s="4" t="s">
        <v>6936</v>
      </c>
      <c r="C104" s="4" t="s">
        <v>6938</v>
      </c>
      <c r="E104" s="4" t="e">
        <v>#N/A</v>
      </c>
      <c r="H104" s="4" t="s">
        <v>6940</v>
      </c>
      <c r="I104" s="4" t="s">
        <v>6942</v>
      </c>
      <c r="K104" s="4" t="e">
        <v>#N/A</v>
      </c>
      <c r="N104" s="4" t="s">
        <v>6944</v>
      </c>
      <c r="O104" s="4" t="s">
        <v>6946</v>
      </c>
    </row>
    <row r="105" spans="1:15" ht="13">
      <c r="A105" s="4" t="s">
        <v>6947</v>
      </c>
      <c r="B105" s="4" t="s">
        <v>6949</v>
      </c>
      <c r="C105" s="4" t="s">
        <v>6951</v>
      </c>
      <c r="E105" s="4" t="s">
        <v>6953</v>
      </c>
      <c r="F105" s="4" t="s">
        <v>6954</v>
      </c>
      <c r="H105" s="4" t="e">
        <v>#N/A</v>
      </c>
      <c r="K105" s="4" t="e">
        <v>#N/A</v>
      </c>
      <c r="N105" s="4" t="e">
        <v>#N/A</v>
      </c>
    </row>
    <row r="106" spans="1:15" ht="13">
      <c r="A106" s="4" t="s">
        <v>6958</v>
      </c>
      <c r="B106" s="4" t="e">
        <v>#N/A</v>
      </c>
      <c r="E106" s="4" t="e">
        <v>#N/A</v>
      </c>
      <c r="H106" s="4" t="s">
        <v>6962</v>
      </c>
      <c r="I106" s="4" t="s">
        <v>6963</v>
      </c>
      <c r="K106" s="4" t="s">
        <v>6965</v>
      </c>
      <c r="L106" s="4" t="s">
        <v>6967</v>
      </c>
      <c r="N106" s="4" t="s">
        <v>6969</v>
      </c>
      <c r="O106" s="4" t="s">
        <v>6970</v>
      </c>
    </row>
    <row r="107" spans="1:15" ht="13">
      <c r="A107" s="4" t="s">
        <v>6971</v>
      </c>
      <c r="B107" s="4" t="s">
        <v>6973</v>
      </c>
      <c r="C107" s="4" t="s">
        <v>6975</v>
      </c>
      <c r="E107" s="4" t="s">
        <v>6976</v>
      </c>
      <c r="F107" s="4" t="s">
        <v>6978</v>
      </c>
      <c r="H107" s="4" t="e">
        <v>#N/A</v>
      </c>
      <c r="K107" s="4" t="s">
        <v>6981</v>
      </c>
      <c r="L107" s="4" t="s">
        <v>6983</v>
      </c>
      <c r="N107" s="4" t="s">
        <v>6985</v>
      </c>
      <c r="O107" s="4" t="s">
        <v>6987</v>
      </c>
    </row>
    <row r="108" spans="1:15" ht="13">
      <c r="A108" s="4" t="s">
        <v>6990</v>
      </c>
      <c r="B108" s="4" t="s">
        <v>6992</v>
      </c>
      <c r="C108" s="4" t="s">
        <v>6995</v>
      </c>
      <c r="E108" s="4" t="e">
        <v>#N/A</v>
      </c>
      <c r="H108" s="4" t="s">
        <v>6998</v>
      </c>
      <c r="I108" s="4" t="s">
        <v>7000</v>
      </c>
      <c r="K108" s="4" t="s">
        <v>7002</v>
      </c>
      <c r="L108" s="4" t="s">
        <v>7005</v>
      </c>
      <c r="N108" s="4" t="s">
        <v>7007</v>
      </c>
      <c r="O108" s="4" t="s">
        <v>7009</v>
      </c>
    </row>
    <row r="109" spans="1:15" ht="13">
      <c r="A109" s="4" t="s">
        <v>7011</v>
      </c>
      <c r="B109" s="4" t="e">
        <v>#N/A</v>
      </c>
      <c r="E109" s="4" t="e">
        <v>#N/A</v>
      </c>
      <c r="H109" s="4" t="s">
        <v>7013</v>
      </c>
      <c r="I109" s="4" t="s">
        <v>7016</v>
      </c>
      <c r="K109" s="4" t="s">
        <v>7017</v>
      </c>
      <c r="L109" s="4" t="s">
        <v>7020</v>
      </c>
      <c r="N109" s="4" t="s">
        <v>7022</v>
      </c>
      <c r="O109" s="4" t="s">
        <v>7024</v>
      </c>
    </row>
    <row r="110" spans="1:15" ht="13">
      <c r="A110" s="4" t="s">
        <v>7026</v>
      </c>
      <c r="B110" s="4" t="s">
        <v>7028</v>
      </c>
      <c r="C110" s="4" t="s">
        <v>7030</v>
      </c>
      <c r="E110" s="4" t="s">
        <v>7032</v>
      </c>
      <c r="F110" s="4" t="s">
        <v>7034</v>
      </c>
      <c r="H110" s="4" t="s">
        <v>7035</v>
      </c>
      <c r="I110" s="4" t="s">
        <v>7037</v>
      </c>
      <c r="K110" s="4" t="s">
        <v>7039</v>
      </c>
      <c r="L110" s="4" t="s">
        <v>7041</v>
      </c>
      <c r="N110" s="4" t="s">
        <v>7043</v>
      </c>
      <c r="O110" s="4" t="s">
        <v>7045</v>
      </c>
    </row>
    <row r="111" spans="1:15" ht="13">
      <c r="A111" s="4" t="s">
        <v>7047</v>
      </c>
      <c r="B111" s="4" t="s">
        <v>7049</v>
      </c>
      <c r="C111" s="4" t="s">
        <v>7051</v>
      </c>
      <c r="E111" s="4" t="s">
        <v>7052</v>
      </c>
      <c r="F111" s="4" t="s">
        <v>7054</v>
      </c>
      <c r="H111" s="4" t="s">
        <v>7055</v>
      </c>
      <c r="I111" s="4" t="s">
        <v>7058</v>
      </c>
      <c r="K111" s="4" t="s">
        <v>7060</v>
      </c>
      <c r="L111" s="4" t="s">
        <v>7063</v>
      </c>
      <c r="N111" s="4" t="s">
        <v>7064</v>
      </c>
      <c r="O111" s="4" t="s">
        <v>7066</v>
      </c>
    </row>
    <row r="112" spans="1:15" ht="13">
      <c r="A112" s="4" t="s">
        <v>7068</v>
      </c>
      <c r="B112" s="4" t="s">
        <v>7069</v>
      </c>
      <c r="C112" s="4" t="s">
        <v>7071</v>
      </c>
      <c r="E112" s="4" t="s">
        <v>7073</v>
      </c>
      <c r="F112" s="4" t="s">
        <v>7075</v>
      </c>
      <c r="H112" s="4" t="s">
        <v>7077</v>
      </c>
      <c r="I112" s="4" t="s">
        <v>7079</v>
      </c>
      <c r="K112" s="4" t="s">
        <v>7081</v>
      </c>
      <c r="L112" s="4" t="s">
        <v>7084</v>
      </c>
      <c r="N112" s="4" t="s">
        <v>7086</v>
      </c>
      <c r="O112" s="4" t="s">
        <v>7087</v>
      </c>
    </row>
    <row r="113" spans="1:16" ht="13">
      <c r="A113" s="4" t="s">
        <v>7088</v>
      </c>
      <c r="B113" s="4" t="s">
        <v>7090</v>
      </c>
      <c r="C113" s="4" t="s">
        <v>7092</v>
      </c>
      <c r="E113" s="4" t="s">
        <v>7094</v>
      </c>
      <c r="F113" s="4" t="s">
        <v>7096</v>
      </c>
      <c r="H113" s="4" t="e">
        <v>#N/A</v>
      </c>
      <c r="K113" s="4" t="s">
        <v>7099</v>
      </c>
      <c r="L113" s="4" t="s">
        <v>7101</v>
      </c>
      <c r="N113" s="4" t="e">
        <v>#N/A</v>
      </c>
    </row>
    <row r="114" spans="1:16" ht="13">
      <c r="A114" s="4" t="s">
        <v>7105</v>
      </c>
      <c r="B114" s="4" t="s">
        <v>7107</v>
      </c>
      <c r="C114" s="4" t="s">
        <v>7108</v>
      </c>
      <c r="E114" s="4" t="e">
        <v>#N/A</v>
      </c>
      <c r="H114" s="4" t="s">
        <v>7111</v>
      </c>
      <c r="I114" s="4" t="s">
        <v>7114</v>
      </c>
      <c r="K114" s="4" t="s">
        <v>7116</v>
      </c>
      <c r="L114" s="4" t="s">
        <v>7117</v>
      </c>
      <c r="N114" s="4" t="s">
        <v>7119</v>
      </c>
      <c r="O114" s="4" t="s">
        <v>135</v>
      </c>
      <c r="P114" s="4" t="s">
        <v>7122</v>
      </c>
    </row>
    <row r="115" spans="1:16" ht="13">
      <c r="A115" s="4" t="s">
        <v>7124</v>
      </c>
      <c r="B115" s="4" t="s">
        <v>7126</v>
      </c>
      <c r="C115" s="4" t="s">
        <v>7128</v>
      </c>
      <c r="E115" s="4" t="s">
        <v>7129</v>
      </c>
      <c r="F115" s="4" t="s">
        <v>7130</v>
      </c>
      <c r="H115" s="4" t="s">
        <v>7131</v>
      </c>
      <c r="I115" s="4" t="s">
        <v>7133</v>
      </c>
      <c r="K115" s="4" t="s">
        <v>7134</v>
      </c>
      <c r="L115" s="4" t="s">
        <v>7135</v>
      </c>
      <c r="N115" s="4" t="e">
        <v>#N/A</v>
      </c>
    </row>
    <row r="116" spans="1:16" ht="13">
      <c r="A116" s="4" t="s">
        <v>7138</v>
      </c>
      <c r="B116" s="4" t="s">
        <v>7140</v>
      </c>
      <c r="C116" s="4" t="s">
        <v>7141</v>
      </c>
      <c r="E116" s="4" t="s">
        <v>7143</v>
      </c>
      <c r="F116" s="4" t="s">
        <v>7146</v>
      </c>
      <c r="H116" s="4" t="s">
        <v>7148</v>
      </c>
      <c r="I116" s="4" t="s">
        <v>7149</v>
      </c>
      <c r="K116" s="4" t="s">
        <v>7151</v>
      </c>
      <c r="L116" s="4" t="s">
        <v>7153</v>
      </c>
      <c r="N116" s="4" t="s">
        <v>7161</v>
      </c>
      <c r="O116" s="4" t="s">
        <v>7163</v>
      </c>
    </row>
    <row r="117" spans="1:16" ht="13">
      <c r="A117" s="4" t="s">
        <v>7166</v>
      </c>
      <c r="B117" s="4" t="s">
        <v>7167</v>
      </c>
      <c r="C117" s="4" t="s">
        <v>7169</v>
      </c>
      <c r="E117" s="4" t="s">
        <v>7171</v>
      </c>
      <c r="F117" s="4" t="s">
        <v>7173</v>
      </c>
      <c r="H117" s="4" t="s">
        <v>7175</v>
      </c>
      <c r="I117" s="4" t="s">
        <v>7177</v>
      </c>
      <c r="K117" s="4" t="s">
        <v>7178</v>
      </c>
      <c r="L117" s="4" t="s">
        <v>7180</v>
      </c>
      <c r="N117" s="4" t="s">
        <v>7182</v>
      </c>
      <c r="O117" s="4" t="s">
        <v>7183</v>
      </c>
    </row>
    <row r="118" spans="1:16" ht="13">
      <c r="A118" s="4" t="s">
        <v>7184</v>
      </c>
      <c r="B118" s="4" t="s">
        <v>7185</v>
      </c>
      <c r="C118" s="4" t="s">
        <v>7186</v>
      </c>
      <c r="E118" s="4" t="s">
        <v>7187</v>
      </c>
      <c r="F118" s="4" t="s">
        <v>7189</v>
      </c>
      <c r="H118" s="4" t="s">
        <v>7190</v>
      </c>
      <c r="I118" s="4" t="s">
        <v>7194</v>
      </c>
      <c r="K118" s="4" t="e">
        <v>#N/A</v>
      </c>
      <c r="N118" s="4" t="s">
        <v>7197</v>
      </c>
      <c r="O118" s="4" t="s">
        <v>7198</v>
      </c>
    </row>
    <row r="119" spans="1:16" ht="13">
      <c r="A119" s="4" t="s">
        <v>7200</v>
      </c>
      <c r="B119" s="4" t="s">
        <v>7202</v>
      </c>
      <c r="C119" s="4" t="s">
        <v>7203</v>
      </c>
      <c r="E119" s="4" t="s">
        <v>7205</v>
      </c>
      <c r="F119" s="4" t="s">
        <v>7207</v>
      </c>
      <c r="H119" s="4" t="s">
        <v>7209</v>
      </c>
      <c r="I119" s="4" t="s">
        <v>7212</v>
      </c>
      <c r="K119" s="4" t="s">
        <v>7214</v>
      </c>
      <c r="L119" s="4" t="s">
        <v>7216</v>
      </c>
      <c r="N119" s="4" t="s">
        <v>7218</v>
      </c>
      <c r="O119" s="4" t="s">
        <v>7220</v>
      </c>
    </row>
    <row r="120" spans="1:16" ht="13">
      <c r="A120" s="4" t="s">
        <v>7223</v>
      </c>
      <c r="B120" s="4" t="s">
        <v>7224</v>
      </c>
      <c r="C120" s="4" t="s">
        <v>7226</v>
      </c>
      <c r="E120" s="4" t="s">
        <v>7228</v>
      </c>
      <c r="F120" s="4" t="s">
        <v>7230</v>
      </c>
      <c r="H120" s="4" t="e">
        <v>#N/A</v>
      </c>
      <c r="K120" s="4" t="e">
        <v>#N/A</v>
      </c>
      <c r="N120" s="4" t="s">
        <v>7233</v>
      </c>
      <c r="O120" s="4" t="s">
        <v>7235</v>
      </c>
    </row>
    <row r="121" spans="1:16" ht="13">
      <c r="A121" s="4" t="s">
        <v>7237</v>
      </c>
      <c r="B121" s="4" t="s">
        <v>7238</v>
      </c>
      <c r="C121" s="4" t="s">
        <v>7240</v>
      </c>
      <c r="E121" s="4" t="s">
        <v>7241</v>
      </c>
      <c r="F121" s="4" t="s">
        <v>7243</v>
      </c>
      <c r="H121" s="4" t="s">
        <v>7244</v>
      </c>
      <c r="I121" s="4" t="s">
        <v>7246</v>
      </c>
      <c r="K121" s="4" t="e">
        <v>#N/A</v>
      </c>
      <c r="N121" s="4" t="s">
        <v>7248</v>
      </c>
      <c r="O121" s="4" t="s">
        <v>7250</v>
      </c>
    </row>
    <row r="122" spans="1:16" ht="13">
      <c r="A122" s="4" t="s">
        <v>7251</v>
      </c>
      <c r="B122" s="4" t="s">
        <v>7252</v>
      </c>
      <c r="C122" s="4" t="s">
        <v>7255</v>
      </c>
      <c r="E122" s="4" t="s">
        <v>7257</v>
      </c>
      <c r="F122" s="4" t="s">
        <v>7259</v>
      </c>
      <c r="H122" s="4" t="e">
        <v>#N/A</v>
      </c>
      <c r="K122" s="4" t="s">
        <v>7261</v>
      </c>
      <c r="L122" s="4" t="s">
        <v>7263</v>
      </c>
      <c r="N122" s="4" t="s">
        <v>7264</v>
      </c>
      <c r="O122" s="4" t="s">
        <v>7267</v>
      </c>
    </row>
    <row r="123" spans="1:16" ht="13">
      <c r="A123" s="4" t="s">
        <v>7269</v>
      </c>
      <c r="B123" s="4" t="s">
        <v>7270</v>
      </c>
      <c r="C123" s="4" t="s">
        <v>7272</v>
      </c>
      <c r="E123" s="4" t="s">
        <v>7274</v>
      </c>
      <c r="F123" s="4" t="s">
        <v>7277</v>
      </c>
      <c r="H123" s="4" t="s">
        <v>7278</v>
      </c>
      <c r="I123" s="4" t="s">
        <v>7280</v>
      </c>
      <c r="K123" s="4" t="e">
        <v>#N/A</v>
      </c>
      <c r="N123" s="4" t="e">
        <v>#N/A</v>
      </c>
    </row>
    <row r="124" spans="1:16" ht="13">
      <c r="A124" s="4" t="s">
        <v>7283</v>
      </c>
      <c r="B124" s="4" t="s">
        <v>1616</v>
      </c>
      <c r="C124" s="4" t="s">
        <v>7285</v>
      </c>
      <c r="E124" s="4" t="s">
        <v>7287</v>
      </c>
      <c r="F124" s="4" t="s">
        <v>7289</v>
      </c>
      <c r="H124" s="4" t="s">
        <v>7291</v>
      </c>
      <c r="I124" s="4" t="s">
        <v>7293</v>
      </c>
      <c r="K124" s="4" t="s">
        <v>7294</v>
      </c>
      <c r="L124" s="4" t="s">
        <v>7296</v>
      </c>
      <c r="N124" s="4" t="s">
        <v>7298</v>
      </c>
      <c r="O124" s="4" t="s">
        <v>7299</v>
      </c>
    </row>
    <row r="125" spans="1:16" ht="13">
      <c r="A125" s="4" t="s">
        <v>7300</v>
      </c>
      <c r="B125" s="4" t="s">
        <v>7302</v>
      </c>
      <c r="C125" s="4" t="s">
        <v>7303</v>
      </c>
      <c r="E125" s="4" t="s">
        <v>7305</v>
      </c>
      <c r="F125" s="4" t="s">
        <v>7307</v>
      </c>
      <c r="H125" s="4" t="s">
        <v>7309</v>
      </c>
      <c r="I125" s="4" t="s">
        <v>7311</v>
      </c>
      <c r="K125" s="4" t="s">
        <v>7312</v>
      </c>
      <c r="L125" s="4" t="s">
        <v>7313</v>
      </c>
      <c r="N125" s="4" t="s">
        <v>7314</v>
      </c>
      <c r="O125" s="4" t="s">
        <v>7317</v>
      </c>
    </row>
    <row r="126" spans="1:16" ht="13">
      <c r="A126" s="4" t="s">
        <v>7320</v>
      </c>
      <c r="B126" s="4" t="s">
        <v>7321</v>
      </c>
      <c r="C126" s="4" t="s">
        <v>7324</v>
      </c>
      <c r="E126" s="4" t="s">
        <v>7325</v>
      </c>
      <c r="F126" s="4" t="s">
        <v>7328</v>
      </c>
      <c r="H126" s="4" t="s">
        <v>7330</v>
      </c>
      <c r="I126" s="4" t="s">
        <v>7331</v>
      </c>
      <c r="K126" s="4" t="s">
        <v>7332</v>
      </c>
      <c r="L126" s="4" t="s">
        <v>7335</v>
      </c>
      <c r="N126" s="4" t="s">
        <v>7336</v>
      </c>
      <c r="O126" s="4" t="s">
        <v>7339</v>
      </c>
    </row>
    <row r="127" spans="1:16" ht="13">
      <c r="A127" s="4" t="s">
        <v>7341</v>
      </c>
      <c r="B127" s="4" t="s">
        <v>7343</v>
      </c>
      <c r="C127" s="4" t="s">
        <v>7345</v>
      </c>
      <c r="E127" s="4" t="s">
        <v>7348</v>
      </c>
      <c r="F127" s="4" t="s">
        <v>7350</v>
      </c>
      <c r="H127" s="4" t="e">
        <v>#N/A</v>
      </c>
      <c r="K127" s="4" t="s">
        <v>7353</v>
      </c>
      <c r="L127" s="4" t="s">
        <v>7355</v>
      </c>
      <c r="N127" s="4" t="e">
        <v>#N/A</v>
      </c>
    </row>
    <row r="128" spans="1:16" ht="13">
      <c r="A128" s="4" t="s">
        <v>7357</v>
      </c>
      <c r="B128" s="4" t="s">
        <v>7359</v>
      </c>
      <c r="C128" s="4" t="s">
        <v>7361</v>
      </c>
      <c r="E128" s="4" t="s">
        <v>7362</v>
      </c>
      <c r="F128" s="4" t="s">
        <v>7365</v>
      </c>
      <c r="H128" s="4" t="s">
        <v>7367</v>
      </c>
      <c r="I128" s="4" t="s">
        <v>7370</v>
      </c>
      <c r="K128" s="4" t="s">
        <v>7371</v>
      </c>
      <c r="L128" s="4" t="s">
        <v>7373</v>
      </c>
      <c r="N128" s="4" t="s">
        <v>7375</v>
      </c>
      <c r="O128" s="4" t="s">
        <v>7377</v>
      </c>
    </row>
    <row r="129" spans="1:15" ht="13">
      <c r="A129" s="4" t="s">
        <v>7379</v>
      </c>
      <c r="B129" s="4" t="s">
        <v>7381</v>
      </c>
      <c r="C129" s="4" t="s">
        <v>7383</v>
      </c>
      <c r="E129" s="4" t="s">
        <v>7385</v>
      </c>
      <c r="F129" s="4" t="s">
        <v>7389</v>
      </c>
      <c r="H129" s="4" t="e">
        <v>#N/A</v>
      </c>
      <c r="K129" s="4" t="s">
        <v>7390</v>
      </c>
      <c r="L129" s="4" t="s">
        <v>7392</v>
      </c>
      <c r="N129" s="4" t="s">
        <v>7393</v>
      </c>
      <c r="O129" s="4" t="s">
        <v>7396</v>
      </c>
    </row>
    <row r="130" spans="1:15" ht="13">
      <c r="A130" s="4" t="s">
        <v>7398</v>
      </c>
      <c r="B130" s="4" t="s">
        <v>7399</v>
      </c>
      <c r="C130" s="4" t="s">
        <v>7402</v>
      </c>
      <c r="E130" s="4" t="s">
        <v>7404</v>
      </c>
      <c r="F130" s="4" t="s">
        <v>7407</v>
      </c>
      <c r="H130" s="4" t="s">
        <v>7409</v>
      </c>
      <c r="I130" s="4" t="s">
        <v>7411</v>
      </c>
      <c r="K130" s="4" t="s">
        <v>7415</v>
      </c>
      <c r="L130" s="4" t="s">
        <v>7417</v>
      </c>
      <c r="N130" s="4" t="s">
        <v>7418</v>
      </c>
      <c r="O130" s="4" t="s">
        <v>7421</v>
      </c>
    </row>
    <row r="131" spans="1:15" ht="13">
      <c r="A131" s="4" t="s">
        <v>7423</v>
      </c>
      <c r="B131" s="4" t="e">
        <v>#N/A</v>
      </c>
      <c r="E131" s="4" t="s">
        <v>7427</v>
      </c>
      <c r="F131" s="4" t="s">
        <v>7429</v>
      </c>
      <c r="H131" s="4" t="e">
        <v>#N/A</v>
      </c>
      <c r="K131" s="4" t="e">
        <v>#N/A</v>
      </c>
      <c r="N131" s="4" t="s">
        <v>7433</v>
      </c>
      <c r="O131" s="4" t="s">
        <v>7435</v>
      </c>
    </row>
    <row r="132" spans="1:15" ht="13">
      <c r="A132" s="4" t="s">
        <v>7438</v>
      </c>
      <c r="B132" s="4" t="s">
        <v>7440</v>
      </c>
      <c r="C132" s="4" t="s">
        <v>7441</v>
      </c>
      <c r="E132" s="4" t="s">
        <v>7444</v>
      </c>
      <c r="F132" s="4" t="s">
        <v>7445</v>
      </c>
      <c r="H132" s="4" t="e">
        <v>#N/A</v>
      </c>
      <c r="K132" s="4" t="s">
        <v>7448</v>
      </c>
      <c r="L132" s="4" t="s">
        <v>7450</v>
      </c>
      <c r="N132" s="4" t="s">
        <v>7452</v>
      </c>
      <c r="O132" s="4" t="s">
        <v>7454</v>
      </c>
    </row>
    <row r="133" spans="1:15" ht="13">
      <c r="A133" s="4" t="s">
        <v>7455</v>
      </c>
      <c r="B133" s="4" t="e">
        <v>#N/A</v>
      </c>
      <c r="E133" s="4" t="s">
        <v>7457</v>
      </c>
      <c r="F133" s="4" t="s">
        <v>7458</v>
      </c>
      <c r="H133" s="4" t="s">
        <v>7460</v>
      </c>
      <c r="I133" s="4" t="s">
        <v>7461</v>
      </c>
      <c r="K133" s="4" t="e">
        <v>#N/A</v>
      </c>
      <c r="N133" s="4" t="s">
        <v>7463</v>
      </c>
      <c r="O133" s="4" t="s">
        <v>7465</v>
      </c>
    </row>
    <row r="134" spans="1:15" ht="13">
      <c r="A134" s="4" t="s">
        <v>7467</v>
      </c>
      <c r="B134" s="4" t="e">
        <v>#N/A</v>
      </c>
      <c r="E134" s="4" t="s">
        <v>7470</v>
      </c>
      <c r="F134" s="4" t="s">
        <v>7472</v>
      </c>
      <c r="H134" s="4" t="s">
        <v>7474</v>
      </c>
      <c r="I134" s="4" t="s">
        <v>7476</v>
      </c>
      <c r="K134" s="4" t="s">
        <v>7478</v>
      </c>
      <c r="L134" s="4" t="s">
        <v>7480</v>
      </c>
      <c r="N134" s="4" t="s">
        <v>7482</v>
      </c>
      <c r="O134" s="4" t="s">
        <v>7484</v>
      </c>
    </row>
    <row r="135" spans="1:15" ht="13">
      <c r="A135" s="4" t="s">
        <v>7485</v>
      </c>
      <c r="B135" s="4" t="s">
        <v>7486</v>
      </c>
      <c r="C135" s="4" t="s">
        <v>7487</v>
      </c>
      <c r="E135" s="4" t="s">
        <v>7489</v>
      </c>
      <c r="F135" s="4" t="s">
        <v>7491</v>
      </c>
      <c r="H135" s="4" t="s">
        <v>7493</v>
      </c>
      <c r="I135" s="4" t="s">
        <v>7495</v>
      </c>
      <c r="K135" s="4" t="s">
        <v>7497</v>
      </c>
      <c r="L135" s="4" t="s">
        <v>7499</v>
      </c>
      <c r="N135" s="4" t="s">
        <v>7500</v>
      </c>
      <c r="O135" s="4" t="s">
        <v>7503</v>
      </c>
    </row>
    <row r="136" spans="1:15" ht="13">
      <c r="A136" s="4" t="s">
        <v>7505</v>
      </c>
      <c r="B136" s="4" t="s">
        <v>7507</v>
      </c>
      <c r="C136" s="4" t="s">
        <v>7509</v>
      </c>
      <c r="E136" s="4" t="s">
        <v>7510</v>
      </c>
      <c r="F136" s="4" t="s">
        <v>7513</v>
      </c>
      <c r="H136" s="4" t="s">
        <v>7515</v>
      </c>
      <c r="I136" s="4" t="s">
        <v>7518</v>
      </c>
      <c r="K136" s="4" t="s">
        <v>7520</v>
      </c>
      <c r="L136" s="4" t="s">
        <v>7522</v>
      </c>
      <c r="N136" s="4" t="s">
        <v>7524</v>
      </c>
      <c r="O136" s="4" t="s">
        <v>7527</v>
      </c>
    </row>
    <row r="137" spans="1:15" ht="13">
      <c r="A137" s="4" t="s">
        <v>7529</v>
      </c>
      <c r="B137" s="4" t="s">
        <v>7530</v>
      </c>
      <c r="C137" s="4" t="s">
        <v>7532</v>
      </c>
      <c r="E137" s="4" t="s">
        <v>7533</v>
      </c>
      <c r="F137" s="4" t="s">
        <v>7534</v>
      </c>
      <c r="H137" s="4" t="s">
        <v>7536</v>
      </c>
      <c r="I137" s="4" t="s">
        <v>7538</v>
      </c>
      <c r="K137" s="4" t="s">
        <v>7540</v>
      </c>
      <c r="L137" s="4" t="s">
        <v>7542</v>
      </c>
      <c r="N137" s="4" t="s">
        <v>7544</v>
      </c>
      <c r="O137" s="4" t="s">
        <v>7546</v>
      </c>
    </row>
    <row r="138" spans="1:15" ht="13">
      <c r="A138" s="4" t="s">
        <v>7549</v>
      </c>
      <c r="B138" s="4" t="s">
        <v>7551</v>
      </c>
      <c r="C138" s="4" t="s">
        <v>7553</v>
      </c>
      <c r="E138" s="4" t="s">
        <v>7555</v>
      </c>
      <c r="F138" s="4" t="s">
        <v>7556</v>
      </c>
      <c r="H138" s="4" t="s">
        <v>7558</v>
      </c>
      <c r="I138" s="4" t="s">
        <v>7560</v>
      </c>
      <c r="K138" s="4" t="s">
        <v>7562</v>
      </c>
      <c r="L138" s="4" t="s">
        <v>7563</v>
      </c>
      <c r="N138" s="4" t="e">
        <v>#N/A</v>
      </c>
    </row>
    <row r="139" spans="1:15" ht="13">
      <c r="A139" s="4" t="s">
        <v>7566</v>
      </c>
      <c r="B139" s="4" t="s">
        <v>7568</v>
      </c>
      <c r="C139" s="4" t="s">
        <v>7570</v>
      </c>
      <c r="E139" s="4" t="e">
        <v>#N/A</v>
      </c>
      <c r="H139" s="4" t="s">
        <v>7572</v>
      </c>
      <c r="I139" s="4" t="s">
        <v>7574</v>
      </c>
      <c r="K139" s="4" t="e">
        <v>#N/A</v>
      </c>
      <c r="N139" s="4" t="e">
        <v>#N/A</v>
      </c>
    </row>
    <row r="140" spans="1:15" ht="13">
      <c r="A140" s="4" t="s">
        <v>7578</v>
      </c>
      <c r="B140" s="4" t="e">
        <v>#N/A</v>
      </c>
      <c r="E140" s="4" t="s">
        <v>7581</v>
      </c>
      <c r="F140" s="4" t="s">
        <v>135</v>
      </c>
      <c r="G140" s="4" t="s">
        <v>7584</v>
      </c>
      <c r="H140" s="4" t="s">
        <v>7585</v>
      </c>
      <c r="I140" s="4" t="s">
        <v>7586</v>
      </c>
      <c r="K140" s="4" t="s">
        <v>7587</v>
      </c>
      <c r="L140" s="4" t="s">
        <v>7590</v>
      </c>
      <c r="N140" s="4" t="s">
        <v>7592</v>
      </c>
      <c r="O140" s="4" t="s">
        <v>7595</v>
      </c>
    </row>
    <row r="141" spans="1:15" ht="13">
      <c r="A141" s="4" t="s">
        <v>7597</v>
      </c>
      <c r="B141" s="4" t="s">
        <v>7599</v>
      </c>
      <c r="C141" s="4" t="s">
        <v>7601</v>
      </c>
      <c r="E141" s="4" t="s">
        <v>7603</v>
      </c>
      <c r="F141" s="4" t="s">
        <v>7605</v>
      </c>
      <c r="H141" s="4" t="s">
        <v>7607</v>
      </c>
      <c r="I141" s="4" t="s">
        <v>7608</v>
      </c>
      <c r="K141" s="4" t="s">
        <v>7610</v>
      </c>
      <c r="L141" s="4" t="s">
        <v>7613</v>
      </c>
      <c r="N141" s="4" t="s">
        <v>7615</v>
      </c>
      <c r="O141" s="4" t="s">
        <v>7617</v>
      </c>
    </row>
    <row r="142" spans="1:15" ht="13">
      <c r="A142" s="4" t="s">
        <v>7619</v>
      </c>
      <c r="B142" s="4" t="s">
        <v>7621</v>
      </c>
      <c r="C142" s="4" t="s">
        <v>7624</v>
      </c>
      <c r="E142" s="4" t="s">
        <v>7626</v>
      </c>
      <c r="F142" s="4" t="s">
        <v>7628</v>
      </c>
      <c r="H142" s="4" t="s">
        <v>7630</v>
      </c>
      <c r="I142" s="4" t="s">
        <v>7632</v>
      </c>
      <c r="K142" s="4" t="s">
        <v>7634</v>
      </c>
      <c r="L142" s="4" t="s">
        <v>7636</v>
      </c>
      <c r="N142" s="4" t="s">
        <v>7638</v>
      </c>
      <c r="O142" s="4" t="s">
        <v>7641</v>
      </c>
    </row>
    <row r="143" spans="1:15" ht="13">
      <c r="A143" s="4" t="s">
        <v>7643</v>
      </c>
      <c r="B143" s="4" t="s">
        <v>7644</v>
      </c>
      <c r="C143" s="4" t="s">
        <v>7645</v>
      </c>
      <c r="E143" s="4" t="s">
        <v>7646</v>
      </c>
      <c r="F143" s="4" t="s">
        <v>7648</v>
      </c>
      <c r="H143" s="4" t="s">
        <v>7649</v>
      </c>
      <c r="I143" s="4" t="s">
        <v>7651</v>
      </c>
      <c r="K143" s="4" t="s">
        <v>7653</v>
      </c>
      <c r="L143" s="4" t="s">
        <v>7655</v>
      </c>
      <c r="N143" s="4" t="s">
        <v>7656</v>
      </c>
      <c r="O143" s="4" t="s">
        <v>7657</v>
      </c>
    </row>
    <row r="144" spans="1:15" ht="13">
      <c r="A144" s="4" t="s">
        <v>7659</v>
      </c>
      <c r="B144" s="4" t="e">
        <v>#N/A</v>
      </c>
      <c r="E144" s="4" t="s">
        <v>7662</v>
      </c>
      <c r="F144" s="4" t="s">
        <v>7664</v>
      </c>
      <c r="H144" s="4" t="s">
        <v>7666</v>
      </c>
      <c r="I144" s="4" t="s">
        <v>7668</v>
      </c>
      <c r="K144" s="4" t="e">
        <v>#N/A</v>
      </c>
      <c r="N144" s="4" t="s">
        <v>7671</v>
      </c>
      <c r="O144" s="4" t="s">
        <v>7673</v>
      </c>
    </row>
    <row r="145" spans="1:15" ht="13">
      <c r="A145" s="4" t="s">
        <v>7675</v>
      </c>
      <c r="B145" s="4" t="s">
        <v>7677</v>
      </c>
      <c r="C145" s="4" t="s">
        <v>7681</v>
      </c>
      <c r="E145" s="4" t="e">
        <v>#N/A</v>
      </c>
      <c r="H145" s="4" t="e">
        <v>#N/A</v>
      </c>
      <c r="K145" s="4" t="s">
        <v>7685</v>
      </c>
      <c r="L145" s="4" t="s">
        <v>7688</v>
      </c>
      <c r="N145" s="4" t="s">
        <v>7689</v>
      </c>
      <c r="O145" s="4" t="s">
        <v>7692</v>
      </c>
    </row>
    <row r="146" spans="1:15" ht="13">
      <c r="A146" s="4" t="s">
        <v>7694</v>
      </c>
      <c r="B146" s="4" t="e">
        <v>#N/A</v>
      </c>
      <c r="E146" s="4" t="s">
        <v>7696</v>
      </c>
      <c r="F146" s="4" t="s">
        <v>135</v>
      </c>
      <c r="G146" s="4" t="s">
        <v>7699</v>
      </c>
      <c r="H146" s="4" t="s">
        <v>7701</v>
      </c>
      <c r="I146" s="4" t="s">
        <v>7704</v>
      </c>
      <c r="K146" s="4" t="s">
        <v>7705</v>
      </c>
      <c r="L146" s="4" t="s">
        <v>7708</v>
      </c>
      <c r="N146" s="4" t="e">
        <v>#N/A</v>
      </c>
    </row>
    <row r="147" spans="1:15" ht="13">
      <c r="A147" s="4" t="s">
        <v>7712</v>
      </c>
      <c r="B147" s="4" t="s">
        <v>7713</v>
      </c>
      <c r="C147" s="4" t="s">
        <v>7715</v>
      </c>
      <c r="E147" s="4" t="e">
        <v>#N/A</v>
      </c>
      <c r="H147" s="4" t="s">
        <v>7717</v>
      </c>
      <c r="I147" s="4" t="s">
        <v>7719</v>
      </c>
      <c r="K147" s="4" t="s">
        <v>7721</v>
      </c>
      <c r="L147" s="4" t="s">
        <v>7723</v>
      </c>
      <c r="N147" s="4" t="e">
        <v>#N/A</v>
      </c>
    </row>
    <row r="148" spans="1:15" ht="13">
      <c r="A148" s="4" t="s">
        <v>7725</v>
      </c>
      <c r="B148" s="4" t="s">
        <v>7727</v>
      </c>
      <c r="C148" s="4" t="s">
        <v>7729</v>
      </c>
      <c r="E148" s="4" t="s">
        <v>7730</v>
      </c>
      <c r="F148" s="4" t="s">
        <v>7732</v>
      </c>
      <c r="H148" s="4" t="e">
        <v>#N/A</v>
      </c>
      <c r="K148" s="4" t="s">
        <v>7735</v>
      </c>
      <c r="L148" s="4" t="s">
        <v>135</v>
      </c>
      <c r="M148" s="4" t="s">
        <v>7738</v>
      </c>
      <c r="N148" s="4" t="s">
        <v>7740</v>
      </c>
      <c r="O148" s="4" t="s">
        <v>7742</v>
      </c>
    </row>
    <row r="149" spans="1:15" ht="13">
      <c r="A149" s="4" t="s">
        <v>7744</v>
      </c>
      <c r="B149" s="4" t="s">
        <v>7746</v>
      </c>
      <c r="C149" s="4" t="s">
        <v>7748</v>
      </c>
      <c r="E149" s="4" t="s">
        <v>7750</v>
      </c>
      <c r="F149" s="4" t="s">
        <v>7751</v>
      </c>
      <c r="H149" s="4" t="s">
        <v>7752</v>
      </c>
      <c r="I149" s="4" t="s">
        <v>7753</v>
      </c>
      <c r="K149" s="4" t="e">
        <v>#N/A</v>
      </c>
      <c r="N149" s="4" t="s">
        <v>7756</v>
      </c>
      <c r="O149" s="4" t="s">
        <v>7759</v>
      </c>
    </row>
    <row r="150" spans="1:15" ht="13">
      <c r="A150" s="4" t="s">
        <v>7762</v>
      </c>
      <c r="B150" s="4" t="s">
        <v>7763</v>
      </c>
      <c r="C150" s="4" t="s">
        <v>7766</v>
      </c>
      <c r="E150" s="4" t="e">
        <v>#N/A</v>
      </c>
      <c r="H150" s="4" t="s">
        <v>7769</v>
      </c>
      <c r="I150" s="4" t="s">
        <v>7772</v>
      </c>
      <c r="K150" s="4" t="s">
        <v>7773</v>
      </c>
      <c r="L150" s="4" t="s">
        <v>7776</v>
      </c>
      <c r="N150" s="4" t="e">
        <v>#N/A</v>
      </c>
    </row>
    <row r="151" spans="1:15" ht="13">
      <c r="A151" s="4" t="s">
        <v>7778</v>
      </c>
      <c r="B151" s="4" t="s">
        <v>7779</v>
      </c>
      <c r="C151" s="4" t="s">
        <v>7781</v>
      </c>
      <c r="E151" s="4" t="s">
        <v>7783</v>
      </c>
      <c r="F151" s="4" t="s">
        <v>7784</v>
      </c>
      <c r="H151" s="4" t="e">
        <v>#N/A</v>
      </c>
      <c r="K151" s="4" t="s">
        <v>7787</v>
      </c>
      <c r="L151" s="4" t="s">
        <v>7789</v>
      </c>
      <c r="N151" s="4" t="e">
        <v>#N/A</v>
      </c>
    </row>
    <row r="152" spans="1:15" ht="13">
      <c r="A152" s="4" t="s">
        <v>7792</v>
      </c>
      <c r="B152" s="4" t="s">
        <v>7793</v>
      </c>
      <c r="C152" s="4" t="s">
        <v>7795</v>
      </c>
      <c r="E152" s="4" t="s">
        <v>7797</v>
      </c>
      <c r="F152" s="4" t="s">
        <v>7799</v>
      </c>
      <c r="H152" s="4" t="s">
        <v>7801</v>
      </c>
      <c r="I152" s="4" t="s">
        <v>7803</v>
      </c>
      <c r="K152" s="4" t="s">
        <v>7806</v>
      </c>
      <c r="L152" s="4" t="s">
        <v>7808</v>
      </c>
      <c r="N152" s="4" t="s">
        <v>7810</v>
      </c>
      <c r="O152" s="4" t="s">
        <v>7813</v>
      </c>
    </row>
    <row r="153" spans="1:15" ht="13">
      <c r="A153" s="4" t="s">
        <v>7816</v>
      </c>
      <c r="B153" s="4" t="s">
        <v>7817</v>
      </c>
      <c r="C153" s="4" t="s">
        <v>7819</v>
      </c>
      <c r="E153" s="4" t="s">
        <v>7821</v>
      </c>
      <c r="F153" s="4" t="s">
        <v>7823</v>
      </c>
      <c r="H153" s="4" t="s">
        <v>7825</v>
      </c>
      <c r="I153" s="4" t="s">
        <v>7827</v>
      </c>
      <c r="K153" s="4" t="s">
        <v>7829</v>
      </c>
      <c r="L153" s="4" t="s">
        <v>7831</v>
      </c>
      <c r="N153" s="4" t="s">
        <v>7832</v>
      </c>
      <c r="O153" s="4" t="s">
        <v>7833</v>
      </c>
    </row>
    <row r="154" spans="1:15" ht="13">
      <c r="A154" s="4" t="s">
        <v>7835</v>
      </c>
      <c r="B154" s="4" t="s">
        <v>7837</v>
      </c>
      <c r="C154" s="4" t="s">
        <v>7839</v>
      </c>
      <c r="E154" s="4" t="s">
        <v>7841</v>
      </c>
      <c r="F154" s="4" t="s">
        <v>7843</v>
      </c>
      <c r="H154" s="4" t="s">
        <v>7845</v>
      </c>
      <c r="I154" s="4" t="s">
        <v>7847</v>
      </c>
      <c r="K154" s="4" t="s">
        <v>7850</v>
      </c>
      <c r="L154" s="4" t="s">
        <v>7853</v>
      </c>
      <c r="N154" s="4" t="s">
        <v>7854</v>
      </c>
      <c r="O154" s="4" t="s">
        <v>7857</v>
      </c>
    </row>
    <row r="155" spans="1:15" ht="13">
      <c r="A155" s="4" t="s">
        <v>7860</v>
      </c>
      <c r="B155" s="4" t="s">
        <v>7861</v>
      </c>
      <c r="C155" s="4" t="s">
        <v>7863</v>
      </c>
      <c r="E155" s="4" t="s">
        <v>7864</v>
      </c>
      <c r="F155" s="4" t="s">
        <v>7867</v>
      </c>
      <c r="H155" s="4" t="s">
        <v>7870</v>
      </c>
      <c r="I155" s="4" t="s">
        <v>7872</v>
      </c>
      <c r="K155" s="4" t="s">
        <v>7873</v>
      </c>
      <c r="L155" s="4" t="s">
        <v>7875</v>
      </c>
      <c r="N155" s="4" t="s">
        <v>7879</v>
      </c>
      <c r="O155" s="4" t="s">
        <v>7882</v>
      </c>
    </row>
    <row r="156" spans="1:15" ht="13">
      <c r="A156" s="4" t="s">
        <v>7884</v>
      </c>
      <c r="B156" s="4" t="e">
        <v>#N/A</v>
      </c>
      <c r="E156" s="4" t="s">
        <v>7887</v>
      </c>
      <c r="F156" s="4" t="s">
        <v>7889</v>
      </c>
      <c r="H156" s="4" t="s">
        <v>7890</v>
      </c>
      <c r="I156" s="4" t="s">
        <v>7891</v>
      </c>
      <c r="K156" s="4" t="s">
        <v>7893</v>
      </c>
      <c r="L156" s="4" t="s">
        <v>7895</v>
      </c>
      <c r="N156" s="4" t="s">
        <v>7896</v>
      </c>
      <c r="O156" s="4" t="s">
        <v>7898</v>
      </c>
    </row>
    <row r="157" spans="1:15" ht="13">
      <c r="A157" s="4" t="s">
        <v>7900</v>
      </c>
      <c r="B157" s="4" t="s">
        <v>7902</v>
      </c>
      <c r="C157" s="4" t="s">
        <v>7904</v>
      </c>
      <c r="E157" s="4" t="s">
        <v>7906</v>
      </c>
      <c r="F157" s="4" t="s">
        <v>7908</v>
      </c>
      <c r="H157" s="4" t="s">
        <v>7909</v>
      </c>
      <c r="I157" s="4" t="s">
        <v>7910</v>
      </c>
      <c r="K157" s="4" t="s">
        <v>7912</v>
      </c>
      <c r="L157" s="4" t="s">
        <v>7914</v>
      </c>
      <c r="N157" s="4" t="s">
        <v>7916</v>
      </c>
      <c r="O157" s="4" t="s">
        <v>7919</v>
      </c>
    </row>
    <row r="158" spans="1:15" ht="13">
      <c r="A158" s="4" t="s">
        <v>7921</v>
      </c>
      <c r="B158" s="4" t="s">
        <v>7922</v>
      </c>
      <c r="C158" s="4" t="s">
        <v>7923</v>
      </c>
      <c r="E158" s="4" t="s">
        <v>7925</v>
      </c>
      <c r="F158" s="4" t="s">
        <v>7927</v>
      </c>
      <c r="H158" s="4" t="e">
        <v>#N/A</v>
      </c>
      <c r="K158" s="4" t="s">
        <v>7929</v>
      </c>
      <c r="L158" s="4" t="s">
        <v>7931</v>
      </c>
      <c r="N158" s="4" t="e">
        <v>#N/A</v>
      </c>
    </row>
    <row r="159" spans="1:15" ht="13">
      <c r="A159" s="4" t="s">
        <v>7935</v>
      </c>
      <c r="B159" s="4" t="s">
        <v>7936</v>
      </c>
      <c r="C159" s="4" t="s">
        <v>7939</v>
      </c>
      <c r="E159" s="4" t="e">
        <v>#N/A</v>
      </c>
      <c r="H159" s="4" t="s">
        <v>7942</v>
      </c>
      <c r="I159" s="4" t="s">
        <v>7944</v>
      </c>
      <c r="K159" s="4" t="s">
        <v>7946</v>
      </c>
      <c r="L159" s="4" t="s">
        <v>7948</v>
      </c>
      <c r="N159" s="4" t="s">
        <v>7949</v>
      </c>
      <c r="O159" s="4" t="s">
        <v>7952</v>
      </c>
    </row>
    <row r="160" spans="1:15" ht="13">
      <c r="A160" s="4" t="s">
        <v>7954</v>
      </c>
      <c r="B160" s="4" t="s">
        <v>7956</v>
      </c>
      <c r="C160" s="4" t="s">
        <v>7958</v>
      </c>
      <c r="E160" s="4" t="s">
        <v>7960</v>
      </c>
      <c r="F160" s="4" t="s">
        <v>7962</v>
      </c>
      <c r="H160" s="4" t="s">
        <v>7964</v>
      </c>
      <c r="I160" s="4" t="s">
        <v>7967</v>
      </c>
      <c r="K160" s="4" t="e">
        <v>#N/A</v>
      </c>
      <c r="N160" s="4" t="e">
        <v>#N/A</v>
      </c>
    </row>
    <row r="161" spans="1:15" ht="13">
      <c r="A161" s="4" t="s">
        <v>7971</v>
      </c>
      <c r="B161" s="4" t="s">
        <v>7973</v>
      </c>
      <c r="C161" s="4" t="s">
        <v>7975</v>
      </c>
      <c r="E161" s="4" t="s">
        <v>7977</v>
      </c>
      <c r="F161" s="4" t="s">
        <v>7979</v>
      </c>
      <c r="H161" s="4" t="s">
        <v>7981</v>
      </c>
      <c r="I161" s="4" t="s">
        <v>7984</v>
      </c>
      <c r="K161" s="4" t="s">
        <v>7985</v>
      </c>
      <c r="L161" s="4" t="s">
        <v>7986</v>
      </c>
      <c r="N161" s="4" t="s">
        <v>7988</v>
      </c>
      <c r="O161" s="4" t="s">
        <v>7990</v>
      </c>
    </row>
    <row r="162" spans="1:15" ht="13">
      <c r="A162" s="4" t="s">
        <v>7992</v>
      </c>
      <c r="B162" s="4" t="s">
        <v>7994</v>
      </c>
      <c r="C162" s="4" t="s">
        <v>7997</v>
      </c>
      <c r="E162" s="4" t="s">
        <v>7999</v>
      </c>
      <c r="F162" s="4" t="s">
        <v>8001</v>
      </c>
      <c r="H162" s="4" t="e">
        <v>#N/A</v>
      </c>
      <c r="K162" s="4" t="s">
        <v>8004</v>
      </c>
      <c r="L162" s="4" t="s">
        <v>8006</v>
      </c>
      <c r="N162" s="4" t="e">
        <v>#N/A</v>
      </c>
    </row>
    <row r="163" spans="1:15" ht="13">
      <c r="A163" s="4" t="s">
        <v>8008</v>
      </c>
      <c r="B163" s="4" t="s">
        <v>8010</v>
      </c>
      <c r="C163" s="4" t="s">
        <v>8011</v>
      </c>
      <c r="E163" s="4" t="s">
        <v>8013</v>
      </c>
      <c r="F163" s="4" t="s">
        <v>8015</v>
      </c>
      <c r="H163" s="4" t="s">
        <v>8017</v>
      </c>
      <c r="I163" s="4" t="s">
        <v>8019</v>
      </c>
      <c r="K163" s="4" t="e">
        <v>#N/A</v>
      </c>
      <c r="N163" s="4" t="s">
        <v>8022</v>
      </c>
      <c r="O163" s="4" t="s">
        <v>8024</v>
      </c>
    </row>
    <row r="164" spans="1:15" ht="13">
      <c r="A164" s="4" t="s">
        <v>8027</v>
      </c>
      <c r="B164" s="4" t="s">
        <v>8034</v>
      </c>
      <c r="C164" s="4" t="s">
        <v>8035</v>
      </c>
      <c r="E164" s="4" t="s">
        <v>8037</v>
      </c>
      <c r="F164" s="4" t="s">
        <v>8039</v>
      </c>
      <c r="H164" s="4" t="e">
        <v>#N/A</v>
      </c>
      <c r="K164" s="4" t="s">
        <v>8041</v>
      </c>
      <c r="L164" s="4" t="s">
        <v>8043</v>
      </c>
      <c r="N164" s="4" t="e">
        <v>#N/A</v>
      </c>
    </row>
    <row r="165" spans="1:15" ht="13">
      <c r="A165" s="4" t="s">
        <v>8045</v>
      </c>
      <c r="B165" s="4" t="s">
        <v>8047</v>
      </c>
      <c r="C165" s="4" t="s">
        <v>8049</v>
      </c>
      <c r="E165" s="4" t="s">
        <v>8051</v>
      </c>
      <c r="F165" s="4" t="s">
        <v>8052</v>
      </c>
      <c r="H165" s="4" t="e">
        <v>#N/A</v>
      </c>
      <c r="K165" s="4" t="s">
        <v>8053</v>
      </c>
      <c r="L165" s="4" t="s">
        <v>8055</v>
      </c>
      <c r="N165" s="4" t="e">
        <v>#N/A</v>
      </c>
    </row>
    <row r="166" spans="1:15" ht="13">
      <c r="A166" s="4" t="s">
        <v>8058</v>
      </c>
      <c r="B166" s="4" t="s">
        <v>8059</v>
      </c>
      <c r="C166" s="4" t="s">
        <v>8060</v>
      </c>
      <c r="E166" s="4" t="s">
        <v>8061</v>
      </c>
      <c r="F166" s="4" t="s">
        <v>8063</v>
      </c>
      <c r="H166" s="4" t="s">
        <v>8065</v>
      </c>
      <c r="I166" s="4" t="s">
        <v>8067</v>
      </c>
      <c r="K166" s="4" t="s">
        <v>8068</v>
      </c>
      <c r="L166" s="4" t="s">
        <v>8069</v>
      </c>
      <c r="N166" s="4" t="s">
        <v>8071</v>
      </c>
      <c r="O166" s="4" t="s">
        <v>8074</v>
      </c>
    </row>
    <row r="167" spans="1:15" ht="13">
      <c r="A167" s="4" t="s">
        <v>8077</v>
      </c>
      <c r="B167" s="4" t="s">
        <v>8079</v>
      </c>
      <c r="C167" s="4" t="s">
        <v>8081</v>
      </c>
      <c r="E167" s="4" t="e">
        <v>#N/A</v>
      </c>
      <c r="H167" s="4" t="s">
        <v>8083</v>
      </c>
      <c r="I167" s="4" t="s">
        <v>8085</v>
      </c>
      <c r="K167" s="4" t="s">
        <v>8086</v>
      </c>
      <c r="L167" s="4" t="s">
        <v>8088</v>
      </c>
      <c r="N167" s="4" t="e">
        <v>#N/A</v>
      </c>
    </row>
    <row r="168" spans="1:15" ht="13">
      <c r="A168" s="4" t="s">
        <v>8090</v>
      </c>
      <c r="B168" s="4" t="e">
        <v>#N/A</v>
      </c>
      <c r="E168" s="4" t="s">
        <v>8092</v>
      </c>
      <c r="F168" s="4" t="s">
        <v>8094</v>
      </c>
      <c r="H168" s="4" t="s">
        <v>8096</v>
      </c>
      <c r="I168" s="4" t="s">
        <v>8099</v>
      </c>
      <c r="K168" s="4" t="s">
        <v>8100</v>
      </c>
      <c r="L168" s="4" t="s">
        <v>8103</v>
      </c>
      <c r="N168" s="4" t="s">
        <v>8105</v>
      </c>
      <c r="O168" s="4" t="s">
        <v>8107</v>
      </c>
    </row>
    <row r="169" spans="1:15" ht="13">
      <c r="A169" s="4" t="s">
        <v>8109</v>
      </c>
      <c r="B169" s="4" t="s">
        <v>8111</v>
      </c>
      <c r="C169" s="4" t="s">
        <v>8113</v>
      </c>
      <c r="E169" s="4" t="s">
        <v>8114</v>
      </c>
      <c r="F169" s="4" t="s">
        <v>8117</v>
      </c>
      <c r="H169" s="4" t="s">
        <v>8118</v>
      </c>
      <c r="I169" s="4" t="s">
        <v>8121</v>
      </c>
      <c r="K169" s="4" t="s">
        <v>8122</v>
      </c>
      <c r="L169" s="4" t="s">
        <v>8124</v>
      </c>
      <c r="N169" s="4" t="s">
        <v>8126</v>
      </c>
      <c r="O169" s="4" t="s">
        <v>8129</v>
      </c>
    </row>
    <row r="170" spans="1:15" ht="13">
      <c r="A170" s="4" t="s">
        <v>8130</v>
      </c>
      <c r="B170" s="4" t="s">
        <v>8132</v>
      </c>
      <c r="C170" s="4" t="s">
        <v>8134</v>
      </c>
      <c r="E170" s="4" t="s">
        <v>8136</v>
      </c>
      <c r="F170" s="4" t="s">
        <v>8138</v>
      </c>
      <c r="H170" s="4" t="s">
        <v>8139</v>
      </c>
      <c r="I170" s="4" t="s">
        <v>8142</v>
      </c>
      <c r="K170" s="4" t="e">
        <v>#N/A</v>
      </c>
      <c r="N170" s="4" t="s">
        <v>8145</v>
      </c>
      <c r="O170" s="4" t="s">
        <v>8146</v>
      </c>
    </row>
    <row r="171" spans="1:15" ht="13">
      <c r="A171" s="4" t="s">
        <v>8148</v>
      </c>
      <c r="B171" s="4" t="s">
        <v>8149</v>
      </c>
      <c r="C171" s="4" t="s">
        <v>8150</v>
      </c>
      <c r="E171" s="4" t="e">
        <v>#N/A</v>
      </c>
      <c r="H171" s="4" t="s">
        <v>8153</v>
      </c>
      <c r="I171" s="4" t="s">
        <v>8155</v>
      </c>
      <c r="K171" s="4" t="s">
        <v>8156</v>
      </c>
      <c r="L171" s="4" t="s">
        <v>8158</v>
      </c>
      <c r="N171" s="4" t="s">
        <v>8159</v>
      </c>
      <c r="O171" s="4" t="s">
        <v>8160</v>
      </c>
    </row>
    <row r="172" spans="1:15" ht="13">
      <c r="A172" s="4" t="s">
        <v>8162</v>
      </c>
      <c r="B172" s="4" t="s">
        <v>8164</v>
      </c>
      <c r="C172" s="4" t="s">
        <v>8166</v>
      </c>
      <c r="E172" s="4" t="s">
        <v>8168</v>
      </c>
      <c r="F172" s="4" t="s">
        <v>8173</v>
      </c>
      <c r="H172" s="4" t="s">
        <v>8174</v>
      </c>
      <c r="I172" s="4" t="s">
        <v>8177</v>
      </c>
      <c r="K172" s="4" t="e">
        <v>#N/A</v>
      </c>
      <c r="N172" s="4" t="s">
        <v>8179</v>
      </c>
      <c r="O172" s="4" t="s">
        <v>8181</v>
      </c>
    </row>
    <row r="173" spans="1:15" ht="13">
      <c r="A173" s="4" t="s">
        <v>8183</v>
      </c>
      <c r="B173" s="4" t="s">
        <v>8185</v>
      </c>
      <c r="C173" s="4" t="s">
        <v>8186</v>
      </c>
      <c r="E173" s="4" t="s">
        <v>8188</v>
      </c>
      <c r="F173" s="4" t="s">
        <v>8192</v>
      </c>
      <c r="H173" s="4" t="s">
        <v>8194</v>
      </c>
      <c r="I173" s="4" t="s">
        <v>8196</v>
      </c>
      <c r="K173" s="4" t="s">
        <v>8197</v>
      </c>
      <c r="L173" s="4" t="s">
        <v>8199</v>
      </c>
      <c r="N173" s="4" t="s">
        <v>8201</v>
      </c>
      <c r="O173" s="4" t="s">
        <v>8203</v>
      </c>
    </row>
    <row r="174" spans="1:15" ht="13">
      <c r="A174" s="4" t="s">
        <v>8205</v>
      </c>
      <c r="B174" s="4" t="s">
        <v>8207</v>
      </c>
      <c r="C174" s="4" t="s">
        <v>8208</v>
      </c>
      <c r="E174" s="4" t="s">
        <v>8209</v>
      </c>
      <c r="F174" s="4" t="s">
        <v>8211</v>
      </c>
      <c r="H174" s="4" t="e">
        <v>#N/A</v>
      </c>
      <c r="K174" s="4" t="s">
        <v>8213</v>
      </c>
      <c r="L174" s="4" t="s">
        <v>8215</v>
      </c>
      <c r="N174" s="4" t="s">
        <v>8217</v>
      </c>
      <c r="O174" s="4" t="s">
        <v>8219</v>
      </c>
    </row>
    <row r="175" spans="1:15" ht="13">
      <c r="A175" s="4" t="s">
        <v>8221</v>
      </c>
      <c r="B175" s="4" t="s">
        <v>8223</v>
      </c>
      <c r="C175" s="4" t="s">
        <v>8225</v>
      </c>
      <c r="E175" s="4" t="e">
        <v>#N/A</v>
      </c>
      <c r="H175" s="4" t="s">
        <v>8228</v>
      </c>
      <c r="I175" s="4" t="s">
        <v>8230</v>
      </c>
      <c r="K175" s="4" t="e">
        <v>#N/A</v>
      </c>
      <c r="N175" s="4" t="s">
        <v>8231</v>
      </c>
      <c r="O175" s="4" t="s">
        <v>8233</v>
      </c>
    </row>
    <row r="176" spans="1:15" ht="13">
      <c r="A176" s="4" t="s">
        <v>8234</v>
      </c>
      <c r="B176" s="4" t="e">
        <v>#N/A</v>
      </c>
      <c r="E176" s="4" t="s">
        <v>8236</v>
      </c>
      <c r="F176" s="4" t="s">
        <v>8239</v>
      </c>
      <c r="H176" s="4" t="s">
        <v>8241</v>
      </c>
      <c r="I176" s="4" t="s">
        <v>8243</v>
      </c>
      <c r="K176" s="4" t="e">
        <v>#N/A</v>
      </c>
      <c r="N176" s="4" t="e">
        <v>#N/A</v>
      </c>
    </row>
    <row r="177" spans="1:15" ht="13">
      <c r="A177" s="4" t="s">
        <v>8247</v>
      </c>
      <c r="B177" s="4" t="s">
        <v>8249</v>
      </c>
      <c r="C177" s="4" t="s">
        <v>8251</v>
      </c>
      <c r="E177" s="4" t="s">
        <v>8253</v>
      </c>
      <c r="F177" s="4" t="s">
        <v>8255</v>
      </c>
      <c r="H177" s="4" t="e">
        <v>#N/A</v>
      </c>
      <c r="K177" s="4" t="s">
        <v>8257</v>
      </c>
      <c r="L177" s="4" t="s">
        <v>8259</v>
      </c>
      <c r="N177" s="4" t="s">
        <v>8261</v>
      </c>
      <c r="O177" s="4" t="s">
        <v>8264</v>
      </c>
    </row>
    <row r="178" spans="1:15" ht="13">
      <c r="A178" s="4" t="s">
        <v>8267</v>
      </c>
      <c r="B178" s="4" t="s">
        <v>8269</v>
      </c>
      <c r="C178" s="4" t="s">
        <v>8270</v>
      </c>
      <c r="E178" s="4" t="e">
        <v>#N/A</v>
      </c>
      <c r="H178" s="4" t="e">
        <v>#N/A</v>
      </c>
      <c r="K178" s="4" t="s">
        <v>8274</v>
      </c>
      <c r="L178" s="4" t="s">
        <v>8276</v>
      </c>
      <c r="N178" s="4" t="e">
        <v>#N/A</v>
      </c>
    </row>
    <row r="179" spans="1:15" ht="13">
      <c r="A179" s="4" t="s">
        <v>8279</v>
      </c>
      <c r="B179" s="4" t="e">
        <v>#N/A</v>
      </c>
      <c r="E179" s="4" t="s">
        <v>8281</v>
      </c>
      <c r="F179" s="4" t="s">
        <v>8282</v>
      </c>
      <c r="H179" s="4" t="s">
        <v>8283</v>
      </c>
      <c r="I179" s="4" t="s">
        <v>8285</v>
      </c>
      <c r="K179" s="4" t="s">
        <v>8287</v>
      </c>
      <c r="L179" s="4" t="s">
        <v>8290</v>
      </c>
      <c r="N179" s="4" t="s">
        <v>8291</v>
      </c>
      <c r="O179" s="4" t="s">
        <v>8293</v>
      </c>
    </row>
    <row r="180" spans="1:15" ht="13">
      <c r="A180" s="4" t="s">
        <v>8296</v>
      </c>
      <c r="B180" s="4" t="e">
        <v>#N/A</v>
      </c>
      <c r="E180" s="4" t="s">
        <v>8300</v>
      </c>
      <c r="F180" s="4" t="s">
        <v>8302</v>
      </c>
      <c r="H180" s="4" t="s">
        <v>8304</v>
      </c>
      <c r="I180" s="4" t="s">
        <v>8306</v>
      </c>
      <c r="K180" s="4" t="s">
        <v>8308</v>
      </c>
      <c r="L180" s="4" t="s">
        <v>8310</v>
      </c>
      <c r="N180" s="4" t="s">
        <v>8311</v>
      </c>
      <c r="O180" s="4" t="s">
        <v>8313</v>
      </c>
    </row>
    <row r="181" spans="1:15" ht="13">
      <c r="A181" s="4" t="s">
        <v>8316</v>
      </c>
      <c r="B181" s="4" t="s">
        <v>8317</v>
      </c>
      <c r="C181" s="4" t="s">
        <v>8319</v>
      </c>
      <c r="E181" s="4" t="s">
        <v>8321</v>
      </c>
      <c r="F181" s="4" t="s">
        <v>8323</v>
      </c>
      <c r="H181" s="4" t="e">
        <v>#N/A</v>
      </c>
      <c r="K181" s="4" t="s">
        <v>8325</v>
      </c>
      <c r="L181" s="4" t="s">
        <v>8328</v>
      </c>
      <c r="N181" s="4" t="e">
        <v>#N/A</v>
      </c>
    </row>
    <row r="182" spans="1:15" ht="13">
      <c r="A182" s="4" t="s">
        <v>8331</v>
      </c>
      <c r="B182" s="4" t="s">
        <v>8333</v>
      </c>
      <c r="C182" s="4" t="s">
        <v>8335</v>
      </c>
      <c r="E182" s="4" t="s">
        <v>8337</v>
      </c>
      <c r="F182" s="4" t="s">
        <v>8339</v>
      </c>
      <c r="H182" s="4" t="e">
        <v>#N/A</v>
      </c>
      <c r="K182" s="4" t="s">
        <v>8342</v>
      </c>
      <c r="L182" s="4" t="s">
        <v>8345</v>
      </c>
      <c r="N182" s="4" t="e">
        <v>#N/A</v>
      </c>
    </row>
    <row r="183" spans="1:15" ht="13">
      <c r="A183" s="4" t="s">
        <v>8348</v>
      </c>
      <c r="B183" s="4" t="s">
        <v>8350</v>
      </c>
      <c r="C183" s="4" t="s">
        <v>8351</v>
      </c>
      <c r="E183" s="4" t="s">
        <v>8353</v>
      </c>
      <c r="F183" s="4" t="s">
        <v>8356</v>
      </c>
      <c r="H183" s="4" t="s">
        <v>8358</v>
      </c>
      <c r="I183" s="4" t="s">
        <v>8360</v>
      </c>
      <c r="K183" s="4" t="s">
        <v>8362</v>
      </c>
      <c r="L183" s="4" t="s">
        <v>8363</v>
      </c>
      <c r="N183" s="4" t="s">
        <v>8365</v>
      </c>
      <c r="O183" s="4" t="s">
        <v>8368</v>
      </c>
    </row>
    <row r="184" spans="1:15" ht="13">
      <c r="A184" s="4" t="s">
        <v>8369</v>
      </c>
      <c r="B184" s="4" t="s">
        <v>8371</v>
      </c>
      <c r="C184" s="4" t="s">
        <v>8373</v>
      </c>
      <c r="E184" s="4" t="e">
        <v>#N/A</v>
      </c>
      <c r="H184" s="4" t="s">
        <v>8376</v>
      </c>
      <c r="I184" s="4" t="s">
        <v>8377</v>
      </c>
      <c r="K184" s="4" t="s">
        <v>8378</v>
      </c>
      <c r="L184" s="4" t="s">
        <v>8381</v>
      </c>
      <c r="N184" s="4" t="s">
        <v>8383</v>
      </c>
      <c r="O184" s="4" t="s">
        <v>8385</v>
      </c>
    </row>
    <row r="185" spans="1:15" ht="13">
      <c r="A185" s="4" t="s">
        <v>8387</v>
      </c>
      <c r="B185" s="4" t="s">
        <v>8389</v>
      </c>
      <c r="C185" s="4" t="s">
        <v>8391</v>
      </c>
      <c r="E185" s="4" t="s">
        <v>8394</v>
      </c>
      <c r="F185" s="4" t="s">
        <v>8396</v>
      </c>
      <c r="H185" s="4" t="s">
        <v>8398</v>
      </c>
      <c r="I185" s="4" t="s">
        <v>8399</v>
      </c>
      <c r="K185" s="4" t="s">
        <v>8401</v>
      </c>
      <c r="L185" s="4" t="s">
        <v>8402</v>
      </c>
      <c r="N185" s="4" t="e">
        <v>#N/A</v>
      </c>
    </row>
    <row r="186" spans="1:15" ht="13">
      <c r="A186" s="4" t="s">
        <v>8404</v>
      </c>
      <c r="B186" s="4" t="s">
        <v>8406</v>
      </c>
      <c r="C186" s="4" t="s">
        <v>8408</v>
      </c>
      <c r="E186" s="4" t="e">
        <v>#N/A</v>
      </c>
      <c r="H186" s="4" t="s">
        <v>8410</v>
      </c>
      <c r="I186" s="4" t="s">
        <v>8412</v>
      </c>
      <c r="K186" s="4" t="s">
        <v>8414</v>
      </c>
      <c r="L186" s="4" t="s">
        <v>8416</v>
      </c>
      <c r="N186" s="4" t="s">
        <v>8419</v>
      </c>
      <c r="O186" s="4" t="s">
        <v>8421</v>
      </c>
    </row>
    <row r="187" spans="1:15" ht="13">
      <c r="A187" s="4" t="s">
        <v>8424</v>
      </c>
      <c r="B187" s="4" t="s">
        <v>8426</v>
      </c>
      <c r="C187" s="4" t="s">
        <v>8428</v>
      </c>
      <c r="E187" s="4" t="s">
        <v>8429</v>
      </c>
      <c r="F187" s="4" t="s">
        <v>8430</v>
      </c>
      <c r="H187" s="4" t="s">
        <v>8432</v>
      </c>
      <c r="I187" s="4" t="s">
        <v>8434</v>
      </c>
      <c r="K187" s="4" t="s">
        <v>8435</v>
      </c>
      <c r="L187" s="4" t="s">
        <v>8437</v>
      </c>
      <c r="N187" s="4" t="s">
        <v>8439</v>
      </c>
      <c r="O187" s="4" t="s">
        <v>8441</v>
      </c>
    </row>
    <row r="188" spans="1:15" ht="13">
      <c r="A188" s="4" t="s">
        <v>8443</v>
      </c>
      <c r="B188" s="4" t="e">
        <v>#N/A</v>
      </c>
      <c r="E188" s="4" t="e">
        <v>#N/A</v>
      </c>
      <c r="H188" s="4" t="s">
        <v>8445</v>
      </c>
      <c r="I188" s="4" t="s">
        <v>8446</v>
      </c>
      <c r="K188" s="4" t="e">
        <v>#N/A</v>
      </c>
      <c r="N188" s="4" t="s">
        <v>8449</v>
      </c>
      <c r="O188" s="4" t="s">
        <v>8451</v>
      </c>
    </row>
    <row r="189" spans="1:15" ht="13">
      <c r="A189" s="4" t="s">
        <v>8454</v>
      </c>
      <c r="B189" s="4" t="s">
        <v>8456</v>
      </c>
      <c r="C189" s="4" t="s">
        <v>8458</v>
      </c>
      <c r="E189" s="4" t="s">
        <v>8459</v>
      </c>
      <c r="F189" s="4" t="s">
        <v>8461</v>
      </c>
      <c r="H189" s="4" t="e">
        <v>#N/A</v>
      </c>
      <c r="K189" s="4" t="e">
        <v>#N/A</v>
      </c>
      <c r="N189" s="4" t="s">
        <v>8465</v>
      </c>
      <c r="O189" s="4" t="s">
        <v>8467</v>
      </c>
    </row>
    <row r="190" spans="1:15" ht="13">
      <c r="A190" s="4" t="s">
        <v>8470</v>
      </c>
      <c r="B190" s="4" t="s">
        <v>8472</v>
      </c>
      <c r="C190" s="4" t="s">
        <v>8474</v>
      </c>
      <c r="E190" s="4" t="s">
        <v>8475</v>
      </c>
      <c r="F190" s="4" t="s">
        <v>8478</v>
      </c>
      <c r="H190" s="4" t="s">
        <v>8480</v>
      </c>
      <c r="I190" s="4" t="s">
        <v>8482</v>
      </c>
      <c r="K190" s="4" t="s">
        <v>8484</v>
      </c>
      <c r="L190" s="4" t="s">
        <v>8486</v>
      </c>
      <c r="N190" s="4" t="s">
        <v>8487</v>
      </c>
      <c r="O190" s="4" t="s">
        <v>8490</v>
      </c>
    </row>
    <row r="191" spans="1:15" ht="13">
      <c r="A191" s="4" t="s">
        <v>8492</v>
      </c>
      <c r="B191" s="4" t="s">
        <v>8494</v>
      </c>
      <c r="C191" s="4" t="s">
        <v>8496</v>
      </c>
      <c r="E191" s="4" t="s">
        <v>8498</v>
      </c>
      <c r="F191" s="4" t="s">
        <v>8500</v>
      </c>
      <c r="H191" s="4" t="s">
        <v>8502</v>
      </c>
      <c r="I191" s="4" t="s">
        <v>8505</v>
      </c>
      <c r="K191" s="4" t="s">
        <v>8507</v>
      </c>
      <c r="L191" s="4" t="s">
        <v>8509</v>
      </c>
      <c r="N191" s="4" t="s">
        <v>8511</v>
      </c>
      <c r="O191" s="4" t="s">
        <v>8513</v>
      </c>
    </row>
    <row r="192" spans="1:15" ht="13">
      <c r="A192" s="4" t="s">
        <v>8516</v>
      </c>
      <c r="B192" s="4" t="s">
        <v>8517</v>
      </c>
      <c r="C192" s="4" t="s">
        <v>8519</v>
      </c>
      <c r="E192" s="4" t="e">
        <v>#N/A</v>
      </c>
      <c r="H192" s="4" t="e">
        <v>#N/A</v>
      </c>
      <c r="K192" s="4" t="s">
        <v>8522</v>
      </c>
      <c r="L192" s="4" t="s">
        <v>8523</v>
      </c>
      <c r="N192" s="4" t="s">
        <v>8525</v>
      </c>
      <c r="O192" s="4" t="s">
        <v>8528</v>
      </c>
    </row>
    <row r="193" spans="1:15" ht="13">
      <c r="A193" s="4" t="s">
        <v>8529</v>
      </c>
      <c r="B193" s="4" t="s">
        <v>8531</v>
      </c>
      <c r="C193" s="4" t="s">
        <v>8533</v>
      </c>
      <c r="E193" s="4" t="s">
        <v>8535</v>
      </c>
      <c r="F193" s="4" t="s">
        <v>8538</v>
      </c>
      <c r="H193" s="4" t="s">
        <v>8540</v>
      </c>
      <c r="I193" s="4" t="s">
        <v>8542</v>
      </c>
      <c r="K193" s="4" t="s">
        <v>8543</v>
      </c>
      <c r="L193" s="4" t="s">
        <v>8545</v>
      </c>
      <c r="N193" s="4" t="s">
        <v>8547</v>
      </c>
      <c r="O193" s="4" t="s">
        <v>8551</v>
      </c>
    </row>
    <row r="194" spans="1:15" ht="13">
      <c r="A194" s="4" t="s">
        <v>8554</v>
      </c>
      <c r="B194" s="4" t="s">
        <v>8555</v>
      </c>
      <c r="C194" s="4" t="s">
        <v>8557</v>
      </c>
      <c r="E194" s="4" t="s">
        <v>8559</v>
      </c>
      <c r="F194" s="4" t="s">
        <v>8560</v>
      </c>
      <c r="H194" s="4" t="s">
        <v>8562</v>
      </c>
      <c r="I194" s="4" t="s">
        <v>8564</v>
      </c>
      <c r="K194" s="4" t="s">
        <v>8565</v>
      </c>
      <c r="L194" s="4" t="s">
        <v>8568</v>
      </c>
      <c r="N194" s="4" t="e">
        <v>#N/A</v>
      </c>
    </row>
    <row r="195" spans="1:15" ht="13">
      <c r="A195" s="4" t="s">
        <v>8572</v>
      </c>
      <c r="B195" s="4" t="e">
        <v>#N/A</v>
      </c>
      <c r="E195" s="4" t="s">
        <v>8574</v>
      </c>
      <c r="F195" s="4" t="s">
        <v>8576</v>
      </c>
      <c r="H195" s="4" t="s">
        <v>8578</v>
      </c>
      <c r="I195" s="4" t="s">
        <v>8581</v>
      </c>
      <c r="K195" s="4" t="s">
        <v>8582</v>
      </c>
      <c r="L195" s="4" t="s">
        <v>8585</v>
      </c>
      <c r="N195" s="4" t="s">
        <v>8587</v>
      </c>
      <c r="O195" s="4" t="s">
        <v>8589</v>
      </c>
    </row>
    <row r="196" spans="1:15" ht="13">
      <c r="A196" s="4" t="s">
        <v>8591</v>
      </c>
      <c r="B196" s="4" t="s">
        <v>8593</v>
      </c>
      <c r="C196" s="4" t="s">
        <v>8595</v>
      </c>
      <c r="E196" s="4" t="e">
        <v>#N/A</v>
      </c>
      <c r="H196" s="4" t="e">
        <v>#N/A</v>
      </c>
      <c r="K196" s="4" t="e">
        <v>#N/A</v>
      </c>
      <c r="N196" s="4" t="s">
        <v>8600</v>
      </c>
      <c r="O196" s="4" t="s">
        <v>8602</v>
      </c>
    </row>
    <row r="197" spans="1:15" ht="13">
      <c r="A197" s="4" t="s">
        <v>8604</v>
      </c>
      <c r="B197" s="4" t="s">
        <v>8606</v>
      </c>
      <c r="C197" s="4" t="s">
        <v>8608</v>
      </c>
      <c r="E197" s="4" t="e">
        <v>#N/A</v>
      </c>
      <c r="H197" s="4" t="s">
        <v>8610</v>
      </c>
      <c r="I197" s="4" t="s">
        <v>8613</v>
      </c>
      <c r="K197" s="4" t="e">
        <v>#N/A</v>
      </c>
      <c r="N197" s="4" t="s">
        <v>8616</v>
      </c>
      <c r="O197" s="4" t="s">
        <v>8618</v>
      </c>
    </row>
    <row r="198" spans="1:15" ht="13">
      <c r="A198" s="4" t="s">
        <v>8620</v>
      </c>
      <c r="B198" s="4" t="s">
        <v>8622</v>
      </c>
      <c r="C198" s="4" t="s">
        <v>8625</v>
      </c>
      <c r="E198" s="4" t="s">
        <v>8627</v>
      </c>
      <c r="F198" s="4" t="s">
        <v>8630</v>
      </c>
      <c r="H198" s="4" t="s">
        <v>8632</v>
      </c>
      <c r="I198" s="4" t="s">
        <v>8634</v>
      </c>
      <c r="K198" s="4" t="e">
        <v>#N/A</v>
      </c>
      <c r="N198" s="4" t="s">
        <v>8637</v>
      </c>
      <c r="O198" s="4" t="s">
        <v>8639</v>
      </c>
    </row>
    <row r="199" spans="1:15" ht="13">
      <c r="A199" s="4" t="s">
        <v>8641</v>
      </c>
      <c r="B199" s="4" t="s">
        <v>8642</v>
      </c>
      <c r="C199" s="4" t="s">
        <v>8644</v>
      </c>
      <c r="E199" s="4" t="s">
        <v>8645</v>
      </c>
      <c r="F199" s="4" t="s">
        <v>8647</v>
      </c>
      <c r="H199" s="4" t="e">
        <v>#N/A</v>
      </c>
      <c r="K199" s="4" t="s">
        <v>8649</v>
      </c>
      <c r="L199" s="4" t="s">
        <v>8653</v>
      </c>
      <c r="N199" s="4" t="s">
        <v>8654</v>
      </c>
      <c r="O199" s="4" t="s">
        <v>8655</v>
      </c>
    </row>
    <row r="200" spans="1:15" ht="13">
      <c r="A200" s="4" t="s">
        <v>8657</v>
      </c>
      <c r="B200" s="4" t="s">
        <v>8658</v>
      </c>
      <c r="C200" s="4" t="s">
        <v>8661</v>
      </c>
      <c r="E200" s="4" t="s">
        <v>8663</v>
      </c>
      <c r="F200" s="4" t="s">
        <v>8665</v>
      </c>
      <c r="H200" s="4" t="s">
        <v>8666</v>
      </c>
      <c r="I200" s="4" t="s">
        <v>8669</v>
      </c>
      <c r="K200" s="4" t="s">
        <v>8670</v>
      </c>
      <c r="L200" s="4" t="s">
        <v>8672</v>
      </c>
      <c r="N200" s="4" t="s">
        <v>8673</v>
      </c>
      <c r="O200" s="4" t="s">
        <v>8674</v>
      </c>
    </row>
    <row r="201" spans="1:15" ht="13">
      <c r="A201" s="4" t="s">
        <v>8677</v>
      </c>
      <c r="B201" s="4" t="s">
        <v>8679</v>
      </c>
      <c r="C201" s="4" t="s">
        <v>8681</v>
      </c>
      <c r="E201" s="4" t="e">
        <v>#N/A</v>
      </c>
      <c r="H201" s="4" t="s">
        <v>8684</v>
      </c>
      <c r="I201" s="4" t="s">
        <v>8686</v>
      </c>
      <c r="K201" s="4" t="s">
        <v>8688</v>
      </c>
      <c r="L201" s="4" t="s">
        <v>8690</v>
      </c>
      <c r="N201" s="4" t="s">
        <v>8691</v>
      </c>
      <c r="O201" s="4" t="s">
        <v>8694</v>
      </c>
    </row>
    <row r="202" spans="1:15" ht="13">
      <c r="A202" s="4" t="s">
        <v>8696</v>
      </c>
      <c r="B202" s="4" t="s">
        <v>8698</v>
      </c>
      <c r="C202" s="4" t="s">
        <v>8700</v>
      </c>
      <c r="E202" s="4" t="s">
        <v>8701</v>
      </c>
      <c r="F202" s="4" t="s">
        <v>8703</v>
      </c>
      <c r="H202" s="4" t="s">
        <v>8704</v>
      </c>
      <c r="I202" s="4" t="s">
        <v>8706</v>
      </c>
      <c r="K202" s="4" t="s">
        <v>8708</v>
      </c>
      <c r="L202" s="4" t="s">
        <v>8711</v>
      </c>
      <c r="N202" s="4" t="s">
        <v>8713</v>
      </c>
      <c r="O202" s="4" t="s">
        <v>8714</v>
      </c>
    </row>
    <row r="203" spans="1:15" ht="13">
      <c r="A203" s="4" t="s">
        <v>8717</v>
      </c>
      <c r="B203" s="4" t="s">
        <v>8718</v>
      </c>
      <c r="C203" s="4" t="s">
        <v>8719</v>
      </c>
      <c r="E203" s="4" t="s">
        <v>8721</v>
      </c>
      <c r="F203" s="4" t="s">
        <v>8723</v>
      </c>
      <c r="H203" s="4" t="s">
        <v>8726</v>
      </c>
      <c r="I203" s="4" t="s">
        <v>8727</v>
      </c>
      <c r="K203" s="4" t="s">
        <v>8729</v>
      </c>
      <c r="L203" s="4" t="s">
        <v>8732</v>
      </c>
      <c r="N203" s="4" t="s">
        <v>8733</v>
      </c>
      <c r="O203" s="4" t="s">
        <v>8736</v>
      </c>
    </row>
    <row r="204" spans="1:15" ht="13">
      <c r="A204" s="4" t="s">
        <v>8738</v>
      </c>
      <c r="B204" s="4" t="s">
        <v>8739</v>
      </c>
      <c r="C204" s="4" t="s">
        <v>8741</v>
      </c>
      <c r="E204" s="4" t="s">
        <v>8742</v>
      </c>
      <c r="F204" s="4" t="s">
        <v>8744</v>
      </c>
      <c r="H204" s="4" t="e">
        <v>#N/A</v>
      </c>
      <c r="K204" s="4" t="s">
        <v>8747</v>
      </c>
      <c r="L204" s="4" t="s">
        <v>8750</v>
      </c>
      <c r="N204" s="4" t="s">
        <v>8751</v>
      </c>
      <c r="O204" s="4" t="s">
        <v>8754</v>
      </c>
    </row>
    <row r="205" spans="1:15" ht="13">
      <c r="A205" s="4" t="s">
        <v>8756</v>
      </c>
      <c r="B205" s="4" t="s">
        <v>8757</v>
      </c>
      <c r="C205" s="4" t="s">
        <v>8759</v>
      </c>
      <c r="E205" s="4" t="s">
        <v>8761</v>
      </c>
      <c r="F205" s="4" t="s">
        <v>8763</v>
      </c>
      <c r="H205" s="4" t="s">
        <v>8765</v>
      </c>
      <c r="I205" s="4" t="s">
        <v>8768</v>
      </c>
      <c r="K205" s="4" t="s">
        <v>8769</v>
      </c>
      <c r="L205" s="4" t="s">
        <v>8771</v>
      </c>
      <c r="N205" s="4" t="s">
        <v>8773</v>
      </c>
      <c r="O205" s="4" t="s">
        <v>8775</v>
      </c>
    </row>
    <row r="206" spans="1:15" ht="13">
      <c r="A206" s="4" t="s">
        <v>8777</v>
      </c>
      <c r="B206" s="4" t="s">
        <v>8778</v>
      </c>
      <c r="C206" s="4" t="s">
        <v>8780</v>
      </c>
      <c r="E206" s="4" t="s">
        <v>8781</v>
      </c>
      <c r="F206" s="4" t="s">
        <v>8783</v>
      </c>
      <c r="H206" s="4" t="s">
        <v>8785</v>
      </c>
      <c r="I206" s="4" t="s">
        <v>8787</v>
      </c>
      <c r="K206" s="4" t="s">
        <v>8789</v>
      </c>
      <c r="L206" s="4" t="s">
        <v>8790</v>
      </c>
      <c r="N206" s="4" t="s">
        <v>8792</v>
      </c>
      <c r="O206" s="4" t="s">
        <v>8794</v>
      </c>
    </row>
    <row r="207" spans="1:15" ht="13">
      <c r="A207" s="4" t="s">
        <v>8796</v>
      </c>
      <c r="B207" s="4" t="e">
        <v>#N/A</v>
      </c>
      <c r="E207" s="4" t="e">
        <v>#N/A</v>
      </c>
      <c r="H207" s="4" t="s">
        <v>8799</v>
      </c>
      <c r="I207" s="4" t="s">
        <v>8801</v>
      </c>
      <c r="K207" s="4" t="e">
        <v>#N/A</v>
      </c>
      <c r="N207" s="4" t="s">
        <v>8805</v>
      </c>
      <c r="O207" s="4" t="s">
        <v>8807</v>
      </c>
    </row>
    <row r="208" spans="1:15" ht="13">
      <c r="A208" s="4" t="s">
        <v>8809</v>
      </c>
      <c r="B208" s="4" t="s">
        <v>8810</v>
      </c>
      <c r="C208" s="4" t="s">
        <v>8812</v>
      </c>
      <c r="E208" s="4" t="s">
        <v>8813</v>
      </c>
      <c r="F208" s="4" t="s">
        <v>8815</v>
      </c>
      <c r="H208" s="4" t="s">
        <v>8817</v>
      </c>
      <c r="I208" s="4" t="s">
        <v>8820</v>
      </c>
      <c r="K208" s="4" t="e">
        <v>#N/A</v>
      </c>
      <c r="N208" s="4" t="e">
        <v>#N/A</v>
      </c>
    </row>
    <row r="209" spans="1:15" ht="13">
      <c r="A209" s="4" t="s">
        <v>8823</v>
      </c>
      <c r="B209" s="4" t="s">
        <v>8825</v>
      </c>
      <c r="C209" s="4" t="s">
        <v>8827</v>
      </c>
      <c r="E209" s="4" t="e">
        <v>#N/A</v>
      </c>
      <c r="H209" s="4" t="s">
        <v>8830</v>
      </c>
      <c r="I209" s="4" t="s">
        <v>8831</v>
      </c>
      <c r="K209" s="4" t="s">
        <v>8833</v>
      </c>
      <c r="L209" s="4" t="s">
        <v>8836</v>
      </c>
      <c r="N209" s="4" t="s">
        <v>8837</v>
      </c>
      <c r="O209" s="4" t="s">
        <v>8840</v>
      </c>
    </row>
    <row r="210" spans="1:15" ht="13">
      <c r="A210" s="4" t="s">
        <v>8842</v>
      </c>
      <c r="B210" s="4" t="s">
        <v>8844</v>
      </c>
      <c r="C210" s="4" t="s">
        <v>8845</v>
      </c>
      <c r="E210" s="4" t="s">
        <v>8847</v>
      </c>
      <c r="F210" s="4" t="s">
        <v>8849</v>
      </c>
      <c r="H210" s="4" t="s">
        <v>8850</v>
      </c>
      <c r="I210" s="4" t="s">
        <v>8852</v>
      </c>
      <c r="K210" s="4" t="e">
        <v>#N/A</v>
      </c>
      <c r="N210" s="4" t="s">
        <v>8856</v>
      </c>
      <c r="O210" s="4" t="s">
        <v>8858</v>
      </c>
    </row>
    <row r="211" spans="1:15" ht="13">
      <c r="A211" s="4" t="s">
        <v>8859</v>
      </c>
      <c r="B211" s="4" t="e">
        <v>#N/A</v>
      </c>
      <c r="E211" s="4" t="s">
        <v>8860</v>
      </c>
      <c r="F211" s="4" t="s">
        <v>8861</v>
      </c>
      <c r="H211" s="4" t="s">
        <v>8863</v>
      </c>
      <c r="I211" s="4" t="s">
        <v>8864</v>
      </c>
      <c r="K211" s="4" t="s">
        <v>8866</v>
      </c>
      <c r="L211" s="4" t="s">
        <v>8869</v>
      </c>
      <c r="N211" s="4" t="s">
        <v>8871</v>
      </c>
      <c r="O211" s="4" t="s">
        <v>8874</v>
      </c>
    </row>
    <row r="212" spans="1:15" ht="13">
      <c r="A212" s="4" t="s">
        <v>8876</v>
      </c>
      <c r="B212" s="4" t="s">
        <v>8878</v>
      </c>
      <c r="C212" s="4" t="s">
        <v>8880</v>
      </c>
      <c r="E212" s="4" t="e">
        <v>#N/A</v>
      </c>
      <c r="H212" s="4" t="s">
        <v>8883</v>
      </c>
      <c r="I212" s="4" t="s">
        <v>8884</v>
      </c>
      <c r="K212" s="4" t="e">
        <v>#N/A</v>
      </c>
      <c r="N212" s="4" t="e">
        <v>#N/A</v>
      </c>
    </row>
    <row r="213" spans="1:15" ht="13">
      <c r="A213" s="4" t="s">
        <v>8887</v>
      </c>
      <c r="B213" s="4" t="s">
        <v>8889</v>
      </c>
      <c r="C213" s="4" t="s">
        <v>8891</v>
      </c>
      <c r="E213" s="4" t="s">
        <v>8893</v>
      </c>
      <c r="F213" s="4" t="s">
        <v>8895</v>
      </c>
      <c r="H213" s="4" t="s">
        <v>8896</v>
      </c>
      <c r="I213" s="4" t="s">
        <v>8898</v>
      </c>
      <c r="K213" s="4" t="e">
        <v>#N/A</v>
      </c>
      <c r="N213" s="4" t="s">
        <v>8900</v>
      </c>
      <c r="O213" s="4" t="s">
        <v>8902</v>
      </c>
    </row>
    <row r="214" spans="1:15" ht="13">
      <c r="A214" s="4" t="s">
        <v>8904</v>
      </c>
      <c r="B214" s="4" t="s">
        <v>8905</v>
      </c>
      <c r="C214" s="4" t="s">
        <v>8907</v>
      </c>
      <c r="E214" s="4" t="e">
        <v>#N/A</v>
      </c>
      <c r="H214" s="4" t="e">
        <v>#N/A</v>
      </c>
      <c r="K214" s="4" t="s">
        <v>8910</v>
      </c>
      <c r="L214" s="4" t="s">
        <v>8912</v>
      </c>
      <c r="N214" s="4" t="s">
        <v>8914</v>
      </c>
      <c r="O214" s="4" t="s">
        <v>8915</v>
      </c>
    </row>
    <row r="215" spans="1:15" ht="13">
      <c r="A215" s="4" t="s">
        <v>8918</v>
      </c>
      <c r="B215" s="4" t="e">
        <v>#N/A</v>
      </c>
      <c r="E215" s="4" t="e">
        <v>#N/A</v>
      </c>
      <c r="H215" s="4" t="s">
        <v>8922</v>
      </c>
      <c r="I215" s="4" t="s">
        <v>8923</v>
      </c>
      <c r="K215" s="4" t="e">
        <v>#N/A</v>
      </c>
      <c r="N215" s="4" t="s">
        <v>8925</v>
      </c>
      <c r="O215" s="4" t="s">
        <v>8927</v>
      </c>
    </row>
    <row r="216" spans="1:15" ht="13">
      <c r="A216" s="4" t="s">
        <v>8929</v>
      </c>
      <c r="B216" s="4" t="s">
        <v>8931</v>
      </c>
      <c r="C216" s="4" t="s">
        <v>8932</v>
      </c>
      <c r="E216" s="4" t="s">
        <v>8934</v>
      </c>
      <c r="F216" s="4" t="s">
        <v>8936</v>
      </c>
      <c r="H216" s="4" t="s">
        <v>8938</v>
      </c>
      <c r="I216" s="4" t="s">
        <v>8940</v>
      </c>
      <c r="K216" s="4" t="s">
        <v>8941</v>
      </c>
      <c r="L216" s="4" t="s">
        <v>8944</v>
      </c>
      <c r="N216" s="4" t="s">
        <v>8946</v>
      </c>
      <c r="O216" s="4" t="s">
        <v>8948</v>
      </c>
    </row>
    <row r="217" spans="1:15" ht="13">
      <c r="A217" s="4" t="s">
        <v>8950</v>
      </c>
      <c r="B217" s="4" t="s">
        <v>8953</v>
      </c>
      <c r="C217" s="4" t="s">
        <v>8954</v>
      </c>
      <c r="E217" s="4" t="s">
        <v>8956</v>
      </c>
      <c r="F217" s="4" t="s">
        <v>8958</v>
      </c>
      <c r="H217" s="4" t="s">
        <v>8960</v>
      </c>
      <c r="I217" s="4" t="s">
        <v>8964</v>
      </c>
      <c r="K217" s="4" t="s">
        <v>8966</v>
      </c>
      <c r="L217" s="4" t="s">
        <v>8968</v>
      </c>
      <c r="N217" s="4" t="s">
        <v>8969</v>
      </c>
      <c r="O217" s="4" t="s">
        <v>8971</v>
      </c>
    </row>
    <row r="218" spans="1:15" ht="13">
      <c r="A218" s="4" t="s">
        <v>8973</v>
      </c>
      <c r="B218" s="4" t="s">
        <v>8975</v>
      </c>
      <c r="C218" s="4" t="s">
        <v>8977</v>
      </c>
      <c r="E218" s="4" t="e">
        <v>#N/A</v>
      </c>
      <c r="H218" s="4" t="s">
        <v>8980</v>
      </c>
      <c r="I218" s="4" t="s">
        <v>8982</v>
      </c>
      <c r="K218" s="4" t="s">
        <v>8983</v>
      </c>
      <c r="L218" s="4" t="s">
        <v>8984</v>
      </c>
      <c r="N218" s="4" t="s">
        <v>8985</v>
      </c>
      <c r="O218" s="4" t="s">
        <v>8988</v>
      </c>
    </row>
    <row r="219" spans="1:15" ht="13">
      <c r="A219" s="4" t="s">
        <v>8990</v>
      </c>
      <c r="B219" s="4" t="e">
        <v>#N/A</v>
      </c>
      <c r="E219" s="4" t="s">
        <v>8993</v>
      </c>
      <c r="F219" s="4" t="s">
        <v>8995</v>
      </c>
      <c r="H219" s="4" t="s">
        <v>8997</v>
      </c>
      <c r="I219" s="4" t="s">
        <v>9000</v>
      </c>
      <c r="K219" s="4" t="s">
        <v>9002</v>
      </c>
      <c r="L219" s="4" t="s">
        <v>9004</v>
      </c>
      <c r="N219" s="4" t="s">
        <v>9005</v>
      </c>
      <c r="O219" s="4" t="s">
        <v>9007</v>
      </c>
    </row>
    <row r="220" spans="1:15" ht="13">
      <c r="A220" s="4" t="s">
        <v>9009</v>
      </c>
      <c r="B220" s="4" t="s">
        <v>9011</v>
      </c>
      <c r="C220" s="4" t="s">
        <v>9013</v>
      </c>
      <c r="E220" s="4" t="s">
        <v>9015</v>
      </c>
      <c r="F220" s="4" t="s">
        <v>9017</v>
      </c>
      <c r="H220" s="4" t="s">
        <v>9019</v>
      </c>
      <c r="I220" s="4" t="s">
        <v>9021</v>
      </c>
      <c r="K220" s="4" t="s">
        <v>9023</v>
      </c>
      <c r="L220" s="4" t="s">
        <v>9026</v>
      </c>
      <c r="N220" s="4" t="s">
        <v>9027</v>
      </c>
      <c r="O220" s="4" t="s">
        <v>9029</v>
      </c>
    </row>
    <row r="221" spans="1:15" ht="13">
      <c r="A221" s="4" t="s">
        <v>9031</v>
      </c>
      <c r="B221" s="4" t="s">
        <v>9033</v>
      </c>
      <c r="C221" s="4" t="s">
        <v>9035</v>
      </c>
      <c r="E221" s="4" t="e">
        <v>#N/A</v>
      </c>
      <c r="H221" s="4" t="s">
        <v>9038</v>
      </c>
      <c r="I221" s="4" t="s">
        <v>9041</v>
      </c>
      <c r="K221" s="4" t="e">
        <v>#N/A</v>
      </c>
      <c r="N221" s="4" t="s">
        <v>9043</v>
      </c>
      <c r="O221" s="4" t="s">
        <v>9045</v>
      </c>
    </row>
    <row r="222" spans="1:15" ht="13">
      <c r="A222" s="4" t="s">
        <v>9048</v>
      </c>
      <c r="B222" s="4" t="s">
        <v>9049</v>
      </c>
      <c r="C222" s="4" t="s">
        <v>9051</v>
      </c>
      <c r="E222" s="4" t="s">
        <v>9053</v>
      </c>
      <c r="F222" s="4" t="s">
        <v>9055</v>
      </c>
      <c r="H222" s="4" t="s">
        <v>9056</v>
      </c>
      <c r="I222" s="4" t="s">
        <v>9058</v>
      </c>
      <c r="K222" s="4" t="s">
        <v>9059</v>
      </c>
      <c r="L222" s="4" t="s">
        <v>9061</v>
      </c>
      <c r="N222" s="4" t="e">
        <v>#N/A</v>
      </c>
    </row>
    <row r="223" spans="1:15" ht="13">
      <c r="A223" s="4" t="s">
        <v>9064</v>
      </c>
      <c r="B223" s="4" t="s">
        <v>9066</v>
      </c>
      <c r="C223" s="4" t="s">
        <v>9069</v>
      </c>
      <c r="E223" s="4" t="s">
        <v>9070</v>
      </c>
      <c r="F223" s="4" t="s">
        <v>9073</v>
      </c>
      <c r="H223" s="4" t="e">
        <v>#N/A</v>
      </c>
      <c r="K223" s="4" t="s">
        <v>9076</v>
      </c>
      <c r="L223" s="4" t="s">
        <v>9079</v>
      </c>
      <c r="N223" s="4" t="s">
        <v>9081</v>
      </c>
      <c r="O223" s="4" t="s">
        <v>9083</v>
      </c>
    </row>
    <row r="224" spans="1:15" ht="13">
      <c r="A224" s="4" t="s">
        <v>9086</v>
      </c>
      <c r="B224" s="4" t="e">
        <v>#N/A</v>
      </c>
      <c r="E224" s="4" t="s">
        <v>9089</v>
      </c>
      <c r="F224" s="4" t="s">
        <v>9091</v>
      </c>
      <c r="H224" s="4" t="s">
        <v>9093</v>
      </c>
      <c r="I224" s="4" t="s">
        <v>9095</v>
      </c>
      <c r="K224" s="4" t="s">
        <v>9096</v>
      </c>
      <c r="L224" s="4" t="s">
        <v>9098</v>
      </c>
      <c r="N224" s="4" t="s">
        <v>9100</v>
      </c>
      <c r="O224" s="4" t="s">
        <v>9102</v>
      </c>
    </row>
    <row r="225" spans="1:15" ht="13">
      <c r="A225" s="4" t="s">
        <v>9105</v>
      </c>
      <c r="B225" s="4" t="s">
        <v>9107</v>
      </c>
      <c r="C225" s="4" t="s">
        <v>9109</v>
      </c>
      <c r="E225" s="4" t="s">
        <v>9111</v>
      </c>
      <c r="F225" s="4" t="s">
        <v>9113</v>
      </c>
      <c r="H225" s="4" t="e">
        <v>#N/A</v>
      </c>
      <c r="K225" s="4" t="s">
        <v>9116</v>
      </c>
      <c r="L225" s="4" t="s">
        <v>9117</v>
      </c>
      <c r="N225" s="4" t="s">
        <v>9118</v>
      </c>
      <c r="O225" s="4" t="s">
        <v>9119</v>
      </c>
    </row>
    <row r="226" spans="1:15" ht="13">
      <c r="A226" s="4" t="s">
        <v>9121</v>
      </c>
      <c r="B226" s="4" t="e">
        <v>#N/A</v>
      </c>
      <c r="E226" s="4" t="s">
        <v>9124</v>
      </c>
      <c r="F226" s="4" t="s">
        <v>9125</v>
      </c>
      <c r="H226" s="4" t="s">
        <v>9127</v>
      </c>
      <c r="I226" s="4" t="s">
        <v>135</v>
      </c>
      <c r="J226" s="4" t="s">
        <v>9129</v>
      </c>
      <c r="K226" s="4" t="s">
        <v>9131</v>
      </c>
      <c r="L226" s="4" t="s">
        <v>9133</v>
      </c>
      <c r="N226" s="4" t="e">
        <v>#N/A</v>
      </c>
    </row>
    <row r="227" spans="1:15" ht="13">
      <c r="A227" s="4" t="s">
        <v>9137</v>
      </c>
      <c r="B227" s="4" t="s">
        <v>9140</v>
      </c>
      <c r="C227" s="4" t="s">
        <v>9141</v>
      </c>
      <c r="E227" s="4" t="s">
        <v>9142</v>
      </c>
      <c r="F227" s="4" t="s">
        <v>9145</v>
      </c>
      <c r="H227" s="4" t="s">
        <v>9146</v>
      </c>
      <c r="I227" s="4" t="s">
        <v>9148</v>
      </c>
      <c r="K227" s="4" t="s">
        <v>9150</v>
      </c>
      <c r="L227" s="4" t="s">
        <v>9152</v>
      </c>
      <c r="N227" s="4" t="e">
        <v>#N/A</v>
      </c>
    </row>
    <row r="228" spans="1:15" ht="13">
      <c r="A228" s="4" t="s">
        <v>9154</v>
      </c>
      <c r="B228" s="4" t="s">
        <v>9155</v>
      </c>
      <c r="C228" s="4" t="s">
        <v>9159</v>
      </c>
      <c r="E228" s="4" t="s">
        <v>9160</v>
      </c>
      <c r="F228" s="4" t="s">
        <v>9162</v>
      </c>
      <c r="H228" s="4" t="e">
        <v>#N/A</v>
      </c>
      <c r="K228" s="4" t="s">
        <v>9165</v>
      </c>
      <c r="L228" s="4" t="s">
        <v>9166</v>
      </c>
      <c r="N228" s="4" t="s">
        <v>9168</v>
      </c>
      <c r="O228" s="4" t="s">
        <v>9170</v>
      </c>
    </row>
    <row r="229" spans="1:15" ht="13">
      <c r="A229" s="4" t="s">
        <v>9173</v>
      </c>
      <c r="B229" s="4" t="s">
        <v>9175</v>
      </c>
      <c r="C229" s="4" t="s">
        <v>9177</v>
      </c>
      <c r="E229" s="4" t="e">
        <v>#N/A</v>
      </c>
      <c r="H229" s="4" t="s">
        <v>9179</v>
      </c>
      <c r="I229" s="4" t="s">
        <v>9180</v>
      </c>
      <c r="K229" s="4" t="s">
        <v>9183</v>
      </c>
      <c r="L229" s="4" t="s">
        <v>9185</v>
      </c>
      <c r="N229" s="4" t="e">
        <v>#N/A</v>
      </c>
    </row>
    <row r="230" spans="1:15" ht="13">
      <c r="A230" s="4" t="s">
        <v>9188</v>
      </c>
      <c r="B230" s="4" t="s">
        <v>9190</v>
      </c>
      <c r="C230" s="4" t="s">
        <v>9192</v>
      </c>
      <c r="E230" s="4" t="s">
        <v>9193</v>
      </c>
      <c r="F230" s="4" t="s">
        <v>9195</v>
      </c>
      <c r="H230" s="4" t="s">
        <v>9197</v>
      </c>
      <c r="I230" s="4" t="s">
        <v>9199</v>
      </c>
      <c r="K230" s="4" t="s">
        <v>9200</v>
      </c>
      <c r="L230" s="4" t="s">
        <v>9203</v>
      </c>
      <c r="N230" s="4" t="s">
        <v>9204</v>
      </c>
      <c r="O230" s="4" t="s">
        <v>9206</v>
      </c>
    </row>
    <row r="231" spans="1:15" ht="13">
      <c r="A231" s="4" t="s">
        <v>9208</v>
      </c>
      <c r="B231" s="4" t="e">
        <v>#N/A</v>
      </c>
      <c r="E231" s="4" t="s">
        <v>9211</v>
      </c>
      <c r="F231" s="4" t="s">
        <v>9213</v>
      </c>
      <c r="H231" s="4" t="s">
        <v>9214</v>
      </c>
      <c r="I231" s="4" t="s">
        <v>9215</v>
      </c>
      <c r="K231" s="4" t="e">
        <v>#N/A</v>
      </c>
      <c r="N231" s="4" t="s">
        <v>9218</v>
      </c>
      <c r="O231" s="4" t="s">
        <v>9220</v>
      </c>
    </row>
    <row r="232" spans="1:15" ht="13">
      <c r="A232" s="4" t="s">
        <v>9222</v>
      </c>
      <c r="B232" s="4" t="s">
        <v>9224</v>
      </c>
      <c r="C232" s="4" t="s">
        <v>9225</v>
      </c>
      <c r="E232" s="4" t="s">
        <v>9227</v>
      </c>
      <c r="F232" s="4" t="s">
        <v>9229</v>
      </c>
      <c r="H232" s="4" t="e">
        <v>#N/A</v>
      </c>
      <c r="K232" s="4" t="e">
        <v>#N/A</v>
      </c>
      <c r="N232" s="4" t="e">
        <v>#N/A</v>
      </c>
    </row>
    <row r="233" spans="1:15" ht="13">
      <c r="A233" s="4" t="s">
        <v>9234</v>
      </c>
      <c r="B233" s="4" t="s">
        <v>9238</v>
      </c>
      <c r="C233" s="4" t="s">
        <v>9241</v>
      </c>
      <c r="E233" s="4" t="e">
        <v>#N/A</v>
      </c>
      <c r="H233" s="4" t="s">
        <v>9243</v>
      </c>
      <c r="I233" s="4" t="s">
        <v>9246</v>
      </c>
      <c r="K233" s="4" t="s">
        <v>9247</v>
      </c>
      <c r="L233" s="4" t="s">
        <v>9249</v>
      </c>
      <c r="N233" s="4" t="e">
        <v>#N/A</v>
      </c>
    </row>
    <row r="234" spans="1:15" ht="13">
      <c r="A234" s="4" t="s">
        <v>9253</v>
      </c>
      <c r="B234" s="4" t="s">
        <v>9254</v>
      </c>
      <c r="C234" s="4" t="s">
        <v>9257</v>
      </c>
      <c r="E234" s="4" t="e">
        <v>#N/A</v>
      </c>
      <c r="H234" s="4" t="s">
        <v>9260</v>
      </c>
      <c r="I234" s="4" t="s">
        <v>9262</v>
      </c>
      <c r="K234" s="4" t="s">
        <v>9264</v>
      </c>
      <c r="L234" s="4" t="s">
        <v>9267</v>
      </c>
      <c r="N234" s="4" t="s">
        <v>9269</v>
      </c>
      <c r="O234" s="4" t="s">
        <v>9271</v>
      </c>
    </row>
    <row r="235" spans="1:15" ht="13">
      <c r="A235" s="4" t="s">
        <v>9273</v>
      </c>
      <c r="B235" s="4" t="s">
        <v>9275</v>
      </c>
      <c r="C235" s="4" t="s">
        <v>9277</v>
      </c>
      <c r="E235" s="4" t="s">
        <v>9279</v>
      </c>
      <c r="F235" s="4" t="s">
        <v>9280</v>
      </c>
      <c r="H235" s="4" t="s">
        <v>9282</v>
      </c>
      <c r="I235" s="4" t="s">
        <v>9283</v>
      </c>
      <c r="K235" s="4" t="s">
        <v>9285</v>
      </c>
      <c r="L235" s="4" t="s">
        <v>9287</v>
      </c>
      <c r="N235" s="4" t="e">
        <v>#N/A</v>
      </c>
    </row>
    <row r="236" spans="1:15" ht="13">
      <c r="A236" s="4" t="s">
        <v>9290</v>
      </c>
      <c r="B236" s="4" t="s">
        <v>9291</v>
      </c>
      <c r="C236" s="4" t="s">
        <v>9293</v>
      </c>
      <c r="E236" s="4" t="s">
        <v>9294</v>
      </c>
      <c r="F236" s="4" t="s">
        <v>9296</v>
      </c>
      <c r="H236" s="4" t="s">
        <v>9297</v>
      </c>
      <c r="I236" s="4" t="s">
        <v>9300</v>
      </c>
      <c r="K236" s="4" t="s">
        <v>9302</v>
      </c>
      <c r="L236" s="4" t="s">
        <v>9306</v>
      </c>
      <c r="N236" s="4" t="s">
        <v>9307</v>
      </c>
      <c r="O236" s="4" t="s">
        <v>9309</v>
      </c>
    </row>
    <row r="237" spans="1:15" ht="13">
      <c r="A237" s="4" t="s">
        <v>9312</v>
      </c>
      <c r="B237" s="4" t="s">
        <v>9313</v>
      </c>
      <c r="C237" s="4" t="s">
        <v>9315</v>
      </c>
      <c r="E237" s="4" t="e">
        <v>#N/A</v>
      </c>
      <c r="H237" s="4" t="e">
        <v>#N/A</v>
      </c>
      <c r="K237" s="4" t="s">
        <v>9318</v>
      </c>
      <c r="L237" s="4" t="s">
        <v>9320</v>
      </c>
      <c r="N237" s="4" t="s">
        <v>9322</v>
      </c>
      <c r="O237" s="4" t="s">
        <v>9323</v>
      </c>
    </row>
    <row r="238" spans="1:15" ht="13">
      <c r="A238" s="4" t="s">
        <v>9326</v>
      </c>
      <c r="B238" s="4" t="s">
        <v>9327</v>
      </c>
      <c r="C238" s="4" t="s">
        <v>9329</v>
      </c>
      <c r="E238" s="4" t="e">
        <v>#N/A</v>
      </c>
      <c r="H238" s="4" t="s">
        <v>9331</v>
      </c>
      <c r="I238" s="4" t="s">
        <v>9333</v>
      </c>
      <c r="K238" s="4" t="s">
        <v>9335</v>
      </c>
      <c r="L238" s="4" t="s">
        <v>9337</v>
      </c>
      <c r="N238" s="4" t="s">
        <v>9339</v>
      </c>
      <c r="O238" s="4" t="s">
        <v>9342</v>
      </c>
    </row>
    <row r="239" spans="1:15" ht="13">
      <c r="A239" s="4" t="s">
        <v>9344</v>
      </c>
      <c r="B239" s="4" t="s">
        <v>9345</v>
      </c>
      <c r="C239" s="4" t="s">
        <v>9346</v>
      </c>
      <c r="E239" s="4" t="s">
        <v>9348</v>
      </c>
      <c r="F239" s="4" t="s">
        <v>135</v>
      </c>
      <c r="G239" s="4" t="s">
        <v>9351</v>
      </c>
      <c r="H239" s="4" t="s">
        <v>9352</v>
      </c>
      <c r="I239" s="4" t="s">
        <v>9354</v>
      </c>
      <c r="K239" s="4" t="e">
        <v>#N/A</v>
      </c>
      <c r="N239" s="4" t="s">
        <v>9358</v>
      </c>
      <c r="O239" s="4" t="s">
        <v>9360</v>
      </c>
    </row>
    <row r="240" spans="1:15" ht="13">
      <c r="A240" s="4" t="s">
        <v>9363</v>
      </c>
      <c r="B240" s="4" t="s">
        <v>9365</v>
      </c>
      <c r="C240" s="4" t="s">
        <v>9367</v>
      </c>
      <c r="E240" s="4" t="s">
        <v>9369</v>
      </c>
      <c r="F240" s="4" t="s">
        <v>9371</v>
      </c>
      <c r="H240" s="4" t="s">
        <v>9372</v>
      </c>
      <c r="I240" s="4" t="s">
        <v>9375</v>
      </c>
      <c r="K240" s="4" t="e">
        <v>#N/A</v>
      </c>
      <c r="N240" s="4" t="s">
        <v>9379</v>
      </c>
      <c r="O240" s="4" t="s">
        <v>9381</v>
      </c>
    </row>
    <row r="241" spans="1:15" ht="13">
      <c r="A241" s="4" t="s">
        <v>9384</v>
      </c>
      <c r="B241" s="4" t="s">
        <v>9386</v>
      </c>
      <c r="C241" s="4" t="s">
        <v>9387</v>
      </c>
      <c r="E241" s="4" t="s">
        <v>9388</v>
      </c>
      <c r="F241" s="4" t="s">
        <v>9389</v>
      </c>
      <c r="H241" s="4" t="s">
        <v>9392</v>
      </c>
      <c r="I241" s="4" t="s">
        <v>9394</v>
      </c>
      <c r="K241" s="4" t="s">
        <v>9395</v>
      </c>
      <c r="L241" s="4" t="s">
        <v>9397</v>
      </c>
      <c r="N241" s="4" t="s">
        <v>9399</v>
      </c>
      <c r="O241" s="4" t="s">
        <v>9401</v>
      </c>
    </row>
    <row r="242" spans="1:15" ht="13">
      <c r="A242" s="4" t="s">
        <v>9404</v>
      </c>
      <c r="B242" s="4" t="s">
        <v>9405</v>
      </c>
      <c r="C242" s="4" t="s">
        <v>9407</v>
      </c>
      <c r="E242" s="4" t="s">
        <v>9409</v>
      </c>
      <c r="F242" s="4" t="s">
        <v>9410</v>
      </c>
      <c r="H242" s="4" t="s">
        <v>9411</v>
      </c>
      <c r="I242" s="4" t="s">
        <v>9412</v>
      </c>
      <c r="K242" s="4" t="s">
        <v>9414</v>
      </c>
      <c r="L242" s="4" t="s">
        <v>9416</v>
      </c>
      <c r="N242" s="4" t="s">
        <v>9418</v>
      </c>
      <c r="O242" s="4" t="s">
        <v>9420</v>
      </c>
    </row>
    <row r="243" spans="1:15" ht="13">
      <c r="A243" s="4" t="s">
        <v>9422</v>
      </c>
      <c r="B243" s="4" t="s">
        <v>9423</v>
      </c>
      <c r="C243" s="4" t="s">
        <v>9425</v>
      </c>
      <c r="E243" s="4" t="s">
        <v>9426</v>
      </c>
      <c r="F243" s="4" t="s">
        <v>9428</v>
      </c>
      <c r="H243" s="4" t="s">
        <v>9429</v>
      </c>
      <c r="I243" s="4" t="s">
        <v>9430</v>
      </c>
      <c r="K243" s="4" t="s">
        <v>9431</v>
      </c>
      <c r="L243" s="4" t="s">
        <v>9433</v>
      </c>
      <c r="N243" s="4" t="s">
        <v>9435</v>
      </c>
      <c r="O243" s="4" t="s">
        <v>9437</v>
      </c>
    </row>
    <row r="244" spans="1:15" ht="13">
      <c r="A244" s="4" t="s">
        <v>9439</v>
      </c>
      <c r="B244" s="4" t="s">
        <v>9441</v>
      </c>
      <c r="C244" s="4" t="s">
        <v>9443</v>
      </c>
      <c r="E244" s="4" t="s">
        <v>9445</v>
      </c>
      <c r="F244" s="4" t="s">
        <v>9446</v>
      </c>
      <c r="H244" s="4" t="s">
        <v>9448</v>
      </c>
      <c r="I244" s="4" t="s">
        <v>9450</v>
      </c>
      <c r="K244" s="4" t="s">
        <v>9453</v>
      </c>
      <c r="L244" s="4" t="s">
        <v>9455</v>
      </c>
      <c r="N244" s="4" t="s">
        <v>9457</v>
      </c>
      <c r="O244" s="4" t="s">
        <v>9459</v>
      </c>
    </row>
    <row r="245" spans="1:15" ht="13">
      <c r="A245" s="4" t="s">
        <v>9461</v>
      </c>
      <c r="B245" s="4" t="e">
        <v>#N/A</v>
      </c>
      <c r="E245" s="4" t="e">
        <v>#N/A</v>
      </c>
      <c r="H245" s="4" t="s">
        <v>9464</v>
      </c>
      <c r="I245" s="4" t="s">
        <v>9466</v>
      </c>
      <c r="K245" s="4" t="s">
        <v>9469</v>
      </c>
      <c r="L245" s="4" t="s">
        <v>9470</v>
      </c>
      <c r="N245" s="4" t="s">
        <v>9472</v>
      </c>
      <c r="O245" s="4" t="s">
        <v>9474</v>
      </c>
    </row>
    <row r="246" spans="1:15" ht="13">
      <c r="A246" s="4" t="s">
        <v>9476</v>
      </c>
      <c r="B246" s="4" t="e">
        <v>#N/A</v>
      </c>
      <c r="E246" s="4" t="s">
        <v>9478</v>
      </c>
      <c r="F246" s="4" t="s">
        <v>9480</v>
      </c>
      <c r="H246" s="4" t="e">
        <v>#N/A</v>
      </c>
      <c r="K246" s="4" t="e">
        <v>#N/A</v>
      </c>
      <c r="N246" s="4" t="s">
        <v>9483</v>
      </c>
      <c r="O246" s="4" t="s">
        <v>9485</v>
      </c>
    </row>
    <row r="247" spans="1:15" ht="13">
      <c r="A247" s="4" t="s">
        <v>9487</v>
      </c>
      <c r="B247" s="4" t="s">
        <v>9489</v>
      </c>
      <c r="C247" s="4" t="s">
        <v>9490</v>
      </c>
      <c r="E247" s="4" t="s">
        <v>9492</v>
      </c>
      <c r="F247" s="4" t="s">
        <v>9494</v>
      </c>
      <c r="H247" s="4" t="s">
        <v>9497</v>
      </c>
      <c r="I247" s="4" t="s">
        <v>9499</v>
      </c>
      <c r="K247" s="4" t="e">
        <v>#N/A</v>
      </c>
      <c r="N247" s="4" t="e">
        <v>#N/A</v>
      </c>
    </row>
    <row r="248" spans="1:15" ht="13">
      <c r="A248" s="4" t="s">
        <v>9504</v>
      </c>
      <c r="B248" s="4" t="s">
        <v>9506</v>
      </c>
      <c r="C248" s="4" t="s">
        <v>9508</v>
      </c>
      <c r="E248" s="4" t="s">
        <v>9510</v>
      </c>
      <c r="F248" s="4" t="s">
        <v>9511</v>
      </c>
      <c r="H248" s="4" t="e">
        <v>#N/A</v>
      </c>
      <c r="K248" s="4" t="s">
        <v>9515</v>
      </c>
      <c r="L248" s="4" t="s">
        <v>9517</v>
      </c>
      <c r="N248" s="4" t="e">
        <v>#N/A</v>
      </c>
    </row>
    <row r="249" spans="1:15" ht="13">
      <c r="A249" s="4" t="s">
        <v>9521</v>
      </c>
      <c r="B249" s="4" t="s">
        <v>9523</v>
      </c>
      <c r="C249" s="4" t="s">
        <v>9524</v>
      </c>
      <c r="E249" s="4" t="e">
        <v>#N/A</v>
      </c>
      <c r="H249" s="4" t="s">
        <v>9530</v>
      </c>
      <c r="I249" s="4" t="s">
        <v>9532</v>
      </c>
      <c r="K249" s="4" t="s">
        <v>9534</v>
      </c>
      <c r="L249" s="4" t="s">
        <v>9536</v>
      </c>
      <c r="N249" s="4" t="s">
        <v>9538</v>
      </c>
      <c r="O249" s="4" t="s">
        <v>9540</v>
      </c>
    </row>
    <row r="250" spans="1:15" ht="13">
      <c r="A250" s="4" t="s">
        <v>9543</v>
      </c>
      <c r="B250" s="4" t="s">
        <v>9545</v>
      </c>
      <c r="C250" s="4" t="s">
        <v>9547</v>
      </c>
      <c r="E250" s="4" t="s">
        <v>9548</v>
      </c>
      <c r="F250" s="4" t="s">
        <v>9551</v>
      </c>
      <c r="H250" s="4" t="s">
        <v>9552</v>
      </c>
      <c r="I250" s="4" t="s">
        <v>9555</v>
      </c>
      <c r="K250" s="4" t="s">
        <v>9557</v>
      </c>
      <c r="L250" s="4" t="s">
        <v>9559</v>
      </c>
      <c r="N250" s="4" t="s">
        <v>9561</v>
      </c>
      <c r="O250" s="4" t="s">
        <v>9562</v>
      </c>
    </row>
    <row r="251" spans="1:15" ht="13">
      <c r="A251" s="4" t="s">
        <v>9563</v>
      </c>
      <c r="B251" s="4" t="s">
        <v>9564</v>
      </c>
      <c r="C251" s="4" t="s">
        <v>9566</v>
      </c>
      <c r="E251" s="4" t="s">
        <v>9568</v>
      </c>
      <c r="F251" s="4" t="s">
        <v>9570</v>
      </c>
      <c r="H251" s="4" t="e">
        <v>#N/A</v>
      </c>
      <c r="K251" s="4" t="s">
        <v>9572</v>
      </c>
      <c r="L251" s="4" t="s">
        <v>9575</v>
      </c>
      <c r="N251" s="4" t="s">
        <v>9577</v>
      </c>
      <c r="O251" s="4" t="s">
        <v>9579</v>
      </c>
    </row>
    <row r="252" spans="1:15" ht="13">
      <c r="A252" s="4" t="s">
        <v>9581</v>
      </c>
      <c r="B252" s="4" t="s">
        <v>9583</v>
      </c>
      <c r="C252" s="4" t="s">
        <v>9585</v>
      </c>
      <c r="E252" s="4" t="s">
        <v>9587</v>
      </c>
      <c r="F252" s="4" t="s">
        <v>9588</v>
      </c>
      <c r="H252" s="4" t="s">
        <v>9589</v>
      </c>
      <c r="I252" s="4" t="s">
        <v>9591</v>
      </c>
      <c r="K252" s="4" t="s">
        <v>9593</v>
      </c>
      <c r="L252" s="4" t="s">
        <v>9596</v>
      </c>
      <c r="N252" s="4" t="s">
        <v>9598</v>
      </c>
      <c r="O252" s="4" t="s">
        <v>9600</v>
      </c>
    </row>
    <row r="253" spans="1:15" ht="13">
      <c r="A253" s="4" t="s">
        <v>9603</v>
      </c>
      <c r="B253" s="4" t="s">
        <v>9604</v>
      </c>
      <c r="C253" s="4" t="s">
        <v>9607</v>
      </c>
      <c r="E253" s="4" t="s">
        <v>9608</v>
      </c>
      <c r="F253" s="4" t="s">
        <v>9610</v>
      </c>
      <c r="H253" s="4" t="e">
        <v>#N/A</v>
      </c>
      <c r="K253" s="4" t="e">
        <v>#N/A</v>
      </c>
      <c r="N253" s="4" t="s">
        <v>9612</v>
      </c>
      <c r="O253" s="4" t="s">
        <v>9614</v>
      </c>
    </row>
    <row r="254" spans="1:15" ht="13">
      <c r="A254" s="4" t="s">
        <v>9616</v>
      </c>
      <c r="B254" s="4" t="s">
        <v>9618</v>
      </c>
      <c r="C254" s="4" t="s">
        <v>9621</v>
      </c>
      <c r="E254" s="4" t="s">
        <v>9622</v>
      </c>
      <c r="F254" s="4" t="s">
        <v>9624</v>
      </c>
      <c r="H254" s="4" t="s">
        <v>9626</v>
      </c>
      <c r="I254" s="4" t="s">
        <v>9628</v>
      </c>
      <c r="K254" s="4" t="s">
        <v>9630</v>
      </c>
      <c r="L254" s="4" t="s">
        <v>9632</v>
      </c>
      <c r="N254" s="4" t="e">
        <v>#N/A</v>
      </c>
    </row>
    <row r="255" spans="1:15" ht="13">
      <c r="A255" s="4" t="s">
        <v>9636</v>
      </c>
      <c r="B255" s="4" t="s">
        <v>9637</v>
      </c>
      <c r="C255" s="4" t="s">
        <v>9638</v>
      </c>
      <c r="E255" s="4" t="e">
        <v>#N/A</v>
      </c>
      <c r="H255" s="4" t="s">
        <v>9641</v>
      </c>
      <c r="I255" s="4" t="s">
        <v>9643</v>
      </c>
      <c r="K255" s="4" t="s">
        <v>9645</v>
      </c>
      <c r="L255" s="4" t="s">
        <v>9647</v>
      </c>
      <c r="N255" s="4" t="s">
        <v>9649</v>
      </c>
      <c r="O255" s="4" t="s">
        <v>9651</v>
      </c>
    </row>
    <row r="256" spans="1:15" ht="13">
      <c r="A256" s="4" t="s">
        <v>9654</v>
      </c>
      <c r="B256" s="4" t="s">
        <v>9655</v>
      </c>
      <c r="C256" s="4" t="s">
        <v>9657</v>
      </c>
      <c r="E256" s="4" t="s">
        <v>9658</v>
      </c>
      <c r="F256" s="4" t="s">
        <v>9660</v>
      </c>
      <c r="H256" s="4" t="e">
        <v>#N/A</v>
      </c>
      <c r="K256" s="4" t="s">
        <v>9663</v>
      </c>
      <c r="L256" s="4" t="s">
        <v>9666</v>
      </c>
      <c r="N256" s="4" t="s">
        <v>9668</v>
      </c>
      <c r="O256" s="4" t="s">
        <v>9670</v>
      </c>
    </row>
    <row r="257" spans="1:15" ht="13">
      <c r="A257" s="4" t="s">
        <v>9671</v>
      </c>
      <c r="B257" s="4" t="s">
        <v>9673</v>
      </c>
      <c r="C257" s="4" t="s">
        <v>9674</v>
      </c>
      <c r="E257" s="4" t="s">
        <v>9676</v>
      </c>
      <c r="F257" s="4" t="s">
        <v>9677</v>
      </c>
      <c r="H257" s="4" t="s">
        <v>9678</v>
      </c>
      <c r="I257" s="4" t="s">
        <v>9680</v>
      </c>
      <c r="K257" s="4" t="s">
        <v>9682</v>
      </c>
      <c r="L257" s="4" t="s">
        <v>9684</v>
      </c>
      <c r="N257" s="4" t="s">
        <v>9686</v>
      </c>
      <c r="O257" s="4" t="s">
        <v>9688</v>
      </c>
    </row>
    <row r="258" spans="1:15" ht="13">
      <c r="A258" s="4" t="s">
        <v>9689</v>
      </c>
      <c r="B258" s="4" t="s">
        <v>9691</v>
      </c>
      <c r="C258" s="4" t="s">
        <v>9693</v>
      </c>
      <c r="E258" s="4" t="s">
        <v>9694</v>
      </c>
      <c r="F258" s="4" t="s">
        <v>9696</v>
      </c>
      <c r="H258" s="4" t="s">
        <v>9698</v>
      </c>
      <c r="I258" s="4" t="s">
        <v>9701</v>
      </c>
      <c r="K258" s="4" t="s">
        <v>9702</v>
      </c>
      <c r="L258" s="4" t="s">
        <v>9705</v>
      </c>
      <c r="N258" s="4" t="e">
        <v>#N/A</v>
      </c>
    </row>
    <row r="259" spans="1:15" ht="13">
      <c r="A259" s="4" t="s">
        <v>9709</v>
      </c>
      <c r="B259" s="4" t="s">
        <v>9711</v>
      </c>
      <c r="C259" s="4" t="s">
        <v>9713</v>
      </c>
      <c r="E259" s="4" t="e">
        <v>#N/A</v>
      </c>
      <c r="H259" s="4" t="s">
        <v>9715</v>
      </c>
      <c r="I259" s="4" t="s">
        <v>9716</v>
      </c>
      <c r="K259" s="4" t="s">
        <v>9717</v>
      </c>
      <c r="L259" s="4" t="s">
        <v>9719</v>
      </c>
      <c r="N259" s="4" t="s">
        <v>9721</v>
      </c>
      <c r="O259" s="4" t="s">
        <v>9723</v>
      </c>
    </row>
    <row r="260" spans="1:15" ht="13">
      <c r="A260" s="4" t="s">
        <v>9724</v>
      </c>
      <c r="B260" s="4" t="s">
        <v>9725</v>
      </c>
      <c r="C260" s="4" t="s">
        <v>9726</v>
      </c>
      <c r="E260" s="4" t="s">
        <v>9728</v>
      </c>
      <c r="F260" s="4" t="s">
        <v>9730</v>
      </c>
      <c r="H260" s="4" t="s">
        <v>9732</v>
      </c>
      <c r="I260" s="4" t="s">
        <v>9736</v>
      </c>
      <c r="K260" s="4" t="e">
        <v>#N/A</v>
      </c>
      <c r="N260" s="4" t="s">
        <v>9738</v>
      </c>
      <c r="O260" s="4" t="s">
        <v>9740</v>
      </c>
    </row>
    <row r="261" spans="1:15" ht="13">
      <c r="A261" s="4" t="s">
        <v>9742</v>
      </c>
      <c r="B261" s="4" t="e">
        <v>#N/A</v>
      </c>
      <c r="E261" s="4" t="s">
        <v>9746</v>
      </c>
      <c r="F261" s="4" t="s">
        <v>9751</v>
      </c>
      <c r="H261" s="4" t="e">
        <v>#N/A</v>
      </c>
      <c r="K261" s="4" t="e">
        <v>#N/A</v>
      </c>
      <c r="N261" s="4" t="s">
        <v>9755</v>
      </c>
      <c r="O261" s="4" t="s">
        <v>9757</v>
      </c>
    </row>
    <row r="262" spans="1:15" ht="13">
      <c r="A262" s="4" t="s">
        <v>9760</v>
      </c>
      <c r="B262" s="4" t="s">
        <v>9762</v>
      </c>
      <c r="C262" s="4" t="s">
        <v>9764</v>
      </c>
      <c r="E262" s="4" t="s">
        <v>9766</v>
      </c>
      <c r="F262" s="4" t="s">
        <v>9768</v>
      </c>
      <c r="H262" s="4" t="s">
        <v>9769</v>
      </c>
      <c r="I262" s="4" t="s">
        <v>9771</v>
      </c>
      <c r="K262" s="4" t="s">
        <v>9773</v>
      </c>
      <c r="L262" s="4" t="s">
        <v>9775</v>
      </c>
      <c r="N262" s="4" t="s">
        <v>9777</v>
      </c>
      <c r="O262" s="4" t="s">
        <v>9779</v>
      </c>
    </row>
    <row r="263" spans="1:15" ht="13">
      <c r="A263" s="4" t="s">
        <v>9782</v>
      </c>
      <c r="B263" s="4" t="e">
        <v>#N/A</v>
      </c>
      <c r="E263" s="4" t="s">
        <v>9785</v>
      </c>
      <c r="F263" s="4" t="s">
        <v>9787</v>
      </c>
      <c r="H263" s="4" t="s">
        <v>9789</v>
      </c>
      <c r="I263" s="4" t="s">
        <v>9791</v>
      </c>
      <c r="K263" s="4" t="s">
        <v>9793</v>
      </c>
      <c r="L263" s="4" t="s">
        <v>9794</v>
      </c>
      <c r="N263" s="4" t="s">
        <v>9795</v>
      </c>
      <c r="O263" s="4" t="s">
        <v>9797</v>
      </c>
    </row>
    <row r="264" spans="1:15" ht="13">
      <c r="A264" s="4" t="s">
        <v>9800</v>
      </c>
      <c r="B264" s="4" t="e">
        <v>#N/A</v>
      </c>
      <c r="E264" s="4" t="e">
        <v>#N/A</v>
      </c>
      <c r="H264" s="4" t="s">
        <v>9803</v>
      </c>
      <c r="I264" s="4" t="s">
        <v>9805</v>
      </c>
      <c r="K264" s="4" t="e">
        <v>#N/A</v>
      </c>
      <c r="N264" s="4" t="s">
        <v>9808</v>
      </c>
      <c r="O264" s="4" t="s">
        <v>9810</v>
      </c>
    </row>
    <row r="265" spans="1:15" ht="13">
      <c r="A265" s="4" t="s">
        <v>9813</v>
      </c>
      <c r="B265" s="4" t="s">
        <v>9815</v>
      </c>
      <c r="C265" s="4" t="s">
        <v>9817</v>
      </c>
      <c r="E265" s="4" t="s">
        <v>4360</v>
      </c>
      <c r="F265" s="4" t="s">
        <v>9819</v>
      </c>
      <c r="H265" s="4" t="s">
        <v>9821</v>
      </c>
      <c r="I265" s="4" t="s">
        <v>135</v>
      </c>
      <c r="J265" s="4" t="s">
        <v>9824</v>
      </c>
      <c r="K265" s="4" t="s">
        <v>9826</v>
      </c>
      <c r="L265" s="4" t="s">
        <v>9829</v>
      </c>
      <c r="N265" s="4" t="s">
        <v>9831</v>
      </c>
      <c r="O265" s="4" t="s">
        <v>9833</v>
      </c>
    </row>
    <row r="266" spans="1:15" ht="13">
      <c r="A266" s="4" t="s">
        <v>9836</v>
      </c>
      <c r="B266" s="4" t="s">
        <v>9838</v>
      </c>
      <c r="C266" s="4" t="s">
        <v>9840</v>
      </c>
      <c r="E266" s="4" t="s">
        <v>9842</v>
      </c>
      <c r="F266" s="4" t="s">
        <v>9843</v>
      </c>
      <c r="H266" s="4" t="s">
        <v>9845</v>
      </c>
      <c r="I266" s="4" t="s">
        <v>9847</v>
      </c>
      <c r="K266" s="4" t="e">
        <v>#N/A</v>
      </c>
      <c r="N266" s="4" t="s">
        <v>9849</v>
      </c>
      <c r="O266" s="4" t="s">
        <v>9852</v>
      </c>
    </row>
    <row r="267" spans="1:15" ht="13">
      <c r="A267" s="4" t="s">
        <v>9854</v>
      </c>
      <c r="B267" s="4" t="s">
        <v>9856</v>
      </c>
      <c r="C267" s="4" t="s">
        <v>9859</v>
      </c>
      <c r="E267" s="4" t="s">
        <v>9861</v>
      </c>
      <c r="F267" s="4" t="s">
        <v>9863</v>
      </c>
      <c r="H267" s="4" t="e">
        <v>#N/A</v>
      </c>
      <c r="K267" s="4" t="e">
        <v>#N/A</v>
      </c>
      <c r="N267" s="4" t="s">
        <v>9866</v>
      </c>
      <c r="O267" s="4" t="s">
        <v>9868</v>
      </c>
    </row>
    <row r="268" spans="1:15" ht="13">
      <c r="A268" s="4" t="s">
        <v>9870</v>
      </c>
      <c r="B268" s="4" t="e">
        <v>#N/A</v>
      </c>
      <c r="E268" s="4" t="s">
        <v>9873</v>
      </c>
      <c r="F268" s="4" t="s">
        <v>9875</v>
      </c>
      <c r="H268" s="4" t="e">
        <v>#N/A</v>
      </c>
      <c r="K268" s="4" t="s">
        <v>9876</v>
      </c>
      <c r="L268" s="4" t="s">
        <v>9877</v>
      </c>
      <c r="N268" s="4" t="s">
        <v>9878</v>
      </c>
      <c r="O268" s="4" t="s">
        <v>9880</v>
      </c>
    </row>
    <row r="269" spans="1:15" ht="13">
      <c r="A269" s="4" t="s">
        <v>9883</v>
      </c>
      <c r="B269" s="4" t="e">
        <v>#N/A</v>
      </c>
      <c r="E269" s="4" t="s">
        <v>9885</v>
      </c>
      <c r="F269" s="4" t="s">
        <v>9888</v>
      </c>
      <c r="H269" s="4" t="s">
        <v>9890</v>
      </c>
      <c r="I269" s="4" t="s">
        <v>9892</v>
      </c>
      <c r="K269" s="4" t="s">
        <v>9894</v>
      </c>
      <c r="L269" s="4" t="s">
        <v>9895</v>
      </c>
      <c r="N269" s="4" t="e">
        <v>#N/A</v>
      </c>
    </row>
    <row r="270" spans="1:15" ht="13">
      <c r="A270" s="4" t="s">
        <v>9899</v>
      </c>
      <c r="B270" s="4" t="s">
        <v>9901</v>
      </c>
      <c r="C270" s="4" t="s">
        <v>9903</v>
      </c>
      <c r="E270" s="4" t="e">
        <v>#N/A</v>
      </c>
      <c r="H270" s="4" t="s">
        <v>9905</v>
      </c>
      <c r="I270" s="4" t="s">
        <v>9908</v>
      </c>
      <c r="K270" s="4" t="s">
        <v>9909</v>
      </c>
      <c r="L270" s="4" t="s">
        <v>9912</v>
      </c>
      <c r="N270" s="4" t="s">
        <v>9914</v>
      </c>
      <c r="O270" s="4" t="s">
        <v>9916</v>
      </c>
    </row>
    <row r="271" spans="1:15" ht="13">
      <c r="A271" s="4" t="s">
        <v>9919</v>
      </c>
      <c r="B271" s="4" t="e">
        <v>#N/A</v>
      </c>
      <c r="E271" s="4" t="s">
        <v>9922</v>
      </c>
      <c r="F271" s="4" t="s">
        <v>9923</v>
      </c>
      <c r="H271" s="4" t="s">
        <v>9924</v>
      </c>
      <c r="I271" s="4" t="s">
        <v>9926</v>
      </c>
      <c r="K271" s="4" t="s">
        <v>9928</v>
      </c>
      <c r="L271" s="4" t="s">
        <v>9929</v>
      </c>
      <c r="N271" s="4" t="s">
        <v>9930</v>
      </c>
      <c r="O271" s="4" t="s">
        <v>9932</v>
      </c>
    </row>
    <row r="272" spans="1:15" ht="13">
      <c r="A272" s="4" t="s">
        <v>9933</v>
      </c>
      <c r="B272" s="4" t="s">
        <v>9934</v>
      </c>
      <c r="C272" s="4" t="s">
        <v>9936</v>
      </c>
      <c r="E272" s="4" t="e">
        <v>#N/A</v>
      </c>
      <c r="H272" s="4" t="s">
        <v>9939</v>
      </c>
      <c r="I272" s="4" t="s">
        <v>9941</v>
      </c>
      <c r="K272" s="4" t="s">
        <v>9943</v>
      </c>
      <c r="L272" s="4" t="s">
        <v>9945</v>
      </c>
      <c r="N272" s="4" t="e">
        <v>#N/A</v>
      </c>
    </row>
    <row r="273" spans="1:15" ht="13">
      <c r="A273" s="4" t="s">
        <v>9948</v>
      </c>
      <c r="B273" s="4" t="s">
        <v>9949</v>
      </c>
      <c r="C273" s="4" t="s">
        <v>9951</v>
      </c>
      <c r="E273" s="4" t="e">
        <v>#N/A</v>
      </c>
      <c r="H273" s="4" t="s">
        <v>9954</v>
      </c>
      <c r="I273" s="4" t="s">
        <v>9956</v>
      </c>
      <c r="K273" s="4" t="s">
        <v>9957</v>
      </c>
      <c r="L273" s="4" t="s">
        <v>9958</v>
      </c>
      <c r="N273" s="4" t="s">
        <v>9959</v>
      </c>
      <c r="O273" s="4" t="s">
        <v>9961</v>
      </c>
    </row>
    <row r="274" spans="1:15" ht="13">
      <c r="A274" s="4" t="s">
        <v>9963</v>
      </c>
      <c r="B274" s="4" t="s">
        <v>9964</v>
      </c>
      <c r="C274" s="4" t="s">
        <v>9966</v>
      </c>
      <c r="E274" s="4" t="e">
        <v>#N/A</v>
      </c>
      <c r="H274" s="4" t="e">
        <v>#N/A</v>
      </c>
      <c r="K274" s="4" t="s">
        <v>9970</v>
      </c>
      <c r="L274" s="4" t="s">
        <v>9972</v>
      </c>
      <c r="N274" s="4" t="s">
        <v>9973</v>
      </c>
      <c r="O274" s="4" t="s">
        <v>9974</v>
      </c>
    </row>
    <row r="275" spans="1:15" ht="13">
      <c r="A275" s="4" t="s">
        <v>9975</v>
      </c>
      <c r="B275" s="4" t="s">
        <v>9976</v>
      </c>
      <c r="C275" s="4" t="s">
        <v>9977</v>
      </c>
      <c r="E275" s="4" t="s">
        <v>9978</v>
      </c>
      <c r="F275" s="4" t="s">
        <v>9980</v>
      </c>
      <c r="H275" s="4" t="s">
        <v>9982</v>
      </c>
      <c r="I275" s="4" t="s">
        <v>9984</v>
      </c>
      <c r="K275" s="4" t="e">
        <v>#N/A</v>
      </c>
      <c r="N275" s="4" t="s">
        <v>9986</v>
      </c>
      <c r="O275" s="4" t="s">
        <v>9989</v>
      </c>
    </row>
    <row r="276" spans="1:15" ht="13">
      <c r="A276" s="4" t="s">
        <v>9991</v>
      </c>
      <c r="B276" s="4" t="s">
        <v>9995</v>
      </c>
      <c r="C276" s="4" t="s">
        <v>9996</v>
      </c>
      <c r="E276" s="4" t="s">
        <v>9998</v>
      </c>
      <c r="F276" s="4" t="s">
        <v>10000</v>
      </c>
      <c r="H276" s="4" t="s">
        <v>10003</v>
      </c>
      <c r="I276" s="4" t="s">
        <v>10004</v>
      </c>
      <c r="K276" s="4" t="s">
        <v>10006</v>
      </c>
      <c r="L276" s="4" t="s">
        <v>10008</v>
      </c>
      <c r="N276" s="4" t="s">
        <v>10010</v>
      </c>
      <c r="O276" s="4" t="s">
        <v>10011</v>
      </c>
    </row>
    <row r="277" spans="1:15" ht="13">
      <c r="A277" s="4" t="s">
        <v>10013</v>
      </c>
      <c r="B277" s="4" t="s">
        <v>10015</v>
      </c>
      <c r="C277" s="4" t="s">
        <v>10017</v>
      </c>
      <c r="E277" s="4" t="s">
        <v>10019</v>
      </c>
      <c r="F277" s="4" t="s">
        <v>10021</v>
      </c>
      <c r="H277" s="4" t="s">
        <v>10023</v>
      </c>
      <c r="I277" s="4" t="s">
        <v>10025</v>
      </c>
      <c r="K277" s="4" t="s">
        <v>10026</v>
      </c>
      <c r="L277" s="4" t="s">
        <v>10029</v>
      </c>
      <c r="N277" s="4" t="s">
        <v>10030</v>
      </c>
      <c r="O277" s="4" t="s">
        <v>10032</v>
      </c>
    </row>
    <row r="278" spans="1:15" ht="13">
      <c r="A278" s="4" t="s">
        <v>10034</v>
      </c>
      <c r="B278" s="4" t="e">
        <v>#N/A</v>
      </c>
      <c r="E278" s="4" t="s">
        <v>10036</v>
      </c>
      <c r="F278" s="4" t="s">
        <v>10039</v>
      </c>
      <c r="H278" s="4" t="s">
        <v>10041</v>
      </c>
      <c r="I278" s="4" t="s">
        <v>10042</v>
      </c>
      <c r="K278" s="4" t="s">
        <v>10043</v>
      </c>
      <c r="L278" s="4" t="s">
        <v>10046</v>
      </c>
      <c r="N278" s="4" t="s">
        <v>10048</v>
      </c>
      <c r="O278" s="4" t="s">
        <v>10055</v>
      </c>
    </row>
    <row r="279" spans="1:15" ht="13">
      <c r="A279" s="4" t="s">
        <v>10058</v>
      </c>
      <c r="B279" s="4" t="s">
        <v>10059</v>
      </c>
      <c r="C279" s="4" t="s">
        <v>10061</v>
      </c>
      <c r="E279" s="4" t="s">
        <v>10063</v>
      </c>
      <c r="F279" s="4" t="s">
        <v>10064</v>
      </c>
      <c r="H279" s="4" t="s">
        <v>10066</v>
      </c>
      <c r="I279" s="4" t="s">
        <v>10068</v>
      </c>
      <c r="K279" s="4" t="s">
        <v>10069</v>
      </c>
      <c r="L279" s="4" t="s">
        <v>10070</v>
      </c>
      <c r="N279" s="4" t="s">
        <v>10072</v>
      </c>
      <c r="O279" s="4" t="s">
        <v>10075</v>
      </c>
    </row>
    <row r="280" spans="1:15" ht="13">
      <c r="A280" s="4" t="s">
        <v>10077</v>
      </c>
      <c r="B280" s="4" t="s">
        <v>10078</v>
      </c>
      <c r="C280" s="4" t="s">
        <v>10080</v>
      </c>
      <c r="E280" s="4" t="e">
        <v>#N/A</v>
      </c>
      <c r="H280" s="4" t="e">
        <v>#N/A</v>
      </c>
      <c r="K280" s="4" t="s">
        <v>10084</v>
      </c>
      <c r="L280" s="4" t="s">
        <v>10087</v>
      </c>
      <c r="N280" s="4" t="s">
        <v>10088</v>
      </c>
      <c r="O280" s="4" t="s">
        <v>10091</v>
      </c>
    </row>
    <row r="281" spans="1:15" ht="13">
      <c r="A281" s="4" t="s">
        <v>10093</v>
      </c>
      <c r="B281" s="4" t="e">
        <v>#N/A</v>
      </c>
      <c r="E281" s="4" t="s">
        <v>10096</v>
      </c>
      <c r="F281" s="4" t="s">
        <v>10098</v>
      </c>
      <c r="H281" s="4" t="e">
        <v>#N/A</v>
      </c>
      <c r="K281" s="4" t="s">
        <v>10102</v>
      </c>
      <c r="L281" s="4" t="s">
        <v>10104</v>
      </c>
      <c r="N281" s="4" t="s">
        <v>10105</v>
      </c>
      <c r="O281" s="4" t="s">
        <v>10107</v>
      </c>
    </row>
    <row r="282" spans="1:15" ht="13">
      <c r="A282" s="4" t="s">
        <v>10109</v>
      </c>
      <c r="B282" s="4" t="s">
        <v>10111</v>
      </c>
      <c r="C282" s="4" t="s">
        <v>10113</v>
      </c>
      <c r="E282" s="4" t="s">
        <v>10114</v>
      </c>
      <c r="F282" s="4" t="s">
        <v>10116</v>
      </c>
      <c r="H282" s="4" t="s">
        <v>10117</v>
      </c>
      <c r="I282" s="4" t="s">
        <v>10119</v>
      </c>
      <c r="K282" s="4" t="s">
        <v>10120</v>
      </c>
      <c r="L282" s="4" t="s">
        <v>10123</v>
      </c>
      <c r="N282" s="4" t="s">
        <v>10125</v>
      </c>
      <c r="O282" s="4" t="s">
        <v>10128</v>
      </c>
    </row>
    <row r="283" spans="1:15" ht="13">
      <c r="A283" s="4" t="s">
        <v>10130</v>
      </c>
      <c r="B283" s="4" t="e">
        <v>#N/A</v>
      </c>
      <c r="E283" s="4" t="s">
        <v>10133</v>
      </c>
      <c r="F283" s="4" t="s">
        <v>10135</v>
      </c>
      <c r="H283" s="4" t="e">
        <v>#N/A</v>
      </c>
      <c r="K283" s="4" t="s">
        <v>10137</v>
      </c>
      <c r="L283" s="4" t="s">
        <v>10138</v>
      </c>
      <c r="N283" s="4" t="e">
        <v>#N/A</v>
      </c>
    </row>
    <row r="284" spans="1:15" ht="13">
      <c r="A284" s="4" t="s">
        <v>10141</v>
      </c>
      <c r="B284" s="4" t="s">
        <v>10143</v>
      </c>
      <c r="C284" s="4" t="s">
        <v>10145</v>
      </c>
      <c r="E284" s="4" t="s">
        <v>10147</v>
      </c>
      <c r="F284" s="4" t="s">
        <v>10149</v>
      </c>
      <c r="H284" s="4" t="s">
        <v>10151</v>
      </c>
      <c r="I284" s="4" t="s">
        <v>10153</v>
      </c>
      <c r="K284" s="4" t="s">
        <v>10155</v>
      </c>
      <c r="L284" s="4" t="s">
        <v>10158</v>
      </c>
      <c r="N284" s="4" t="s">
        <v>10159</v>
      </c>
      <c r="O284" s="4" t="s">
        <v>10161</v>
      </c>
    </row>
    <row r="285" spans="1:15" ht="13">
      <c r="A285" s="4" t="s">
        <v>10166</v>
      </c>
      <c r="B285" s="4" t="s">
        <v>10167</v>
      </c>
      <c r="C285" s="4" t="s">
        <v>10169</v>
      </c>
      <c r="E285" s="4" t="e">
        <v>#N/A</v>
      </c>
      <c r="H285" s="4" t="s">
        <v>10171</v>
      </c>
      <c r="I285" s="4" t="s">
        <v>10173</v>
      </c>
      <c r="K285" s="4" t="e">
        <v>#N/A</v>
      </c>
      <c r="N285" s="4" t="s">
        <v>10175</v>
      </c>
      <c r="O285" s="4" t="s">
        <v>10176</v>
      </c>
    </row>
    <row r="286" spans="1:15" ht="13">
      <c r="A286" s="4" t="s">
        <v>10179</v>
      </c>
      <c r="B286" s="4" t="s">
        <v>10180</v>
      </c>
      <c r="C286" s="4" t="s">
        <v>10181</v>
      </c>
      <c r="E286" s="4" t="s">
        <v>10182</v>
      </c>
      <c r="F286" s="4" t="s">
        <v>10184</v>
      </c>
      <c r="H286" s="4" t="s">
        <v>10186</v>
      </c>
      <c r="I286" s="4" t="s">
        <v>10188</v>
      </c>
      <c r="K286" s="4" t="e">
        <v>#N/A</v>
      </c>
      <c r="N286" s="4" t="s">
        <v>10191</v>
      </c>
      <c r="O286" s="4" t="s">
        <v>10192</v>
      </c>
    </row>
    <row r="287" spans="1:15" ht="13">
      <c r="A287" s="4" t="s">
        <v>10194</v>
      </c>
      <c r="B287" s="4" t="s">
        <v>10196</v>
      </c>
      <c r="C287" s="4" t="s">
        <v>10198</v>
      </c>
      <c r="E287" s="4" t="s">
        <v>10200</v>
      </c>
      <c r="F287" s="4" t="s">
        <v>10202</v>
      </c>
      <c r="H287" s="4" t="s">
        <v>10204</v>
      </c>
      <c r="I287" s="4" t="s">
        <v>10207</v>
      </c>
      <c r="K287" s="4" t="s">
        <v>10209</v>
      </c>
      <c r="L287" s="4" t="s">
        <v>10211</v>
      </c>
      <c r="N287" s="4" t="s">
        <v>10212</v>
      </c>
      <c r="O287" s="4" t="s">
        <v>10213</v>
      </c>
    </row>
    <row r="288" spans="1:15" ht="13">
      <c r="A288" s="4" t="s">
        <v>10215</v>
      </c>
      <c r="B288" s="4" t="s">
        <v>10217</v>
      </c>
      <c r="C288" s="4" t="s">
        <v>10219</v>
      </c>
      <c r="E288" s="4" t="s">
        <v>10221</v>
      </c>
      <c r="F288" s="4" t="s">
        <v>10222</v>
      </c>
      <c r="H288" s="4" t="e">
        <v>#N/A</v>
      </c>
      <c r="K288" s="4" t="s">
        <v>10223</v>
      </c>
      <c r="L288" s="4" t="s">
        <v>10224</v>
      </c>
      <c r="N288" s="4" t="s">
        <v>10225</v>
      </c>
      <c r="O288" s="4" t="s">
        <v>10226</v>
      </c>
    </row>
    <row r="289" spans="1:15" ht="13">
      <c r="A289" s="4" t="s">
        <v>10227</v>
      </c>
      <c r="B289" s="4" t="s">
        <v>10228</v>
      </c>
      <c r="C289" s="4" t="s">
        <v>10229</v>
      </c>
      <c r="E289" s="4" t="s">
        <v>10230</v>
      </c>
      <c r="F289" s="4" t="s">
        <v>10231</v>
      </c>
      <c r="H289" s="4" t="s">
        <v>10232</v>
      </c>
      <c r="I289" s="4" t="s">
        <v>10233</v>
      </c>
      <c r="K289" s="4" t="e">
        <v>#N/A</v>
      </c>
      <c r="N289" s="4" t="s">
        <v>10234</v>
      </c>
      <c r="O289" s="4" t="s">
        <v>10235</v>
      </c>
    </row>
    <row r="290" spans="1:15" ht="13">
      <c r="A290" s="4" t="s">
        <v>10236</v>
      </c>
      <c r="B290" s="4" t="e">
        <v>#N/A</v>
      </c>
      <c r="E290" s="4" t="s">
        <v>10237</v>
      </c>
      <c r="F290" s="4" t="s">
        <v>10238</v>
      </c>
      <c r="H290" s="4" t="e">
        <v>#N/A</v>
      </c>
      <c r="K290" s="4" t="s">
        <v>10240</v>
      </c>
      <c r="L290" s="4" t="s">
        <v>10241</v>
      </c>
      <c r="N290" s="4" t="s">
        <v>10242</v>
      </c>
      <c r="O290" s="4" t="s">
        <v>10243</v>
      </c>
    </row>
    <row r="291" spans="1:15" ht="13">
      <c r="A291" s="4" t="s">
        <v>10244</v>
      </c>
      <c r="B291" s="4" t="e">
        <v>#N/A</v>
      </c>
      <c r="E291" s="4" t="s">
        <v>10245</v>
      </c>
      <c r="F291" s="4" t="s">
        <v>10246</v>
      </c>
      <c r="H291" s="4" t="s">
        <v>10247</v>
      </c>
      <c r="I291" s="4" t="s">
        <v>10248</v>
      </c>
      <c r="K291" s="4" t="e">
        <v>#N/A</v>
      </c>
      <c r="N291" s="4" t="s">
        <v>10249</v>
      </c>
      <c r="O291" s="4" t="s">
        <v>10250</v>
      </c>
    </row>
    <row r="292" spans="1:15" ht="13">
      <c r="A292" s="4" t="s">
        <v>10251</v>
      </c>
      <c r="B292" s="4" t="s">
        <v>10252</v>
      </c>
      <c r="C292" s="4" t="s">
        <v>10253</v>
      </c>
      <c r="E292" s="4" t="e">
        <v>#N/A</v>
      </c>
      <c r="H292" s="4" t="s">
        <v>10254</v>
      </c>
      <c r="I292" s="4" t="s">
        <v>10255</v>
      </c>
      <c r="K292" s="4" t="s">
        <v>10256</v>
      </c>
      <c r="L292" s="4" t="s">
        <v>10257</v>
      </c>
      <c r="N292" s="4" t="e">
        <v>#N/A</v>
      </c>
    </row>
    <row r="293" spans="1:15" ht="13">
      <c r="A293" s="4" t="s">
        <v>10258</v>
      </c>
      <c r="B293" s="4" t="s">
        <v>10259</v>
      </c>
      <c r="C293" s="4" t="s">
        <v>10260</v>
      </c>
      <c r="E293" s="4" t="s">
        <v>10261</v>
      </c>
      <c r="F293" s="4" t="s">
        <v>10262</v>
      </c>
      <c r="H293" s="4" t="s">
        <v>10263</v>
      </c>
      <c r="I293" s="4" t="s">
        <v>10264</v>
      </c>
      <c r="K293" s="4" t="s">
        <v>10265</v>
      </c>
      <c r="L293" s="4" t="s">
        <v>10266</v>
      </c>
      <c r="N293" s="4" t="e">
        <v>#N/A</v>
      </c>
    </row>
    <row r="294" spans="1:15" ht="13">
      <c r="A294" s="4" t="s">
        <v>10267</v>
      </c>
      <c r="B294" s="4" t="s">
        <v>10268</v>
      </c>
      <c r="C294" s="4" t="s">
        <v>10269</v>
      </c>
      <c r="E294" s="4" t="s">
        <v>10270</v>
      </c>
      <c r="F294" s="4" t="s">
        <v>10271</v>
      </c>
      <c r="H294" s="4" t="s">
        <v>8384</v>
      </c>
      <c r="I294" s="4" t="s">
        <v>10272</v>
      </c>
      <c r="K294" s="4" t="s">
        <v>10273</v>
      </c>
      <c r="L294" s="4" t="s">
        <v>10274</v>
      </c>
      <c r="N294" s="4" t="s">
        <v>10275</v>
      </c>
      <c r="O294" s="4" t="s">
        <v>10276</v>
      </c>
    </row>
    <row r="295" spans="1:15" ht="13">
      <c r="A295" s="4" t="s">
        <v>10277</v>
      </c>
      <c r="B295" s="4" t="e">
        <v>#N/A</v>
      </c>
      <c r="E295" s="4" t="s">
        <v>10278</v>
      </c>
      <c r="F295" s="4" t="s">
        <v>10279</v>
      </c>
      <c r="H295" s="4" t="s">
        <v>10280</v>
      </c>
      <c r="I295" s="4" t="s">
        <v>10281</v>
      </c>
      <c r="K295" s="4" t="s">
        <v>10282</v>
      </c>
      <c r="L295" s="4" t="s">
        <v>10283</v>
      </c>
      <c r="N295" s="4" t="s">
        <v>10284</v>
      </c>
      <c r="O295" s="4" t="s">
        <v>10285</v>
      </c>
    </row>
    <row r="296" spans="1:15" ht="13">
      <c r="A296" s="4" t="s">
        <v>10286</v>
      </c>
      <c r="B296" s="4" t="e">
        <v>#N/A</v>
      </c>
      <c r="E296" s="4" t="s">
        <v>10287</v>
      </c>
      <c r="F296" s="4" t="s">
        <v>10288</v>
      </c>
      <c r="H296" s="4" t="e">
        <v>#N/A</v>
      </c>
      <c r="K296" s="4" t="s">
        <v>10289</v>
      </c>
      <c r="L296" s="4" t="s">
        <v>10290</v>
      </c>
      <c r="N296" s="4" t="s">
        <v>10291</v>
      </c>
      <c r="O296" s="4" t="s">
        <v>10292</v>
      </c>
    </row>
    <row r="297" spans="1:15" ht="13">
      <c r="A297" s="4" t="s">
        <v>10293</v>
      </c>
      <c r="B297" s="4" t="s">
        <v>10294</v>
      </c>
      <c r="C297" s="4" t="s">
        <v>10295</v>
      </c>
      <c r="E297" s="4" t="s">
        <v>10296</v>
      </c>
      <c r="F297" s="4" t="s">
        <v>10297</v>
      </c>
      <c r="H297" s="4" t="s">
        <v>10298</v>
      </c>
      <c r="I297" s="4" t="s">
        <v>10299</v>
      </c>
      <c r="K297" s="4" t="s">
        <v>10300</v>
      </c>
      <c r="L297" s="4" t="s">
        <v>10301</v>
      </c>
      <c r="N297" s="4" t="s">
        <v>10302</v>
      </c>
      <c r="O297" s="4" t="s">
        <v>10303</v>
      </c>
    </row>
    <row r="298" spans="1:15" ht="13">
      <c r="A298" s="4" t="s">
        <v>10304</v>
      </c>
      <c r="B298" s="4" t="s">
        <v>10305</v>
      </c>
      <c r="C298" s="4" t="s">
        <v>10307</v>
      </c>
      <c r="E298" s="4" t="s">
        <v>10308</v>
      </c>
      <c r="F298" s="4" t="s">
        <v>10309</v>
      </c>
      <c r="H298" s="4" t="s">
        <v>10310</v>
      </c>
      <c r="I298" s="4" t="s">
        <v>10311</v>
      </c>
      <c r="K298" s="4" t="s">
        <v>10312</v>
      </c>
      <c r="L298" s="4" t="s">
        <v>10313</v>
      </c>
      <c r="N298" s="4" t="s">
        <v>10314</v>
      </c>
      <c r="O298" s="4" t="s">
        <v>10315</v>
      </c>
    </row>
    <row r="299" spans="1:15" ht="13">
      <c r="A299" s="4" t="s">
        <v>10316</v>
      </c>
      <c r="B299" s="4" t="s">
        <v>10317</v>
      </c>
      <c r="C299" s="4" t="s">
        <v>10318</v>
      </c>
      <c r="E299" s="4" t="s">
        <v>10319</v>
      </c>
      <c r="F299" s="4" t="s">
        <v>10320</v>
      </c>
      <c r="H299" s="4" t="s">
        <v>10321</v>
      </c>
      <c r="I299" s="4" t="s">
        <v>10322</v>
      </c>
      <c r="K299" s="4" t="s">
        <v>10323</v>
      </c>
      <c r="L299" s="4" t="s">
        <v>10324</v>
      </c>
      <c r="N299" s="4" t="e">
        <v>#N/A</v>
      </c>
    </row>
    <row r="300" spans="1:15" ht="13">
      <c r="A300" s="4" t="s">
        <v>10325</v>
      </c>
      <c r="B300" s="4" t="s">
        <v>10326</v>
      </c>
      <c r="C300" s="4" t="s">
        <v>10327</v>
      </c>
      <c r="E300" s="4" t="s">
        <v>10328</v>
      </c>
      <c r="F300" s="4" t="s">
        <v>10329</v>
      </c>
      <c r="H300" s="4" t="s">
        <v>10330</v>
      </c>
      <c r="I300" s="4" t="s">
        <v>10331</v>
      </c>
      <c r="K300" s="4" t="e">
        <v>#N/A</v>
      </c>
      <c r="N300" s="4" t="s">
        <v>10332</v>
      </c>
      <c r="O300" s="4" t="s">
        <v>10333</v>
      </c>
    </row>
    <row r="301" spans="1:15" ht="13">
      <c r="A301" s="4" t="s">
        <v>10334</v>
      </c>
      <c r="B301" s="4" t="s">
        <v>10335</v>
      </c>
      <c r="C301" s="4" t="s">
        <v>10336</v>
      </c>
      <c r="E301" s="4" t="s">
        <v>10337</v>
      </c>
      <c r="F301" s="4" t="s">
        <v>10338</v>
      </c>
      <c r="H301" s="4" t="e">
        <v>#N/A</v>
      </c>
      <c r="K301" s="4" t="s">
        <v>10339</v>
      </c>
      <c r="L301" s="4" t="s">
        <v>10340</v>
      </c>
      <c r="N301" s="4" t="s">
        <v>10341</v>
      </c>
      <c r="O301" s="4" t="s">
        <v>10342</v>
      </c>
    </row>
    <row r="302" spans="1:15" ht="13">
      <c r="A302" s="4" t="s">
        <v>10343</v>
      </c>
      <c r="B302" s="4" t="e">
        <v>#N/A</v>
      </c>
      <c r="E302" s="4" t="e">
        <v>#N/A</v>
      </c>
      <c r="H302" s="4" t="s">
        <v>10344</v>
      </c>
      <c r="I302" s="4" t="s">
        <v>10345</v>
      </c>
      <c r="K302" s="4" t="s">
        <v>10346</v>
      </c>
      <c r="L302" s="4" t="s">
        <v>10347</v>
      </c>
      <c r="N302" s="4" t="e">
        <v>#N/A</v>
      </c>
    </row>
    <row r="303" spans="1:15" ht="13">
      <c r="A303" s="4" t="s">
        <v>10348</v>
      </c>
      <c r="B303" s="4" t="s">
        <v>10349</v>
      </c>
      <c r="C303" s="4" t="s">
        <v>10350</v>
      </c>
      <c r="E303" s="4" t="s">
        <v>10351</v>
      </c>
      <c r="F303" s="4" t="s">
        <v>10352</v>
      </c>
      <c r="H303" s="4" t="s">
        <v>10353</v>
      </c>
      <c r="I303" s="4" t="s">
        <v>10354</v>
      </c>
      <c r="K303" s="4" t="e">
        <v>#N/A</v>
      </c>
      <c r="N303" s="4" t="s">
        <v>10355</v>
      </c>
      <c r="O303" s="4" t="s">
        <v>10356</v>
      </c>
    </row>
    <row r="304" spans="1:15" ht="13">
      <c r="A304" s="4" t="s">
        <v>10357</v>
      </c>
      <c r="B304" s="4" t="s">
        <v>10358</v>
      </c>
      <c r="C304" s="4" t="s">
        <v>10359</v>
      </c>
      <c r="E304" s="4" t="s">
        <v>10360</v>
      </c>
      <c r="F304" s="4" t="s">
        <v>10361</v>
      </c>
      <c r="H304" s="4" t="s">
        <v>10362</v>
      </c>
      <c r="I304" s="4" t="s">
        <v>10364</v>
      </c>
      <c r="K304" s="4" t="s">
        <v>10365</v>
      </c>
      <c r="L304" s="4" t="s">
        <v>10366</v>
      </c>
      <c r="N304" s="4" t="s">
        <v>10367</v>
      </c>
      <c r="O304" s="4" t="s">
        <v>10368</v>
      </c>
    </row>
    <row r="305" spans="1:16" ht="13">
      <c r="A305" s="4" t="s">
        <v>10369</v>
      </c>
      <c r="B305" s="4" t="s">
        <v>10370</v>
      </c>
      <c r="C305" s="4" t="s">
        <v>10371</v>
      </c>
      <c r="E305" s="4" t="s">
        <v>10372</v>
      </c>
      <c r="F305" s="4" t="s">
        <v>10373</v>
      </c>
      <c r="H305" s="4" t="s">
        <v>10374</v>
      </c>
      <c r="I305" s="4" t="s">
        <v>10375</v>
      </c>
      <c r="K305" s="4" t="e">
        <v>#N/A</v>
      </c>
      <c r="N305" s="4" t="s">
        <v>10376</v>
      </c>
      <c r="O305" s="4" t="s">
        <v>10377</v>
      </c>
    </row>
    <row r="306" spans="1:16" ht="13">
      <c r="A306" s="4" t="s">
        <v>10378</v>
      </c>
      <c r="B306" s="4" t="s">
        <v>10379</v>
      </c>
      <c r="C306" s="4" t="s">
        <v>10380</v>
      </c>
      <c r="E306" s="4" t="s">
        <v>10381</v>
      </c>
      <c r="F306" s="4" t="s">
        <v>10382</v>
      </c>
      <c r="H306" s="4" t="s">
        <v>10383</v>
      </c>
      <c r="I306" s="4" t="s">
        <v>10384</v>
      </c>
      <c r="K306" s="4" t="s">
        <v>10385</v>
      </c>
      <c r="L306" s="4" t="s">
        <v>10386</v>
      </c>
      <c r="N306" s="4" t="s">
        <v>10387</v>
      </c>
      <c r="O306" s="4" t="s">
        <v>10388</v>
      </c>
    </row>
    <row r="307" spans="1:16" ht="13">
      <c r="A307" s="4" t="s">
        <v>10389</v>
      </c>
      <c r="B307" s="4" t="s">
        <v>10390</v>
      </c>
      <c r="C307" s="4" t="s">
        <v>10391</v>
      </c>
      <c r="E307" s="4" t="s">
        <v>10392</v>
      </c>
      <c r="F307" s="4" t="s">
        <v>10393</v>
      </c>
      <c r="H307" s="4" t="s">
        <v>10394</v>
      </c>
      <c r="I307" s="4" t="s">
        <v>10395</v>
      </c>
      <c r="K307" s="4" t="s">
        <v>10396</v>
      </c>
      <c r="L307" s="4" t="s">
        <v>10397</v>
      </c>
      <c r="N307" s="4" t="s">
        <v>10398</v>
      </c>
      <c r="O307" s="4" t="s">
        <v>135</v>
      </c>
      <c r="P307" s="4" t="s">
        <v>10399</v>
      </c>
    </row>
    <row r="308" spans="1:16" ht="13">
      <c r="A308" s="4" t="s">
        <v>10400</v>
      </c>
      <c r="B308" s="4" t="s">
        <v>10401</v>
      </c>
      <c r="C308" s="4" t="s">
        <v>10402</v>
      </c>
      <c r="E308" s="4" t="e">
        <v>#N/A</v>
      </c>
      <c r="H308" s="4" t="s">
        <v>10403</v>
      </c>
      <c r="I308" s="4" t="s">
        <v>10404</v>
      </c>
      <c r="K308" s="4" t="s">
        <v>10405</v>
      </c>
      <c r="L308" s="4" t="s">
        <v>10406</v>
      </c>
      <c r="N308" s="4" t="s">
        <v>10407</v>
      </c>
      <c r="O308" s="4" t="s">
        <v>10408</v>
      </c>
    </row>
    <row r="309" spans="1:16" ht="13">
      <c r="A309" s="4" t="s">
        <v>10409</v>
      </c>
      <c r="B309" s="4" t="s">
        <v>10410</v>
      </c>
      <c r="C309" s="4" t="s">
        <v>10411</v>
      </c>
      <c r="E309" s="4" t="s">
        <v>10412</v>
      </c>
      <c r="F309" s="4" t="s">
        <v>10413</v>
      </c>
      <c r="H309" s="4" t="s">
        <v>10415</v>
      </c>
      <c r="I309" s="4" t="s">
        <v>10416</v>
      </c>
      <c r="K309" s="4" t="s">
        <v>10417</v>
      </c>
      <c r="L309" s="4" t="s">
        <v>10418</v>
      </c>
      <c r="N309" s="4" t="s">
        <v>10419</v>
      </c>
      <c r="O309" s="4" t="s">
        <v>10420</v>
      </c>
    </row>
    <row r="310" spans="1:16" ht="13">
      <c r="A310" s="4" t="s">
        <v>10421</v>
      </c>
      <c r="B310" s="4" t="s">
        <v>10422</v>
      </c>
      <c r="C310" s="4" t="s">
        <v>10423</v>
      </c>
      <c r="E310" s="4" t="s">
        <v>10424</v>
      </c>
      <c r="F310" s="4" t="s">
        <v>10425</v>
      </c>
      <c r="H310" s="4" t="s">
        <v>10426</v>
      </c>
      <c r="I310" s="4" t="s">
        <v>10427</v>
      </c>
      <c r="K310" s="4" t="s">
        <v>10428</v>
      </c>
      <c r="L310" s="4" t="s">
        <v>10429</v>
      </c>
      <c r="N310" s="4" t="e">
        <v>#N/A</v>
      </c>
    </row>
    <row r="311" spans="1:16" ht="13">
      <c r="A311" s="4" t="s">
        <v>10430</v>
      </c>
      <c r="B311" s="4" t="s">
        <v>10431</v>
      </c>
      <c r="C311" s="4" t="s">
        <v>10432</v>
      </c>
      <c r="E311" s="4" t="s">
        <v>10433</v>
      </c>
      <c r="F311" s="4" t="s">
        <v>10434</v>
      </c>
      <c r="H311" s="4" t="e">
        <v>#N/A</v>
      </c>
      <c r="K311" s="4" t="e">
        <v>#N/A</v>
      </c>
      <c r="N311" s="4" t="e">
        <v>#N/A</v>
      </c>
    </row>
    <row r="312" spans="1:16" ht="13">
      <c r="A312" s="4" t="s">
        <v>10435</v>
      </c>
      <c r="B312" s="4" t="e">
        <v>#N/A</v>
      </c>
      <c r="E312" s="4" t="s">
        <v>10436</v>
      </c>
      <c r="F312" s="4" t="s">
        <v>10438</v>
      </c>
      <c r="H312" s="4" t="s">
        <v>10439</v>
      </c>
      <c r="I312" s="4" t="s">
        <v>10442</v>
      </c>
      <c r="K312" s="4" t="s">
        <v>10444</v>
      </c>
      <c r="L312" s="4" t="s">
        <v>10446</v>
      </c>
      <c r="N312" s="4" t="s">
        <v>10448</v>
      </c>
      <c r="O312" s="4" t="s">
        <v>135</v>
      </c>
      <c r="P312" s="4" t="s">
        <v>10451</v>
      </c>
    </row>
    <row r="313" spans="1:16" ht="13">
      <c r="A313" s="4" t="s">
        <v>10455</v>
      </c>
      <c r="B313" s="4" t="e">
        <v>#N/A</v>
      </c>
      <c r="E313" s="4" t="s">
        <v>10457</v>
      </c>
      <c r="F313" s="4" t="s">
        <v>10459</v>
      </c>
      <c r="H313" s="4" t="s">
        <v>10461</v>
      </c>
      <c r="I313" s="4" t="s">
        <v>10463</v>
      </c>
      <c r="K313" s="4" t="s">
        <v>10465</v>
      </c>
      <c r="L313" s="4" t="s">
        <v>10467</v>
      </c>
      <c r="N313" s="4" t="e">
        <v>#N/A</v>
      </c>
    </row>
    <row r="314" spans="1:16" ht="13">
      <c r="A314" s="4" t="s">
        <v>10470</v>
      </c>
      <c r="B314" s="4" t="s">
        <v>10472</v>
      </c>
      <c r="C314" s="4" t="s">
        <v>10473</v>
      </c>
      <c r="E314" s="4" t="s">
        <v>10475</v>
      </c>
      <c r="F314" s="4" t="s">
        <v>10478</v>
      </c>
      <c r="H314" s="4" t="s">
        <v>10479</v>
      </c>
      <c r="I314" s="4" t="s">
        <v>10482</v>
      </c>
      <c r="K314" s="4" t="e">
        <v>#N/A</v>
      </c>
      <c r="N314" s="4" t="s">
        <v>10484</v>
      </c>
      <c r="O314" s="4" t="s">
        <v>10491</v>
      </c>
    </row>
    <row r="315" spans="1:16" ht="13">
      <c r="A315" s="4" t="s">
        <v>10494</v>
      </c>
      <c r="B315" s="4" t="s">
        <v>10496</v>
      </c>
      <c r="C315" s="4" t="s">
        <v>10498</v>
      </c>
      <c r="E315" s="4" t="s">
        <v>10499</v>
      </c>
      <c r="F315" s="4" t="s">
        <v>10502</v>
      </c>
      <c r="H315" s="4" t="s">
        <v>10504</v>
      </c>
      <c r="I315" s="4" t="s">
        <v>10506</v>
      </c>
      <c r="K315" s="4" t="s">
        <v>10508</v>
      </c>
      <c r="L315" s="4" t="s">
        <v>10510</v>
      </c>
      <c r="N315" s="4" t="s">
        <v>10512</v>
      </c>
      <c r="O315" s="4" t="s">
        <v>10514</v>
      </c>
    </row>
    <row r="316" spans="1:16" ht="13">
      <c r="A316" s="4" t="s">
        <v>10516</v>
      </c>
      <c r="B316" s="4" t="s">
        <v>10517</v>
      </c>
      <c r="C316" s="4" t="s">
        <v>10518</v>
      </c>
      <c r="E316" s="4" t="s">
        <v>10519</v>
      </c>
      <c r="F316" s="4" t="s">
        <v>10522</v>
      </c>
      <c r="H316" s="4" t="s">
        <v>10523</v>
      </c>
      <c r="I316" s="4" t="s">
        <v>10525</v>
      </c>
      <c r="K316" s="4" t="e">
        <v>#N/A</v>
      </c>
      <c r="N316" s="4" t="s">
        <v>10527</v>
      </c>
      <c r="O316" s="4" t="s">
        <v>10529</v>
      </c>
    </row>
    <row r="317" spans="1:16" ht="13">
      <c r="A317" s="4" t="s">
        <v>10531</v>
      </c>
      <c r="B317" s="4" t="s">
        <v>10533</v>
      </c>
      <c r="C317" s="4" t="s">
        <v>10535</v>
      </c>
      <c r="E317" s="4" t="e">
        <v>#N/A</v>
      </c>
      <c r="H317" s="4" t="s">
        <v>10539</v>
      </c>
      <c r="I317" s="4" t="s">
        <v>10542</v>
      </c>
      <c r="K317" s="4" t="s">
        <v>10544</v>
      </c>
      <c r="L317" s="4" t="s">
        <v>10546</v>
      </c>
      <c r="N317" s="4" t="e">
        <v>#N/A</v>
      </c>
    </row>
    <row r="318" spans="1:16" ht="13">
      <c r="A318" s="4" t="s">
        <v>10549</v>
      </c>
      <c r="B318" s="4" t="e">
        <v>#N/A</v>
      </c>
      <c r="E318" s="4" t="e">
        <v>#N/A</v>
      </c>
      <c r="H318" s="4" t="s">
        <v>10552</v>
      </c>
      <c r="I318" s="4" t="s">
        <v>10554</v>
      </c>
      <c r="K318" s="4" t="s">
        <v>10556</v>
      </c>
      <c r="L318" s="4" t="s">
        <v>10557</v>
      </c>
      <c r="N318" s="4" t="e">
        <v>#N/A</v>
      </c>
    </row>
    <row r="319" spans="1:16" ht="13">
      <c r="A319" s="4" t="s">
        <v>10558</v>
      </c>
      <c r="B319" s="4" t="s">
        <v>10559</v>
      </c>
      <c r="C319" s="4" t="s">
        <v>10561</v>
      </c>
      <c r="E319" s="4" t="s">
        <v>10562</v>
      </c>
      <c r="F319" s="4" t="s">
        <v>10565</v>
      </c>
      <c r="H319" s="4" t="e">
        <v>#N/A</v>
      </c>
      <c r="K319" s="4" t="s">
        <v>10567</v>
      </c>
      <c r="L319" s="4" t="s">
        <v>10570</v>
      </c>
      <c r="N319" s="4" t="s">
        <v>10572</v>
      </c>
      <c r="O319" s="4" t="s">
        <v>10574</v>
      </c>
    </row>
    <row r="320" spans="1:16" ht="13">
      <c r="A320" s="4" t="s">
        <v>10576</v>
      </c>
      <c r="B320" s="4" t="s">
        <v>10578</v>
      </c>
      <c r="C320" s="4" t="s">
        <v>10580</v>
      </c>
      <c r="E320" s="4" t="s">
        <v>10581</v>
      </c>
      <c r="F320" s="4" t="s">
        <v>10583</v>
      </c>
      <c r="H320" s="4" t="s">
        <v>10585</v>
      </c>
      <c r="I320" s="4" t="s">
        <v>10586</v>
      </c>
      <c r="K320" s="4" t="s">
        <v>10588</v>
      </c>
      <c r="L320" s="4" t="s">
        <v>10590</v>
      </c>
      <c r="N320" s="4" t="s">
        <v>10591</v>
      </c>
      <c r="O320" s="4" t="s">
        <v>10593</v>
      </c>
    </row>
    <row r="321" spans="1:15" ht="13">
      <c r="A321" s="4" t="s">
        <v>10594</v>
      </c>
      <c r="B321" s="4" t="s">
        <v>10596</v>
      </c>
      <c r="C321" s="4" t="s">
        <v>10598</v>
      </c>
      <c r="E321" s="4" t="s">
        <v>10599</v>
      </c>
      <c r="F321" s="4" t="s">
        <v>10601</v>
      </c>
      <c r="H321" s="4" t="e">
        <v>#N/A</v>
      </c>
      <c r="K321" s="4" t="s">
        <v>10604</v>
      </c>
      <c r="L321" s="4" t="s">
        <v>10606</v>
      </c>
      <c r="N321" s="4" t="e">
        <v>#N/A</v>
      </c>
    </row>
    <row r="322" spans="1:15" ht="13">
      <c r="A322" s="4" t="s">
        <v>10612</v>
      </c>
      <c r="B322" s="4" t="s">
        <v>10613</v>
      </c>
      <c r="C322" s="4" t="s">
        <v>10616</v>
      </c>
      <c r="E322" s="4" t="s">
        <v>10619</v>
      </c>
      <c r="F322" s="4" t="s">
        <v>10621</v>
      </c>
      <c r="H322" s="4" t="s">
        <v>10623</v>
      </c>
      <c r="I322" s="4" t="s">
        <v>10626</v>
      </c>
      <c r="K322" s="4" t="e">
        <v>#N/A</v>
      </c>
      <c r="N322" s="4" t="s">
        <v>10627</v>
      </c>
      <c r="O322" s="4" t="s">
        <v>10630</v>
      </c>
    </row>
    <row r="323" spans="1:15" ht="13">
      <c r="A323" s="4" t="s">
        <v>10632</v>
      </c>
      <c r="B323" s="4" t="s">
        <v>10633</v>
      </c>
      <c r="C323" s="4" t="s">
        <v>10634</v>
      </c>
      <c r="E323" s="4" t="s">
        <v>10635</v>
      </c>
      <c r="F323" s="4" t="s">
        <v>10637</v>
      </c>
      <c r="H323" s="4" t="s">
        <v>10639</v>
      </c>
      <c r="I323" s="4" t="s">
        <v>10640</v>
      </c>
      <c r="K323" s="4" t="s">
        <v>10641</v>
      </c>
      <c r="L323" s="4" t="s">
        <v>10643</v>
      </c>
      <c r="N323" s="4" t="s">
        <v>10644</v>
      </c>
      <c r="O323" s="4" t="s">
        <v>10647</v>
      </c>
    </row>
    <row r="324" spans="1:15" ht="13">
      <c r="A324" s="4" t="s">
        <v>10649</v>
      </c>
      <c r="B324" s="4" t="s">
        <v>10653</v>
      </c>
      <c r="C324" s="4" t="s">
        <v>10654</v>
      </c>
      <c r="E324" s="4" t="s">
        <v>10656</v>
      </c>
      <c r="F324" s="4" t="s">
        <v>10660</v>
      </c>
      <c r="H324" s="4" t="s">
        <v>10661</v>
      </c>
      <c r="I324" s="4" t="s">
        <v>10664</v>
      </c>
      <c r="K324" s="4" t="s">
        <v>10665</v>
      </c>
      <c r="L324" s="4" t="s">
        <v>10667</v>
      </c>
      <c r="N324" s="4" t="s">
        <v>10668</v>
      </c>
      <c r="O324" s="4" t="s">
        <v>10670</v>
      </c>
    </row>
    <row r="325" spans="1:15" ht="13">
      <c r="A325" s="4" t="s">
        <v>10671</v>
      </c>
      <c r="B325" s="4" t="s">
        <v>10673</v>
      </c>
      <c r="C325" s="4" t="s">
        <v>10674</v>
      </c>
      <c r="E325" s="4" t="s">
        <v>10676</v>
      </c>
      <c r="F325" s="4" t="s">
        <v>10678</v>
      </c>
      <c r="H325" s="4" t="e">
        <v>#N/A</v>
      </c>
      <c r="K325" s="4" t="s">
        <v>10681</v>
      </c>
      <c r="L325" s="4" t="s">
        <v>135</v>
      </c>
      <c r="M325" s="4" t="s">
        <v>10684</v>
      </c>
      <c r="N325" s="4" t="s">
        <v>10685</v>
      </c>
      <c r="O325" s="4" t="s">
        <v>10688</v>
      </c>
    </row>
    <row r="326" spans="1:15" ht="13">
      <c r="A326" s="4" t="s">
        <v>10690</v>
      </c>
      <c r="B326" s="4" t="s">
        <v>10692</v>
      </c>
      <c r="C326" s="4" t="s">
        <v>10694</v>
      </c>
      <c r="E326" s="4" t="e">
        <v>#N/A</v>
      </c>
      <c r="H326" s="4" t="s">
        <v>10697</v>
      </c>
      <c r="I326" s="4" t="s">
        <v>10699</v>
      </c>
      <c r="K326" s="4" t="s">
        <v>10700</v>
      </c>
      <c r="L326" s="4" t="s">
        <v>10702</v>
      </c>
      <c r="N326" s="4" t="s">
        <v>10704</v>
      </c>
      <c r="O326" s="4" t="s">
        <v>10707</v>
      </c>
    </row>
    <row r="327" spans="1:15" ht="13">
      <c r="A327" s="4" t="s">
        <v>10709</v>
      </c>
      <c r="B327" s="4" t="s">
        <v>10712</v>
      </c>
      <c r="C327" s="4" t="s">
        <v>10715</v>
      </c>
      <c r="E327" s="4" t="s">
        <v>10716</v>
      </c>
      <c r="F327" s="4" t="s">
        <v>10719</v>
      </c>
      <c r="H327" s="4" t="s">
        <v>10721</v>
      </c>
      <c r="I327" s="4" t="s">
        <v>10724</v>
      </c>
      <c r="K327" s="4" t="e">
        <v>#N/A</v>
      </c>
      <c r="N327" s="4" t="s">
        <v>10726</v>
      </c>
      <c r="O327" s="4" t="s">
        <v>10728</v>
      </c>
    </row>
    <row r="328" spans="1:15" ht="13">
      <c r="A328" s="4" t="s">
        <v>10730</v>
      </c>
      <c r="B328" s="4" t="s">
        <v>10732</v>
      </c>
      <c r="C328" s="4" t="s">
        <v>10735</v>
      </c>
      <c r="E328" s="4" t="s">
        <v>10736</v>
      </c>
      <c r="F328" s="4" t="s">
        <v>10739</v>
      </c>
      <c r="H328" s="4" t="s">
        <v>10741</v>
      </c>
      <c r="I328" s="4" t="s">
        <v>10743</v>
      </c>
      <c r="K328" s="4" t="s">
        <v>10745</v>
      </c>
      <c r="L328" s="4" t="s">
        <v>10747</v>
      </c>
      <c r="N328" s="4" t="e">
        <v>#N/A</v>
      </c>
    </row>
    <row r="329" spans="1:15" ht="13">
      <c r="A329" s="4" t="s">
        <v>10751</v>
      </c>
      <c r="B329" s="4" t="s">
        <v>10753</v>
      </c>
      <c r="C329" s="4" t="s">
        <v>10754</v>
      </c>
      <c r="E329" s="4" t="s">
        <v>10755</v>
      </c>
      <c r="F329" s="4" t="s">
        <v>10758</v>
      </c>
      <c r="H329" s="4" t="s">
        <v>10759</v>
      </c>
      <c r="I329" s="4" t="s">
        <v>10761</v>
      </c>
      <c r="K329" s="4" t="e">
        <v>#N/A</v>
      </c>
      <c r="N329" s="4" t="s">
        <v>10763</v>
      </c>
      <c r="O329" s="4" t="s">
        <v>10765</v>
      </c>
    </row>
    <row r="330" spans="1:15" ht="13">
      <c r="A330" s="4" t="s">
        <v>10767</v>
      </c>
      <c r="B330" s="4" t="s">
        <v>10769</v>
      </c>
      <c r="C330" s="4" t="s">
        <v>10771</v>
      </c>
      <c r="E330" s="4" t="e">
        <v>#N/A</v>
      </c>
      <c r="H330" s="4" t="e">
        <v>#N/A</v>
      </c>
      <c r="K330" s="4" t="s">
        <v>10776</v>
      </c>
      <c r="L330" s="4" t="s">
        <v>135</v>
      </c>
      <c r="M330" s="4" t="s">
        <v>10778</v>
      </c>
      <c r="N330" s="4" t="e">
        <v>#N/A</v>
      </c>
    </row>
    <row r="331" spans="1:15" ht="13">
      <c r="A331" s="4" t="s">
        <v>10781</v>
      </c>
      <c r="B331" s="4" t="s">
        <v>10783</v>
      </c>
      <c r="C331" s="4" t="s">
        <v>10785</v>
      </c>
      <c r="E331" s="4" t="s">
        <v>10786</v>
      </c>
      <c r="F331" s="4" t="s">
        <v>10789</v>
      </c>
      <c r="H331" s="4" t="s">
        <v>10791</v>
      </c>
      <c r="I331" s="4" t="s">
        <v>10792</v>
      </c>
      <c r="K331" s="4" t="s">
        <v>10793</v>
      </c>
      <c r="L331" s="4" t="s">
        <v>10794</v>
      </c>
      <c r="N331" s="4" t="s">
        <v>10796</v>
      </c>
      <c r="O331" s="4" t="s">
        <v>10799</v>
      </c>
    </row>
    <row r="332" spans="1:15" ht="13">
      <c r="A332" s="4" t="s">
        <v>10800</v>
      </c>
      <c r="B332" s="4" t="s">
        <v>10802</v>
      </c>
      <c r="C332" s="4" t="s">
        <v>10804</v>
      </c>
      <c r="E332" s="4" t="s">
        <v>10806</v>
      </c>
      <c r="F332" s="4" t="s">
        <v>10807</v>
      </c>
      <c r="H332" s="4" t="s">
        <v>10810</v>
      </c>
      <c r="I332" s="4" t="s">
        <v>10811</v>
      </c>
      <c r="K332" s="4" t="s">
        <v>10813</v>
      </c>
      <c r="L332" s="4" t="s">
        <v>10815</v>
      </c>
      <c r="N332" s="4" t="s">
        <v>10817</v>
      </c>
      <c r="O332" s="4" t="s">
        <v>10818</v>
      </c>
    </row>
    <row r="333" spans="1:15" ht="13">
      <c r="A333" s="4" t="s">
        <v>10820</v>
      </c>
      <c r="B333" s="4" t="s">
        <v>10822</v>
      </c>
      <c r="C333" s="4" t="s">
        <v>10824</v>
      </c>
      <c r="E333" s="4" t="s">
        <v>10826</v>
      </c>
      <c r="F333" s="4" t="s">
        <v>10829</v>
      </c>
      <c r="H333" s="4" t="e">
        <v>#N/A</v>
      </c>
      <c r="K333" s="4" t="s">
        <v>10831</v>
      </c>
      <c r="L333" s="4" t="s">
        <v>10833</v>
      </c>
      <c r="N333" s="4" t="e">
        <v>#N/A</v>
      </c>
    </row>
    <row r="334" spans="1:15" ht="13">
      <c r="A334" s="4" t="s">
        <v>10836</v>
      </c>
      <c r="B334" s="4" t="s">
        <v>10838</v>
      </c>
      <c r="C334" s="4" t="s">
        <v>10839</v>
      </c>
      <c r="E334" s="4" t="e">
        <v>#N/A</v>
      </c>
      <c r="H334" s="4" t="s">
        <v>10841</v>
      </c>
      <c r="I334" s="4" t="s">
        <v>10843</v>
      </c>
      <c r="K334" s="4" t="e">
        <v>#N/A</v>
      </c>
      <c r="N334" s="4" t="s">
        <v>10845</v>
      </c>
      <c r="O334" s="4" t="s">
        <v>10847</v>
      </c>
    </row>
    <row r="335" spans="1:15" ht="13">
      <c r="A335" s="4" t="s">
        <v>10849</v>
      </c>
      <c r="B335" s="4" t="s">
        <v>10851</v>
      </c>
      <c r="C335" s="4" t="s">
        <v>10854</v>
      </c>
      <c r="E335" s="4" t="e">
        <v>#N/A</v>
      </c>
      <c r="H335" s="4" t="s">
        <v>10857</v>
      </c>
      <c r="I335" s="4" t="s">
        <v>10859</v>
      </c>
      <c r="K335" s="4" t="s">
        <v>10861</v>
      </c>
      <c r="L335" s="4" t="s">
        <v>135</v>
      </c>
      <c r="M335" s="4" t="s">
        <v>10863</v>
      </c>
      <c r="N335" s="4" t="s">
        <v>10865</v>
      </c>
      <c r="O335" s="4" t="s">
        <v>10867</v>
      </c>
    </row>
    <row r="336" spans="1:15" ht="13">
      <c r="A336" s="4" t="s">
        <v>10869</v>
      </c>
      <c r="B336" s="4" t="s">
        <v>10871</v>
      </c>
      <c r="C336" s="4" t="s">
        <v>10878</v>
      </c>
      <c r="E336" s="4" t="e">
        <v>#N/A</v>
      </c>
      <c r="H336" s="4" t="s">
        <v>10882</v>
      </c>
      <c r="I336" s="4" t="s">
        <v>10884</v>
      </c>
      <c r="K336" s="4" t="s">
        <v>10885</v>
      </c>
      <c r="L336" s="4" t="s">
        <v>10887</v>
      </c>
      <c r="N336" s="4" t="s">
        <v>10889</v>
      </c>
      <c r="O336" s="4" t="s">
        <v>10891</v>
      </c>
    </row>
    <row r="337" spans="1:15" ht="13">
      <c r="A337" s="4" t="s">
        <v>10892</v>
      </c>
      <c r="B337" s="4" t="e">
        <v>#N/A</v>
      </c>
      <c r="E337" s="4" t="s">
        <v>10895</v>
      </c>
      <c r="F337" s="4" t="s">
        <v>10896</v>
      </c>
      <c r="H337" s="4" t="s">
        <v>10898</v>
      </c>
      <c r="I337" s="4" t="s">
        <v>10900</v>
      </c>
      <c r="K337" s="4" t="e">
        <v>#N/A</v>
      </c>
      <c r="N337" s="4" t="s">
        <v>10902</v>
      </c>
      <c r="O337" s="4" t="s">
        <v>10904</v>
      </c>
    </row>
    <row r="338" spans="1:15" ht="13">
      <c r="A338" s="4" t="s">
        <v>10907</v>
      </c>
      <c r="B338" s="4" t="e">
        <v>#N/A</v>
      </c>
      <c r="E338" s="4" t="e">
        <v>#N/A</v>
      </c>
      <c r="H338" s="4" t="s">
        <v>10910</v>
      </c>
      <c r="I338" s="4" t="s">
        <v>10911</v>
      </c>
      <c r="K338" s="4" t="e">
        <v>#N/A</v>
      </c>
      <c r="N338" s="4" t="s">
        <v>10914</v>
      </c>
      <c r="O338" s="4" t="s">
        <v>10916</v>
      </c>
    </row>
    <row r="339" spans="1:15" ht="13">
      <c r="A339" s="4" t="s">
        <v>10918</v>
      </c>
      <c r="B339" s="4" t="s">
        <v>10919</v>
      </c>
      <c r="C339" s="4" t="s">
        <v>10922</v>
      </c>
      <c r="E339" s="4" t="e">
        <v>#N/A</v>
      </c>
      <c r="H339" s="4" t="e">
        <v>#N/A</v>
      </c>
      <c r="K339" s="4" t="s">
        <v>10926</v>
      </c>
      <c r="L339" s="4" t="s">
        <v>10928</v>
      </c>
      <c r="N339" s="4" t="s">
        <v>10930</v>
      </c>
      <c r="O339" s="4" t="s">
        <v>10931</v>
      </c>
    </row>
    <row r="340" spans="1:15" ht="13">
      <c r="A340" s="4" t="s">
        <v>10932</v>
      </c>
      <c r="B340" s="4" t="e">
        <v>#N/A</v>
      </c>
      <c r="E340" s="4" t="s">
        <v>10935</v>
      </c>
      <c r="F340" s="4" t="s">
        <v>10936</v>
      </c>
      <c r="H340" s="4" t="s">
        <v>10939</v>
      </c>
      <c r="I340" s="4" t="s">
        <v>10940</v>
      </c>
      <c r="K340" s="4" t="e">
        <v>#N/A</v>
      </c>
      <c r="N340" s="4" t="e">
        <v>#N/A</v>
      </c>
    </row>
    <row r="341" spans="1:15" ht="13">
      <c r="A341" s="4" t="s">
        <v>10942</v>
      </c>
      <c r="B341" s="4" t="s">
        <v>10943</v>
      </c>
      <c r="C341" s="4" t="s">
        <v>10944</v>
      </c>
      <c r="E341" s="4" t="s">
        <v>10946</v>
      </c>
      <c r="F341" s="4" t="s">
        <v>10948</v>
      </c>
      <c r="H341" s="4" t="s">
        <v>10951</v>
      </c>
      <c r="I341" s="4" t="s">
        <v>10952</v>
      </c>
      <c r="K341" s="4" t="s">
        <v>10954</v>
      </c>
      <c r="L341" s="4" t="s">
        <v>10957</v>
      </c>
      <c r="N341" s="4" t="s">
        <v>10959</v>
      </c>
      <c r="O341" s="4" t="s">
        <v>10961</v>
      </c>
    </row>
    <row r="342" spans="1:15" ht="13">
      <c r="A342" s="4" t="s">
        <v>10964</v>
      </c>
      <c r="B342" s="4" t="s">
        <v>10943</v>
      </c>
      <c r="C342" s="4" t="s">
        <v>10944</v>
      </c>
      <c r="E342" s="4" t="e">
        <v>#N/A</v>
      </c>
      <c r="H342" s="4" t="s">
        <v>10951</v>
      </c>
      <c r="I342" s="4" t="s">
        <v>10952</v>
      </c>
      <c r="K342" s="4" t="s">
        <v>10954</v>
      </c>
      <c r="L342" s="4" t="s">
        <v>10957</v>
      </c>
      <c r="N342" s="4" t="e">
        <v>#N/A</v>
      </c>
    </row>
    <row r="343" spans="1:15" ht="13">
      <c r="A343" s="4" t="s">
        <v>10973</v>
      </c>
      <c r="B343" s="4" t="s">
        <v>10975</v>
      </c>
      <c r="C343" s="4" t="s">
        <v>10978</v>
      </c>
      <c r="E343" s="4" t="s">
        <v>10980</v>
      </c>
      <c r="F343" s="4" t="s">
        <v>10981</v>
      </c>
      <c r="H343" s="4" t="s">
        <v>10983</v>
      </c>
      <c r="I343" s="4" t="s">
        <v>10985</v>
      </c>
      <c r="K343" s="4" t="e">
        <v>#N/A</v>
      </c>
      <c r="N343" s="4" t="s">
        <v>10986</v>
      </c>
      <c r="O343" s="4" t="s">
        <v>10989</v>
      </c>
    </row>
    <row r="344" spans="1:15" ht="13">
      <c r="A344" s="4" t="s">
        <v>10991</v>
      </c>
      <c r="B344" s="4" t="e">
        <v>#N/A</v>
      </c>
      <c r="E344" s="4" t="s">
        <v>10994</v>
      </c>
      <c r="F344" s="4" t="s">
        <v>10997</v>
      </c>
      <c r="H344" s="4" t="s">
        <v>11001</v>
      </c>
      <c r="I344" s="4" t="s">
        <v>11004</v>
      </c>
      <c r="K344" s="4" t="s">
        <v>11005</v>
      </c>
      <c r="L344" s="4" t="s">
        <v>11008</v>
      </c>
      <c r="N344" s="4" t="s">
        <v>11009</v>
      </c>
      <c r="O344" s="4" t="s">
        <v>11011</v>
      </c>
    </row>
    <row r="345" spans="1:15" ht="13">
      <c r="A345" s="4" t="s">
        <v>11013</v>
      </c>
      <c r="B345" s="4" t="s">
        <v>11015</v>
      </c>
      <c r="C345" s="4" t="s">
        <v>11017</v>
      </c>
      <c r="E345" s="4" t="s">
        <v>11018</v>
      </c>
      <c r="F345" s="4" t="s">
        <v>11020</v>
      </c>
      <c r="H345" s="4" t="s">
        <v>11022</v>
      </c>
      <c r="I345" s="4" t="s">
        <v>11024</v>
      </c>
      <c r="K345" s="4" t="s">
        <v>11025</v>
      </c>
      <c r="L345" s="4" t="s">
        <v>11027</v>
      </c>
      <c r="N345" s="4" t="s">
        <v>11029</v>
      </c>
      <c r="O345" s="4" t="s">
        <v>11031</v>
      </c>
    </row>
    <row r="346" spans="1:15" ht="13">
      <c r="A346" s="4" t="s">
        <v>11032</v>
      </c>
      <c r="B346" s="4" t="s">
        <v>11034</v>
      </c>
      <c r="C346" s="4" t="s">
        <v>11035</v>
      </c>
      <c r="E346" s="4" t="s">
        <v>11037</v>
      </c>
      <c r="F346" s="4" t="s">
        <v>11039</v>
      </c>
      <c r="H346" s="4" t="e">
        <v>#N/A</v>
      </c>
      <c r="K346" s="4" t="s">
        <v>11042</v>
      </c>
      <c r="L346" s="4" t="s">
        <v>11044</v>
      </c>
      <c r="N346" s="4" t="s">
        <v>11045</v>
      </c>
      <c r="O346" s="4" t="s">
        <v>11047</v>
      </c>
    </row>
    <row r="347" spans="1:15" ht="13">
      <c r="A347" s="4" t="s">
        <v>11050</v>
      </c>
      <c r="B347" s="4" t="s">
        <v>11052</v>
      </c>
      <c r="C347" s="4" t="s">
        <v>11054</v>
      </c>
      <c r="E347" s="4" t="s">
        <v>11056</v>
      </c>
      <c r="F347" s="4" t="s">
        <v>11058</v>
      </c>
      <c r="H347" s="4" t="s">
        <v>11060</v>
      </c>
      <c r="I347" s="4" t="s">
        <v>11061</v>
      </c>
      <c r="K347" s="4" t="s">
        <v>11064</v>
      </c>
      <c r="L347" s="4" t="s">
        <v>11065</v>
      </c>
      <c r="N347" s="4" t="e">
        <v>#N/A</v>
      </c>
    </row>
    <row r="348" spans="1:15" ht="13">
      <c r="A348" s="4" t="s">
        <v>11069</v>
      </c>
      <c r="B348" s="4" t="s">
        <v>11071</v>
      </c>
      <c r="C348" s="4" t="s">
        <v>11073</v>
      </c>
      <c r="E348" s="4" t="e">
        <v>#N/A</v>
      </c>
      <c r="H348" s="4" t="s">
        <v>11076</v>
      </c>
      <c r="I348" s="4" t="s">
        <v>11079</v>
      </c>
      <c r="K348" s="4" t="s">
        <v>11080</v>
      </c>
      <c r="L348" s="4" t="s">
        <v>11082</v>
      </c>
      <c r="N348" s="4" t="e">
        <v>#N/A</v>
      </c>
    </row>
    <row r="349" spans="1:15" ht="13">
      <c r="A349" s="4" t="s">
        <v>11085</v>
      </c>
      <c r="B349" s="4" t="s">
        <v>11087</v>
      </c>
      <c r="C349" s="4" t="s">
        <v>11088</v>
      </c>
      <c r="E349" s="4" t="e">
        <v>#N/A</v>
      </c>
      <c r="H349" s="4" t="s">
        <v>11090</v>
      </c>
      <c r="I349" s="4" t="s">
        <v>11092</v>
      </c>
      <c r="K349" s="4" t="e">
        <v>#N/A</v>
      </c>
      <c r="N349" s="4" t="s">
        <v>11095</v>
      </c>
      <c r="O349" s="4" t="s">
        <v>11096</v>
      </c>
    </row>
    <row r="350" spans="1:15" ht="13">
      <c r="A350" s="4" t="s">
        <v>11099</v>
      </c>
      <c r="B350" s="4" t="s">
        <v>11100</v>
      </c>
      <c r="C350" s="4" t="s">
        <v>11102</v>
      </c>
      <c r="E350" s="4" t="s">
        <v>11103</v>
      </c>
      <c r="F350" s="4" t="s">
        <v>11106</v>
      </c>
      <c r="H350" s="4" t="e">
        <v>#N/A</v>
      </c>
      <c r="K350" s="4" t="s">
        <v>11108</v>
      </c>
      <c r="L350" s="4" t="s">
        <v>11110</v>
      </c>
      <c r="N350" s="4" t="e">
        <v>#N/A</v>
      </c>
    </row>
    <row r="351" spans="1:15" ht="13">
      <c r="A351" s="4" t="s">
        <v>11113</v>
      </c>
      <c r="B351" s="4" t="s">
        <v>11114</v>
      </c>
      <c r="C351" s="4" t="s">
        <v>11116</v>
      </c>
      <c r="E351" s="4" t="e">
        <v>#N/A</v>
      </c>
      <c r="H351" s="4" t="s">
        <v>11119</v>
      </c>
      <c r="I351" s="4" t="s">
        <v>11121</v>
      </c>
      <c r="K351" s="4" t="e">
        <v>#N/A</v>
      </c>
      <c r="N351" s="4" t="s">
        <v>11123</v>
      </c>
      <c r="O351" s="4" t="s">
        <v>11126</v>
      </c>
    </row>
    <row r="352" spans="1:15" ht="13">
      <c r="A352" s="4" t="s">
        <v>11128</v>
      </c>
      <c r="B352" s="4" t="s">
        <v>11129</v>
      </c>
      <c r="C352" s="4" t="s">
        <v>11130</v>
      </c>
      <c r="E352" s="4" t="s">
        <v>11132</v>
      </c>
      <c r="F352" s="4" t="s">
        <v>11133</v>
      </c>
      <c r="H352" s="4" t="s">
        <v>11135</v>
      </c>
      <c r="I352" s="4" t="s">
        <v>11138</v>
      </c>
      <c r="K352" s="4" t="s">
        <v>11140</v>
      </c>
      <c r="L352" s="4" t="s">
        <v>11142</v>
      </c>
      <c r="N352" s="4" t="e">
        <v>#N/A</v>
      </c>
    </row>
    <row r="353" spans="1:15" ht="13">
      <c r="A353" s="4" t="s">
        <v>11145</v>
      </c>
      <c r="B353" s="4" t="s">
        <v>11146</v>
      </c>
      <c r="C353" s="4" t="s">
        <v>11148</v>
      </c>
      <c r="E353" s="4" t="e">
        <v>#N/A</v>
      </c>
      <c r="H353" s="4" t="s">
        <v>11152</v>
      </c>
      <c r="I353" s="4" t="s">
        <v>11154</v>
      </c>
      <c r="K353" s="4" t="e">
        <v>#N/A</v>
      </c>
      <c r="N353" s="4" t="e">
        <v>#N/A</v>
      </c>
    </row>
    <row r="354" spans="1:15" ht="13">
      <c r="A354" s="4" t="s">
        <v>11159</v>
      </c>
      <c r="B354" s="4" t="s">
        <v>11161</v>
      </c>
      <c r="C354" s="4" t="s">
        <v>11163</v>
      </c>
      <c r="E354" s="4" t="s">
        <v>11165</v>
      </c>
      <c r="F354" s="4" t="s">
        <v>11167</v>
      </c>
      <c r="H354" s="4" t="e">
        <v>#N/A</v>
      </c>
      <c r="K354" s="4" t="s">
        <v>11170</v>
      </c>
      <c r="L354" s="4" t="s">
        <v>11173</v>
      </c>
      <c r="N354" s="4" t="s">
        <v>11175</v>
      </c>
      <c r="O354" s="4" t="s">
        <v>11177</v>
      </c>
    </row>
    <row r="355" spans="1:15" ht="13">
      <c r="A355" s="4" t="s">
        <v>11180</v>
      </c>
      <c r="B355" s="4" t="s">
        <v>11181</v>
      </c>
      <c r="C355" s="4" t="s">
        <v>11183</v>
      </c>
      <c r="E355" s="4" t="s">
        <v>11185</v>
      </c>
      <c r="F355" s="4" t="s">
        <v>11186</v>
      </c>
      <c r="H355" s="4" t="s">
        <v>11190</v>
      </c>
      <c r="I355" s="4" t="s">
        <v>11193</v>
      </c>
      <c r="K355" s="4" t="s">
        <v>11195</v>
      </c>
      <c r="L355" s="4" t="s">
        <v>11197</v>
      </c>
      <c r="N355" s="4" t="s">
        <v>11198</v>
      </c>
      <c r="O355" s="4" t="s">
        <v>11200</v>
      </c>
    </row>
    <row r="356" spans="1:15" ht="13">
      <c r="A356" s="4" t="s">
        <v>11203</v>
      </c>
      <c r="B356" s="4" t="s">
        <v>11204</v>
      </c>
      <c r="C356" s="4" t="s">
        <v>11206</v>
      </c>
      <c r="E356" s="4" t="s">
        <v>11208</v>
      </c>
      <c r="F356" s="4" t="s">
        <v>11209</v>
      </c>
      <c r="H356" s="4" t="s">
        <v>11212</v>
      </c>
      <c r="I356" s="4" t="s">
        <v>11214</v>
      </c>
      <c r="K356" s="4" t="e">
        <v>#N/A</v>
      </c>
      <c r="N356" s="4" t="s">
        <v>11217</v>
      </c>
      <c r="O356" s="4" t="s">
        <v>11218</v>
      </c>
    </row>
    <row r="357" spans="1:15" ht="13">
      <c r="A357" s="4" t="s">
        <v>11220</v>
      </c>
      <c r="B357" s="4" t="e">
        <v>#N/A</v>
      </c>
      <c r="E357" s="4" t="s">
        <v>11223</v>
      </c>
      <c r="F357" s="4" t="s">
        <v>11224</v>
      </c>
      <c r="H357" s="4" t="e">
        <v>#N/A</v>
      </c>
      <c r="K357" s="4" t="e">
        <v>#N/A</v>
      </c>
      <c r="N357" s="4" t="s">
        <v>11226</v>
      </c>
      <c r="O357" s="4" t="s">
        <v>11227</v>
      </c>
    </row>
    <row r="358" spans="1:15" ht="13">
      <c r="A358" s="4" t="s">
        <v>11229</v>
      </c>
      <c r="B358" s="4" t="s">
        <v>11231</v>
      </c>
      <c r="C358" s="4" t="s">
        <v>11233</v>
      </c>
      <c r="E358" s="4" t="e">
        <v>#N/A</v>
      </c>
      <c r="H358" s="4" t="s">
        <v>11234</v>
      </c>
      <c r="I358" s="4" t="s">
        <v>11236</v>
      </c>
      <c r="K358" s="4" t="s">
        <v>11238</v>
      </c>
      <c r="L358" s="4" t="s">
        <v>11240</v>
      </c>
      <c r="N358" s="4" t="s">
        <v>11241</v>
      </c>
      <c r="O358" s="4" t="s">
        <v>11243</v>
      </c>
    </row>
    <row r="359" spans="1:15" ht="13">
      <c r="A359" s="4" t="s">
        <v>11244</v>
      </c>
      <c r="B359" s="4" t="s">
        <v>11246</v>
      </c>
      <c r="C359" s="4" t="s">
        <v>11248</v>
      </c>
      <c r="E359" s="4" t="s">
        <v>11250</v>
      </c>
      <c r="F359" s="4" t="s">
        <v>11252</v>
      </c>
      <c r="H359" s="4" t="s">
        <v>5716</v>
      </c>
      <c r="I359" s="4" t="s">
        <v>11254</v>
      </c>
      <c r="K359" s="4" t="s">
        <v>11256</v>
      </c>
      <c r="L359" s="4" t="s">
        <v>11258</v>
      </c>
      <c r="N359" s="4" t="s">
        <v>11260</v>
      </c>
      <c r="O359" s="4" t="s">
        <v>11262</v>
      </c>
    </row>
    <row r="360" spans="1:15" ht="13">
      <c r="A360" s="4" t="s">
        <v>11264</v>
      </c>
      <c r="B360" s="4" t="s">
        <v>11266</v>
      </c>
      <c r="C360" s="4" t="s">
        <v>11269</v>
      </c>
      <c r="E360" s="4" t="s">
        <v>11271</v>
      </c>
      <c r="F360" s="4" t="s">
        <v>11272</v>
      </c>
      <c r="H360" s="4" t="s">
        <v>11274</v>
      </c>
      <c r="I360" s="4" t="s">
        <v>11277</v>
      </c>
      <c r="K360" s="4" t="s">
        <v>11279</v>
      </c>
      <c r="L360" s="4" t="s">
        <v>11280</v>
      </c>
      <c r="N360" s="4" t="s">
        <v>11282</v>
      </c>
      <c r="O360" s="4" t="s">
        <v>11283</v>
      </c>
    </row>
    <row r="361" spans="1:15" ht="13">
      <c r="A361" s="4" t="s">
        <v>11286</v>
      </c>
      <c r="B361" s="4" t="s">
        <v>11288</v>
      </c>
      <c r="C361" s="4" t="s">
        <v>11291</v>
      </c>
      <c r="E361" s="4" t="s">
        <v>11292</v>
      </c>
      <c r="F361" s="4" t="s">
        <v>11294</v>
      </c>
      <c r="H361" s="4" t="s">
        <v>11296</v>
      </c>
      <c r="I361" s="4" t="s">
        <v>11298</v>
      </c>
      <c r="K361" s="4" t="e">
        <v>#N/A</v>
      </c>
      <c r="N361" s="4" t="s">
        <v>11300</v>
      </c>
      <c r="O361" s="4" t="s">
        <v>11302</v>
      </c>
    </row>
    <row r="362" spans="1:15" ht="13">
      <c r="A362" s="4" t="s">
        <v>11304</v>
      </c>
      <c r="B362" s="4" t="s">
        <v>11306</v>
      </c>
      <c r="C362" s="4" t="s">
        <v>11308</v>
      </c>
      <c r="E362" s="4" t="s">
        <v>11310</v>
      </c>
      <c r="F362" s="4" t="s">
        <v>11312</v>
      </c>
      <c r="H362" s="4" t="s">
        <v>11314</v>
      </c>
      <c r="I362" s="4" t="s">
        <v>11317</v>
      </c>
      <c r="K362" s="4" t="e">
        <v>#N/A</v>
      </c>
      <c r="N362" s="4" t="e">
        <v>#N/A</v>
      </c>
    </row>
    <row r="363" spans="1:15" ht="13">
      <c r="A363" s="4" t="s">
        <v>11320</v>
      </c>
      <c r="B363" s="4" t="s">
        <v>11322</v>
      </c>
      <c r="C363" s="4" t="s">
        <v>11324</v>
      </c>
      <c r="E363" s="4" t="s">
        <v>11326</v>
      </c>
      <c r="F363" s="4" t="s">
        <v>11328</v>
      </c>
      <c r="H363" s="4" t="s">
        <v>11329</v>
      </c>
      <c r="I363" s="4" t="s">
        <v>11332</v>
      </c>
      <c r="K363" s="4" t="s">
        <v>11333</v>
      </c>
      <c r="L363" s="4" t="s">
        <v>11334</v>
      </c>
      <c r="N363" s="4" t="e">
        <v>#N/A</v>
      </c>
    </row>
    <row r="364" spans="1:15" ht="13">
      <c r="A364" s="4" t="s">
        <v>11338</v>
      </c>
      <c r="B364" s="4" t="s">
        <v>11340</v>
      </c>
      <c r="C364" s="4" t="s">
        <v>11342</v>
      </c>
      <c r="E364" s="4" t="s">
        <v>11344</v>
      </c>
      <c r="F364" s="4" t="s">
        <v>11346</v>
      </c>
      <c r="H364" s="4" t="s">
        <v>11348</v>
      </c>
      <c r="I364" s="4" t="s">
        <v>11350</v>
      </c>
      <c r="K364" s="4" t="e">
        <v>#N/A</v>
      </c>
      <c r="N364" s="4" t="s">
        <v>11352</v>
      </c>
      <c r="O364" s="4" t="s">
        <v>11354</v>
      </c>
    </row>
    <row r="365" spans="1:15" ht="13">
      <c r="A365" s="4" t="s">
        <v>11356</v>
      </c>
      <c r="B365" s="4" t="s">
        <v>11357</v>
      </c>
      <c r="C365" s="4" t="s">
        <v>11359</v>
      </c>
      <c r="E365" s="4" t="s">
        <v>11361</v>
      </c>
      <c r="F365" s="4" t="s">
        <v>11362</v>
      </c>
      <c r="H365" s="4" t="s">
        <v>11364</v>
      </c>
      <c r="I365" s="4" t="s">
        <v>11365</v>
      </c>
      <c r="K365" s="4" t="s">
        <v>11367</v>
      </c>
      <c r="L365" s="4" t="s">
        <v>11369</v>
      </c>
      <c r="N365" s="4" t="s">
        <v>11371</v>
      </c>
      <c r="O365" s="4" t="s">
        <v>11372</v>
      </c>
    </row>
    <row r="366" spans="1:15" ht="13">
      <c r="A366" s="4" t="s">
        <v>11374</v>
      </c>
      <c r="B366" s="4" t="e">
        <v>#N/A</v>
      </c>
      <c r="E366" s="4" t="e">
        <v>#N/A</v>
      </c>
      <c r="H366" s="4" t="e">
        <v>#N/A</v>
      </c>
      <c r="K366" s="4" t="e">
        <v>#N/A</v>
      </c>
      <c r="N366" s="4" t="s">
        <v>11380</v>
      </c>
      <c r="O366" s="4" t="s">
        <v>11382</v>
      </c>
    </row>
    <row r="367" spans="1:15" ht="13">
      <c r="A367" s="4" t="s">
        <v>11384</v>
      </c>
      <c r="B367" s="4" t="s">
        <v>11385</v>
      </c>
      <c r="C367" s="4" t="s">
        <v>11387</v>
      </c>
      <c r="E367" s="4" t="s">
        <v>11389</v>
      </c>
      <c r="F367" s="4" t="s">
        <v>11391</v>
      </c>
      <c r="H367" s="4" t="s">
        <v>11393</v>
      </c>
      <c r="I367" s="4" t="s">
        <v>11395</v>
      </c>
      <c r="K367" s="4" t="s">
        <v>11396</v>
      </c>
      <c r="L367" s="4" t="s">
        <v>11399</v>
      </c>
      <c r="N367" s="4" t="e">
        <v>#N/A</v>
      </c>
    </row>
    <row r="368" spans="1:15" ht="13">
      <c r="A368" s="4" t="s">
        <v>11401</v>
      </c>
      <c r="B368" s="4" t="s">
        <v>11403</v>
      </c>
      <c r="C368" s="4" t="s">
        <v>11404</v>
      </c>
      <c r="E368" s="4" t="s">
        <v>11406</v>
      </c>
      <c r="F368" s="4" t="s">
        <v>11409</v>
      </c>
      <c r="H368" s="4" t="s">
        <v>11410</v>
      </c>
      <c r="I368" s="4" t="s">
        <v>11412</v>
      </c>
      <c r="K368" s="4" t="s">
        <v>11414</v>
      </c>
      <c r="L368" s="4" t="s">
        <v>11416</v>
      </c>
      <c r="N368" s="4" t="e">
        <v>#N/A</v>
      </c>
    </row>
    <row r="369" spans="1:16" ht="13">
      <c r="A369" s="4" t="s">
        <v>11418</v>
      </c>
      <c r="B369" s="4" t="s">
        <v>11421</v>
      </c>
      <c r="C369" s="4" t="s">
        <v>11422</v>
      </c>
      <c r="E369" s="4" t="s">
        <v>11425</v>
      </c>
      <c r="F369" s="4" t="s">
        <v>11427</v>
      </c>
      <c r="H369" s="4" t="s">
        <v>11429</v>
      </c>
      <c r="I369" s="4" t="s">
        <v>11431</v>
      </c>
      <c r="K369" s="4" t="s">
        <v>11432</v>
      </c>
      <c r="L369" s="4" t="s">
        <v>11434</v>
      </c>
      <c r="N369" s="4" t="s">
        <v>11436</v>
      </c>
      <c r="O369" s="4" t="s">
        <v>11439</v>
      </c>
    </row>
    <row r="370" spans="1:16" ht="13">
      <c r="A370" s="4" t="s">
        <v>11441</v>
      </c>
      <c r="B370" s="4" t="s">
        <v>11442</v>
      </c>
      <c r="C370" s="4" t="s">
        <v>11444</v>
      </c>
      <c r="E370" s="4" t="e">
        <v>#N/A</v>
      </c>
      <c r="H370" s="4" t="s">
        <v>11447</v>
      </c>
      <c r="I370" s="4" t="s">
        <v>11448</v>
      </c>
      <c r="K370" s="4" t="s">
        <v>11449</v>
      </c>
      <c r="L370" s="4" t="s">
        <v>11451</v>
      </c>
      <c r="N370" s="4" t="s">
        <v>11453</v>
      </c>
      <c r="O370" s="4" t="s">
        <v>11455</v>
      </c>
    </row>
    <row r="373" spans="1:16" ht="13">
      <c r="A373" s="1">
        <f>SUM(C373:P373)</f>
        <v>1417</v>
      </c>
      <c r="B373" s="1"/>
      <c r="C373" s="1">
        <f>COUNTA(C2:C370)</f>
        <v>297</v>
      </c>
      <c r="D373" s="1"/>
      <c r="E373" s="1"/>
      <c r="F373" s="1">
        <f>COUNTA(F2:F370)</f>
        <v>277</v>
      </c>
      <c r="G373" s="1"/>
      <c r="H373" s="1"/>
      <c r="I373" s="1">
        <f>COUNTA(I2:I370)</f>
        <v>287</v>
      </c>
      <c r="J373" s="1"/>
      <c r="K373" s="1"/>
      <c r="L373" s="1">
        <f>COUNTA(L2:L370)</f>
        <v>276</v>
      </c>
      <c r="M373" s="1"/>
      <c r="N373" s="1"/>
      <c r="O373" s="1">
        <f>COUNTA(O2:O370)</f>
        <v>280</v>
      </c>
      <c r="P373" s="1"/>
    </row>
    <row r="374" spans="1:16" ht="13">
      <c r="A374" s="1"/>
    </row>
    <row r="375" spans="1:16" ht="13">
      <c r="A375" s="32">
        <f>A373/1840</f>
        <v>0.77010869565217388</v>
      </c>
    </row>
    <row r="448" spans="1:15" ht="13">
      <c r="A448" s="4">
        <v>1620</v>
      </c>
      <c r="C448" s="4">
        <v>333</v>
      </c>
      <c r="F448" s="4">
        <v>321</v>
      </c>
      <c r="I448" s="4">
        <v>325</v>
      </c>
      <c r="L448" s="4">
        <v>316</v>
      </c>
      <c r="O448" s="4">
        <v>325</v>
      </c>
    </row>
    <row r="449" spans="1:1" ht="13">
      <c r="A449" s="4">
        <v>1018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230"/>
  <sheetViews>
    <sheetView workbookViewId="0"/>
  </sheetViews>
  <sheetFormatPr baseColWidth="10" defaultColWidth="14.5" defaultRowHeight="15.75" customHeight="1"/>
  <cols>
    <col min="1" max="1" width="126.5" customWidth="1"/>
    <col min="2" max="2" width="70" customWidth="1"/>
    <col min="3" max="3" width="113.5" customWidth="1"/>
    <col min="4" max="4" width="83.5" customWidth="1"/>
    <col min="5" max="5" width="68.33203125" customWidth="1"/>
    <col min="6" max="6" width="114.83203125" customWidth="1"/>
    <col min="7" max="7" width="111.6640625" customWidth="1"/>
    <col min="8" max="8" width="70.6640625" customWidth="1"/>
    <col min="9" max="9" width="125" customWidth="1"/>
    <col min="10" max="10" width="95.83203125" customWidth="1"/>
    <col min="11" max="11" width="69.1640625" customWidth="1"/>
    <col min="12" max="12" width="110.1640625" customWidth="1"/>
    <col min="13" max="13" width="87" customWidth="1"/>
    <col min="14" max="14" width="70.33203125" customWidth="1"/>
    <col min="15" max="15" width="115.33203125" customWidth="1"/>
    <col min="16" max="16" width="83" customWidth="1"/>
    <col min="17" max="31" width="14.5" customWidth="1"/>
  </cols>
  <sheetData>
    <row r="1" spans="1:15" ht="15.75" customHeight="1">
      <c r="B1" s="11" t="s">
        <v>4</v>
      </c>
      <c r="C1" s="11"/>
      <c r="E1" s="11" t="s">
        <v>5</v>
      </c>
      <c r="G1" s="11"/>
      <c r="H1" s="11" t="s">
        <v>9</v>
      </c>
      <c r="I1" s="11"/>
      <c r="K1" s="11" t="s">
        <v>16</v>
      </c>
      <c r="L1" s="11"/>
      <c r="N1" s="11" t="s">
        <v>20</v>
      </c>
    </row>
    <row r="2" spans="1:15" ht="15.75" customHeight="1">
      <c r="A2" s="11" t="s">
        <v>41</v>
      </c>
      <c r="B2" s="4" t="s">
        <v>6342</v>
      </c>
      <c r="C2" s="4" t="s">
        <v>6344</v>
      </c>
      <c r="E2" s="4" t="s">
        <v>6345</v>
      </c>
      <c r="F2" s="4" t="s">
        <v>6350</v>
      </c>
      <c r="H2" s="4" t="e">
        <v>#N/A</v>
      </c>
      <c r="K2" s="4" t="s">
        <v>6353</v>
      </c>
      <c r="L2" s="4" t="s">
        <v>6355</v>
      </c>
      <c r="N2" s="4" t="s">
        <v>6356</v>
      </c>
      <c r="O2" s="4" t="s">
        <v>6358</v>
      </c>
    </row>
    <row r="3" spans="1:15" ht="15.75" customHeight="1">
      <c r="A3" s="4" t="s">
        <v>6360</v>
      </c>
      <c r="B3" s="4" t="s">
        <v>6361</v>
      </c>
      <c r="C3" s="4" t="s">
        <v>6364</v>
      </c>
      <c r="E3" s="4" t="s">
        <v>6365</v>
      </c>
      <c r="F3" s="4" t="s">
        <v>6367</v>
      </c>
      <c r="H3" s="4" t="s">
        <v>6368</v>
      </c>
      <c r="I3" s="4" t="s">
        <v>6370</v>
      </c>
      <c r="K3" s="4" t="e">
        <v>#N/A</v>
      </c>
      <c r="N3" s="4" t="s">
        <v>6373</v>
      </c>
      <c r="O3" s="4" t="s">
        <v>6374</v>
      </c>
    </row>
    <row r="4" spans="1:15" ht="15.75" customHeight="1">
      <c r="A4" s="4" t="s">
        <v>6377</v>
      </c>
      <c r="B4" s="4" t="s">
        <v>6379</v>
      </c>
      <c r="C4" s="4" t="s">
        <v>6380</v>
      </c>
      <c r="E4" s="4" t="s">
        <v>6382</v>
      </c>
      <c r="F4" s="4" t="s">
        <v>6383</v>
      </c>
      <c r="H4" s="4" t="s">
        <v>6385</v>
      </c>
      <c r="I4" s="4" t="s">
        <v>6387</v>
      </c>
      <c r="K4" s="4" t="s">
        <v>6389</v>
      </c>
      <c r="L4" s="4" t="s">
        <v>6391</v>
      </c>
      <c r="N4" s="4" t="s">
        <v>6392</v>
      </c>
      <c r="O4" s="4" t="s">
        <v>6393</v>
      </c>
    </row>
    <row r="5" spans="1:15" ht="15.75" customHeight="1">
      <c r="A5" s="4" t="s">
        <v>6395</v>
      </c>
      <c r="B5" s="4" t="s">
        <v>6397</v>
      </c>
      <c r="C5" s="4" t="s">
        <v>6400</v>
      </c>
      <c r="E5" s="4" t="s">
        <v>6402</v>
      </c>
      <c r="F5" s="4" t="s">
        <v>6405</v>
      </c>
      <c r="H5" s="4" t="s">
        <v>6406</v>
      </c>
      <c r="I5" s="4" t="s">
        <v>6408</v>
      </c>
      <c r="K5" s="4" t="e">
        <v>#N/A</v>
      </c>
      <c r="N5" s="4" t="e">
        <v>#N/A</v>
      </c>
    </row>
    <row r="6" spans="1:15" ht="15.75" customHeight="1">
      <c r="A6" s="4" t="s">
        <v>6412</v>
      </c>
      <c r="B6" s="4" t="s">
        <v>6414</v>
      </c>
      <c r="C6" s="4" t="s">
        <v>6416</v>
      </c>
      <c r="E6" s="4" t="e">
        <v>#N/A</v>
      </c>
      <c r="H6" s="4" t="e">
        <v>#N/A</v>
      </c>
      <c r="K6" s="4" t="e">
        <v>#N/A</v>
      </c>
      <c r="N6" s="4" t="s">
        <v>6418</v>
      </c>
      <c r="O6" s="4" t="s">
        <v>6419</v>
      </c>
    </row>
    <row r="7" spans="1:15" ht="15.75" customHeight="1">
      <c r="A7" s="4" t="s">
        <v>6421</v>
      </c>
      <c r="B7" s="4" t="e">
        <v>#N/A</v>
      </c>
      <c r="E7" s="4" t="s">
        <v>6422</v>
      </c>
      <c r="F7" s="4" t="s">
        <v>6424</v>
      </c>
      <c r="H7" s="4" t="s">
        <v>6426</v>
      </c>
      <c r="I7" s="4" t="s">
        <v>6428</v>
      </c>
      <c r="K7" s="4" t="s">
        <v>6430</v>
      </c>
      <c r="L7" s="4" t="s">
        <v>6431</v>
      </c>
      <c r="N7" s="4" t="s">
        <v>6433</v>
      </c>
      <c r="O7" s="4" t="s">
        <v>6436</v>
      </c>
    </row>
    <row r="8" spans="1:15" ht="15.75" customHeight="1">
      <c r="A8" s="4" t="s">
        <v>6438</v>
      </c>
      <c r="B8" s="4" t="s">
        <v>6440</v>
      </c>
      <c r="C8" s="4" t="s">
        <v>6442</v>
      </c>
      <c r="E8" s="4" t="e">
        <v>#N/A</v>
      </c>
      <c r="H8" s="4" t="s">
        <v>6445</v>
      </c>
      <c r="I8" s="4" t="s">
        <v>6447</v>
      </c>
      <c r="K8" s="4" t="s">
        <v>6449</v>
      </c>
      <c r="L8" s="4" t="s">
        <v>6450</v>
      </c>
      <c r="N8" s="4" t="s">
        <v>6451</v>
      </c>
      <c r="O8" s="4" t="s">
        <v>6453</v>
      </c>
    </row>
    <row r="9" spans="1:15" ht="15.75" customHeight="1">
      <c r="A9" s="4" t="s">
        <v>6456</v>
      </c>
      <c r="B9" s="4" t="s">
        <v>6458</v>
      </c>
      <c r="C9" s="4" t="s">
        <v>6460</v>
      </c>
      <c r="E9" s="4" t="s">
        <v>6462</v>
      </c>
      <c r="F9" s="4" t="s">
        <v>6464</v>
      </c>
      <c r="H9" s="4" t="s">
        <v>6466</v>
      </c>
      <c r="I9" s="4" t="s">
        <v>6468</v>
      </c>
      <c r="K9" s="4" t="s">
        <v>6470</v>
      </c>
      <c r="L9" s="4" t="s">
        <v>6472</v>
      </c>
      <c r="N9" s="4" t="s">
        <v>6474</v>
      </c>
      <c r="O9" s="4" t="s">
        <v>6476</v>
      </c>
    </row>
    <row r="10" spans="1:15" ht="15.75" customHeight="1">
      <c r="A10" s="4" t="s">
        <v>6478</v>
      </c>
      <c r="B10" s="4" t="e">
        <v>#N/A</v>
      </c>
      <c r="E10" s="4" t="e">
        <v>#N/A</v>
      </c>
      <c r="H10" s="4" t="s">
        <v>6482</v>
      </c>
      <c r="I10" s="4" t="s">
        <v>6483</v>
      </c>
      <c r="K10" s="4" t="s">
        <v>6485</v>
      </c>
      <c r="L10" s="4" t="s">
        <v>6487</v>
      </c>
      <c r="N10" s="4" t="s">
        <v>6489</v>
      </c>
      <c r="O10" s="4" t="s">
        <v>6491</v>
      </c>
    </row>
    <row r="11" spans="1:15" ht="15.75" customHeight="1">
      <c r="A11" s="4" t="s">
        <v>6493</v>
      </c>
      <c r="B11" s="4" t="s">
        <v>6495</v>
      </c>
      <c r="C11" s="4" t="s">
        <v>6497</v>
      </c>
      <c r="E11" s="4" t="s">
        <v>6499</v>
      </c>
      <c r="F11" s="4" t="s">
        <v>6501</v>
      </c>
      <c r="H11" s="4" t="e">
        <v>#N/A</v>
      </c>
      <c r="K11" s="4" t="s">
        <v>6503</v>
      </c>
      <c r="L11" s="4" t="s">
        <v>6505</v>
      </c>
      <c r="N11" s="4" t="s">
        <v>6507</v>
      </c>
      <c r="O11" s="4" t="s">
        <v>6508</v>
      </c>
    </row>
    <row r="12" spans="1:15" ht="15.75" customHeight="1">
      <c r="A12" s="4" t="s">
        <v>6510</v>
      </c>
      <c r="B12" s="4" t="s">
        <v>6512</v>
      </c>
      <c r="C12" s="4" t="s">
        <v>6513</v>
      </c>
      <c r="E12" s="4"/>
      <c r="H12" s="4"/>
      <c r="K12" s="4" t="s">
        <v>6515</v>
      </c>
      <c r="L12" s="4" t="s">
        <v>6517</v>
      </c>
      <c r="N12" s="4"/>
    </row>
    <row r="13" spans="1:15" ht="15.75" customHeight="1">
      <c r="A13" s="4" t="s">
        <v>6519</v>
      </c>
      <c r="B13" s="4"/>
      <c r="E13" s="4" t="s">
        <v>6522</v>
      </c>
      <c r="F13" s="4" t="s">
        <v>6523</v>
      </c>
      <c r="H13" s="4"/>
      <c r="K13" s="4" t="s">
        <v>6527</v>
      </c>
      <c r="L13" s="4" t="s">
        <v>6529</v>
      </c>
      <c r="N13" s="4"/>
    </row>
    <row r="14" spans="1:15" ht="15.75" customHeight="1">
      <c r="A14" s="4" t="s">
        <v>6531</v>
      </c>
      <c r="B14" s="4"/>
      <c r="E14" s="4" t="s">
        <v>6534</v>
      </c>
      <c r="F14" s="4" t="s">
        <v>6535</v>
      </c>
      <c r="H14" s="4" t="s">
        <v>6538</v>
      </c>
      <c r="I14" s="4" t="s">
        <v>6540</v>
      </c>
      <c r="K14" s="4" t="s">
        <v>6541</v>
      </c>
      <c r="L14" s="4" t="s">
        <v>6543</v>
      </c>
      <c r="N14" s="4" t="s">
        <v>6545</v>
      </c>
      <c r="O14" s="4" t="s">
        <v>6547</v>
      </c>
    </row>
    <row r="15" spans="1:15" ht="15.75" customHeight="1">
      <c r="A15" s="4" t="s">
        <v>6549</v>
      </c>
      <c r="B15" s="4"/>
      <c r="E15" s="4" t="e">
        <v>#N/A</v>
      </c>
      <c r="H15" s="4" t="s">
        <v>6553</v>
      </c>
      <c r="I15" s="4" t="s">
        <v>6555</v>
      </c>
      <c r="K15" s="4" t="s">
        <v>6557</v>
      </c>
      <c r="L15" s="4" t="s">
        <v>6559</v>
      </c>
      <c r="N15" s="4" t="s">
        <v>6561</v>
      </c>
      <c r="O15" s="4" t="s">
        <v>6563</v>
      </c>
    </row>
    <row r="16" spans="1:15" ht="15.75" customHeight="1">
      <c r="A16" s="4" t="s">
        <v>6566</v>
      </c>
      <c r="B16" s="4" t="e">
        <v>#N/A</v>
      </c>
      <c r="E16" s="4" t="s">
        <v>6568</v>
      </c>
      <c r="F16" s="4" t="s">
        <v>6570</v>
      </c>
      <c r="H16" s="4" t="s">
        <v>6572</v>
      </c>
      <c r="I16" s="4" t="s">
        <v>6574</v>
      </c>
      <c r="K16" s="4" t="s">
        <v>6576</v>
      </c>
      <c r="L16" s="4" t="s">
        <v>6578</v>
      </c>
      <c r="N16" s="4" t="s">
        <v>6580</v>
      </c>
      <c r="O16" s="4" t="s">
        <v>6582</v>
      </c>
    </row>
    <row r="17" spans="1:15" ht="15.75" customHeight="1">
      <c r="A17" s="4" t="s">
        <v>6584</v>
      </c>
      <c r="B17" s="4" t="s">
        <v>6586</v>
      </c>
      <c r="C17" s="4" t="s">
        <v>6588</v>
      </c>
      <c r="E17" s="4" t="e">
        <v>#N/A</v>
      </c>
      <c r="H17" s="4" t="s">
        <v>6591</v>
      </c>
      <c r="I17" s="4" t="s">
        <v>6593</v>
      </c>
      <c r="K17" s="4" t="s">
        <v>6594</v>
      </c>
      <c r="L17" s="4" t="s">
        <v>6596</v>
      </c>
      <c r="N17" s="4"/>
    </row>
    <row r="18" spans="1:15" ht="15.75" customHeight="1">
      <c r="A18" s="4" t="s">
        <v>6598</v>
      </c>
      <c r="B18" s="4" t="s">
        <v>6600</v>
      </c>
      <c r="C18" s="4" t="s">
        <v>6601</v>
      </c>
      <c r="E18" s="4" t="s">
        <v>6604</v>
      </c>
      <c r="F18" s="4" t="s">
        <v>6605</v>
      </c>
      <c r="H18" s="4" t="s">
        <v>6607</v>
      </c>
      <c r="I18" s="4" t="s">
        <v>6609</v>
      </c>
      <c r="K18" s="4" t="s">
        <v>6610</v>
      </c>
      <c r="L18" s="4" t="s">
        <v>6612</v>
      </c>
      <c r="N18" s="4"/>
    </row>
    <row r="19" spans="1:15" ht="15.75" customHeight="1">
      <c r="A19" s="4" t="s">
        <v>6615</v>
      </c>
      <c r="B19" s="4" t="s">
        <v>6617</v>
      </c>
      <c r="C19" s="4" t="s">
        <v>6619</v>
      </c>
      <c r="E19" s="4" t="s">
        <v>6620</v>
      </c>
      <c r="F19" s="4" t="s">
        <v>6622</v>
      </c>
      <c r="H19" s="4" t="e">
        <v>#N/A</v>
      </c>
      <c r="K19" s="4" t="e">
        <v>#N/A</v>
      </c>
      <c r="N19" s="4" t="s">
        <v>6624</v>
      </c>
      <c r="O19" s="4" t="s">
        <v>6627</v>
      </c>
    </row>
    <row r="20" spans="1:15" ht="15.75" customHeight="1">
      <c r="A20" s="4" t="s">
        <v>6629</v>
      </c>
      <c r="B20" s="4" t="e">
        <v>#N/A</v>
      </c>
      <c r="E20" s="4" t="s">
        <v>6632</v>
      </c>
      <c r="F20" s="4" t="s">
        <v>6633</v>
      </c>
      <c r="H20" s="4" t="s">
        <v>6635</v>
      </c>
      <c r="I20" s="4" t="s">
        <v>6637</v>
      </c>
      <c r="K20" s="4" t="s">
        <v>6639</v>
      </c>
      <c r="L20" s="4" t="s">
        <v>6641</v>
      </c>
      <c r="N20" s="4" t="s">
        <v>6643</v>
      </c>
      <c r="O20" s="4" t="s">
        <v>6648</v>
      </c>
    </row>
    <row r="21" spans="1:15" ht="15.75" customHeight="1">
      <c r="A21" s="4" t="s">
        <v>6651</v>
      </c>
      <c r="B21" s="4" t="s">
        <v>6653</v>
      </c>
      <c r="C21" s="4" t="s">
        <v>6655</v>
      </c>
      <c r="E21" s="4" t="s">
        <v>6657</v>
      </c>
      <c r="F21" s="4" t="s">
        <v>6659</v>
      </c>
      <c r="H21" s="4" t="s">
        <v>6661</v>
      </c>
      <c r="I21" s="4" t="s">
        <v>6663</v>
      </c>
      <c r="K21" s="4" t="s">
        <v>6665</v>
      </c>
      <c r="L21" s="4" t="s">
        <v>6667</v>
      </c>
      <c r="N21" s="4" t="s">
        <v>6669</v>
      </c>
      <c r="O21" s="4" t="s">
        <v>6670</v>
      </c>
    </row>
    <row r="22" spans="1:15" ht="15.75" customHeight="1">
      <c r="A22" s="4" t="s">
        <v>6672</v>
      </c>
      <c r="B22" s="4" t="s">
        <v>6673</v>
      </c>
      <c r="C22" s="4" t="s">
        <v>6675</v>
      </c>
      <c r="E22" s="4" t="s">
        <v>6676</v>
      </c>
      <c r="F22" s="4" t="s">
        <v>6679</v>
      </c>
      <c r="H22" s="4" t="s">
        <v>6680</v>
      </c>
      <c r="I22" s="4" t="s">
        <v>6682</v>
      </c>
      <c r="K22" s="4" t="e">
        <v>#N/A</v>
      </c>
      <c r="N22" s="4" t="s">
        <v>6684</v>
      </c>
      <c r="O22" s="4" t="s">
        <v>6685</v>
      </c>
    </row>
    <row r="23" spans="1:15" ht="15.75" customHeight="1">
      <c r="A23" s="4" t="s">
        <v>6688</v>
      </c>
      <c r="B23" s="4" t="e">
        <v>#N/A</v>
      </c>
      <c r="E23" s="4" t="e">
        <v>#N/A</v>
      </c>
      <c r="H23" s="4" t="s">
        <v>6692</v>
      </c>
      <c r="I23" s="4" t="s">
        <v>6695</v>
      </c>
      <c r="K23" s="4" t="s">
        <v>6698</v>
      </c>
      <c r="L23" s="4" t="s">
        <v>6700</v>
      </c>
      <c r="N23" s="4" t="s">
        <v>6701</v>
      </c>
      <c r="O23" s="4" t="s">
        <v>6702</v>
      </c>
    </row>
    <row r="24" spans="1:15" ht="15.75" customHeight="1">
      <c r="A24" s="4" t="s">
        <v>6705</v>
      </c>
      <c r="B24" s="4" t="s">
        <v>6706</v>
      </c>
      <c r="C24" s="4" t="s">
        <v>6708</v>
      </c>
      <c r="E24" s="4" t="s">
        <v>6710</v>
      </c>
      <c r="F24" s="4" t="s">
        <v>6713</v>
      </c>
      <c r="H24" s="4" t="s">
        <v>6715</v>
      </c>
      <c r="I24" s="4" t="s">
        <v>6717</v>
      </c>
      <c r="K24" s="4" t="s">
        <v>6719</v>
      </c>
      <c r="L24" s="4" t="s">
        <v>6720</v>
      </c>
      <c r="N24" s="4" t="e">
        <v>#N/A</v>
      </c>
    </row>
    <row r="25" spans="1:15" ht="15.75" customHeight="1">
      <c r="A25" s="4" t="s">
        <v>6724</v>
      </c>
      <c r="B25" s="4" t="s">
        <v>6726</v>
      </c>
      <c r="C25" s="4" t="s">
        <v>6727</v>
      </c>
      <c r="E25" s="4" t="e">
        <v>#N/A</v>
      </c>
      <c r="H25" s="4" t="s">
        <v>6730</v>
      </c>
      <c r="I25" s="4" t="s">
        <v>6732</v>
      </c>
      <c r="K25" s="4" t="s">
        <v>6734</v>
      </c>
      <c r="L25" s="4" t="s">
        <v>6735</v>
      </c>
      <c r="N25" s="4" t="s">
        <v>6736</v>
      </c>
      <c r="O25" s="4" t="s">
        <v>6738</v>
      </c>
    </row>
    <row r="26" spans="1:15" ht="15.75" customHeight="1">
      <c r="A26" s="4" t="s">
        <v>6740</v>
      </c>
      <c r="B26" s="4" t="s">
        <v>6742</v>
      </c>
      <c r="C26" s="4" t="s">
        <v>6744</v>
      </c>
      <c r="E26" s="4" t="e">
        <v>#N/A</v>
      </c>
      <c r="H26" s="4" t="s">
        <v>6745</v>
      </c>
      <c r="I26" s="4" t="s">
        <v>6747</v>
      </c>
      <c r="K26" s="4" t="s">
        <v>6749</v>
      </c>
      <c r="L26" s="4" t="s">
        <v>6751</v>
      </c>
      <c r="N26" s="4" t="s">
        <v>6753</v>
      </c>
      <c r="O26" s="4" t="s">
        <v>6755</v>
      </c>
    </row>
    <row r="27" spans="1:15" ht="15.75" customHeight="1">
      <c r="A27" s="4" t="s">
        <v>6757</v>
      </c>
      <c r="B27" s="4" t="s">
        <v>6758</v>
      </c>
      <c r="C27" s="4" t="s">
        <v>6760</v>
      </c>
      <c r="E27" s="4" t="e">
        <v>#N/A</v>
      </c>
      <c r="H27" s="4" t="s">
        <v>6764</v>
      </c>
      <c r="I27" s="4" t="s">
        <v>135</v>
      </c>
      <c r="J27" s="4" t="s">
        <v>6766</v>
      </c>
      <c r="K27" s="4" t="s">
        <v>6767</v>
      </c>
      <c r="L27" s="4" t="s">
        <v>6769</v>
      </c>
      <c r="N27" s="4" t="e">
        <v>#N/A</v>
      </c>
    </row>
    <row r="28" spans="1:15" ht="15.75" customHeight="1">
      <c r="A28" s="4" t="s">
        <v>6772</v>
      </c>
      <c r="B28" s="4" t="s">
        <v>6774</v>
      </c>
      <c r="C28" s="4" t="s">
        <v>6775</v>
      </c>
      <c r="E28" s="4" t="s">
        <v>6777</v>
      </c>
      <c r="F28" s="4" t="s">
        <v>6779</v>
      </c>
      <c r="H28" s="4" t="e">
        <v>#N/A</v>
      </c>
      <c r="K28" s="4" t="s">
        <v>6782</v>
      </c>
      <c r="L28" s="4" t="s">
        <v>6783</v>
      </c>
      <c r="N28" s="4" t="s">
        <v>6785</v>
      </c>
      <c r="O28" s="4" t="s">
        <v>6786</v>
      </c>
    </row>
    <row r="29" spans="1:15" ht="15.75" customHeight="1">
      <c r="A29" s="4" t="s">
        <v>6788</v>
      </c>
      <c r="B29" s="4" t="e">
        <v>#N/A</v>
      </c>
      <c r="E29" s="4" t="s">
        <v>6790</v>
      </c>
      <c r="F29" s="4" t="s">
        <v>6792</v>
      </c>
      <c r="H29" s="4" t="s">
        <v>6794</v>
      </c>
      <c r="I29" s="4" t="s">
        <v>6796</v>
      </c>
      <c r="K29" s="4" t="s">
        <v>6798</v>
      </c>
      <c r="L29" s="4" t="s">
        <v>6800</v>
      </c>
      <c r="N29" s="4" t="s">
        <v>6802</v>
      </c>
      <c r="O29" s="4" t="s">
        <v>6804</v>
      </c>
    </row>
    <row r="30" spans="1:15" ht="15.75" customHeight="1">
      <c r="A30" s="4" t="s">
        <v>6805</v>
      </c>
      <c r="B30" s="4" t="s">
        <v>6806</v>
      </c>
      <c r="C30" s="4" t="s">
        <v>6807</v>
      </c>
      <c r="E30" s="4" t="e">
        <v>#N/A</v>
      </c>
      <c r="H30" s="4" t="s">
        <v>6808</v>
      </c>
      <c r="I30" s="4" t="s">
        <v>6810</v>
      </c>
      <c r="K30" s="4" t="e">
        <v>#N/A</v>
      </c>
      <c r="N30" s="4" t="s">
        <v>6811</v>
      </c>
      <c r="O30" s="4" t="s">
        <v>6812</v>
      </c>
    </row>
    <row r="31" spans="1:15" ht="15.75" customHeight="1">
      <c r="A31" s="4" t="s">
        <v>6815</v>
      </c>
      <c r="B31" s="4" t="s">
        <v>6816</v>
      </c>
      <c r="C31" s="4" t="s">
        <v>6818</v>
      </c>
      <c r="E31" s="4" t="e">
        <v>#N/A</v>
      </c>
      <c r="H31" s="4" t="s">
        <v>6821</v>
      </c>
      <c r="I31" s="4" t="s">
        <v>6823</v>
      </c>
      <c r="K31" s="4" t="s">
        <v>6825</v>
      </c>
      <c r="L31" s="4" t="s">
        <v>6827</v>
      </c>
      <c r="N31" s="4" t="e">
        <v>#N/A</v>
      </c>
    </row>
    <row r="32" spans="1:15" ht="15.75" customHeight="1">
      <c r="A32" s="4" t="s">
        <v>6829</v>
      </c>
      <c r="B32" s="4" t="s">
        <v>6830</v>
      </c>
      <c r="C32" s="4" t="s">
        <v>135</v>
      </c>
      <c r="D32" s="4" t="s">
        <v>6832</v>
      </c>
      <c r="E32" s="4" t="s">
        <v>6833</v>
      </c>
      <c r="F32" s="4" t="s">
        <v>6835</v>
      </c>
      <c r="H32" s="4" t="s">
        <v>6837</v>
      </c>
      <c r="I32" s="4" t="s">
        <v>6839</v>
      </c>
      <c r="K32" s="4" t="s">
        <v>6841</v>
      </c>
      <c r="L32" s="4" t="s">
        <v>6843</v>
      </c>
      <c r="N32" s="4" t="s">
        <v>6844</v>
      </c>
      <c r="O32" s="4" t="s">
        <v>6847</v>
      </c>
    </row>
    <row r="33" spans="1:16" ht="15.75" customHeight="1">
      <c r="A33" s="4" t="s">
        <v>6849</v>
      </c>
      <c r="B33" s="4" t="s">
        <v>6851</v>
      </c>
      <c r="C33" s="4" t="s">
        <v>6853</v>
      </c>
      <c r="E33" s="4" t="s">
        <v>6855</v>
      </c>
      <c r="F33" s="4" t="s">
        <v>6857</v>
      </c>
      <c r="H33" s="4" t="s">
        <v>6859</v>
      </c>
      <c r="I33" s="4" t="s">
        <v>6861</v>
      </c>
      <c r="K33" s="4" t="s">
        <v>6863</v>
      </c>
      <c r="L33" s="4" t="s">
        <v>6865</v>
      </c>
      <c r="N33" s="4" t="s">
        <v>6867</v>
      </c>
      <c r="O33" s="4" t="s">
        <v>6869</v>
      </c>
    </row>
    <row r="34" spans="1:16" ht="15.75" customHeight="1">
      <c r="A34" s="4" t="s">
        <v>6871</v>
      </c>
      <c r="B34" s="4" t="s">
        <v>6873</v>
      </c>
      <c r="C34" s="4" t="s">
        <v>6874</v>
      </c>
      <c r="E34" s="4" t="s">
        <v>6875</v>
      </c>
      <c r="F34" s="4" t="s">
        <v>6877</v>
      </c>
      <c r="H34" s="4" t="s">
        <v>6878</v>
      </c>
      <c r="I34" s="4" t="s">
        <v>6880</v>
      </c>
      <c r="K34" s="4" t="e">
        <v>#N/A</v>
      </c>
      <c r="N34" s="4" t="s">
        <v>6882</v>
      </c>
      <c r="O34" s="4" t="s">
        <v>6884</v>
      </c>
    </row>
    <row r="35" spans="1:16" ht="15.75" customHeight="1">
      <c r="A35" s="4" t="s">
        <v>6887</v>
      </c>
      <c r="B35" s="4" t="e">
        <v>#N/A</v>
      </c>
      <c r="E35" s="4" t="s">
        <v>6890</v>
      </c>
      <c r="F35" s="4" t="s">
        <v>6893</v>
      </c>
      <c r="H35" s="4" t="s">
        <v>6895</v>
      </c>
      <c r="I35" s="4" t="s">
        <v>6897</v>
      </c>
      <c r="K35" s="4" t="s">
        <v>6899</v>
      </c>
      <c r="L35" s="4" t="s">
        <v>6901</v>
      </c>
      <c r="N35" s="4" t="s">
        <v>6902</v>
      </c>
      <c r="O35" s="4" t="s">
        <v>6904</v>
      </c>
    </row>
    <row r="36" spans="1:16" ht="15.75" customHeight="1">
      <c r="A36" s="4" t="s">
        <v>6905</v>
      </c>
      <c r="B36" s="4" t="s">
        <v>6907</v>
      </c>
      <c r="C36" s="4" t="s">
        <v>6910</v>
      </c>
      <c r="E36" s="4" t="s">
        <v>6912</v>
      </c>
      <c r="F36" s="4" t="s">
        <v>6913</v>
      </c>
      <c r="H36" s="4" t="e">
        <v>#N/A</v>
      </c>
      <c r="K36" s="4" t="s">
        <v>6915</v>
      </c>
      <c r="L36" s="4" t="s">
        <v>6917</v>
      </c>
      <c r="N36" s="4" t="s">
        <v>6920</v>
      </c>
      <c r="O36" s="4" t="s">
        <v>6922</v>
      </c>
    </row>
    <row r="37" spans="1:16" ht="15.75" customHeight="1">
      <c r="A37" s="4" t="s">
        <v>6924</v>
      </c>
      <c r="B37" s="4" t="s">
        <v>6926</v>
      </c>
      <c r="C37" s="4" t="s">
        <v>6929</v>
      </c>
      <c r="E37" s="4" t="s">
        <v>6931</v>
      </c>
      <c r="F37" s="4" t="s">
        <v>6933</v>
      </c>
      <c r="H37" s="4" t="s">
        <v>6935</v>
      </c>
      <c r="I37" s="4" t="s">
        <v>6937</v>
      </c>
      <c r="K37" s="4" t="s">
        <v>6939</v>
      </c>
      <c r="L37" s="4" t="s">
        <v>6941</v>
      </c>
      <c r="N37" s="4" t="s">
        <v>6943</v>
      </c>
      <c r="O37" s="4" t="s">
        <v>6945</v>
      </c>
    </row>
    <row r="38" spans="1:16" ht="15.75" customHeight="1">
      <c r="A38" s="4" t="s">
        <v>6948</v>
      </c>
      <c r="B38" s="4" t="s">
        <v>6950</v>
      </c>
      <c r="C38" s="4" t="s">
        <v>6952</v>
      </c>
      <c r="E38" s="4" t="e">
        <v>#N/A</v>
      </c>
      <c r="H38" s="4" t="s">
        <v>6955</v>
      </c>
      <c r="I38" s="4" t="s">
        <v>6956</v>
      </c>
      <c r="K38" s="4" t="s">
        <v>6957</v>
      </c>
      <c r="L38" s="4" t="s">
        <v>6959</v>
      </c>
      <c r="N38" s="4" t="s">
        <v>6960</v>
      </c>
      <c r="O38" s="4" t="s">
        <v>6961</v>
      </c>
    </row>
    <row r="39" spans="1:16" ht="15.75" customHeight="1">
      <c r="A39" s="4" t="s">
        <v>6964</v>
      </c>
      <c r="B39" s="4" t="s">
        <v>6966</v>
      </c>
      <c r="C39" s="4" t="s">
        <v>6968</v>
      </c>
      <c r="E39" s="4" t="e">
        <v>#N/A</v>
      </c>
      <c r="H39" s="4" t="s">
        <v>6972</v>
      </c>
      <c r="I39" s="4" t="s">
        <v>6974</v>
      </c>
      <c r="K39" s="4" t="s">
        <v>6977</v>
      </c>
      <c r="L39" s="4" t="s">
        <v>6979</v>
      </c>
      <c r="N39" s="4" t="s">
        <v>6980</v>
      </c>
      <c r="O39" s="4" t="s">
        <v>6982</v>
      </c>
    </row>
    <row r="40" spans="1:16" ht="15.75" customHeight="1">
      <c r="A40" s="4" t="s">
        <v>6984</v>
      </c>
      <c r="B40" s="4" t="s">
        <v>6986</v>
      </c>
      <c r="C40" s="4" t="s">
        <v>6988</v>
      </c>
      <c r="E40" s="4" t="s">
        <v>6989</v>
      </c>
      <c r="F40" s="4" t="s">
        <v>6991</v>
      </c>
      <c r="H40" s="4" t="s">
        <v>6993</v>
      </c>
      <c r="I40" s="4" t="s">
        <v>6994</v>
      </c>
      <c r="K40" s="4" t="e">
        <v>#N/A</v>
      </c>
      <c r="N40" s="4" t="s">
        <v>6997</v>
      </c>
      <c r="O40" s="4" t="s">
        <v>6999</v>
      </c>
    </row>
    <row r="41" spans="1:16" ht="15.75" customHeight="1">
      <c r="A41" s="4" t="s">
        <v>7001</v>
      </c>
      <c r="B41" s="4" t="s">
        <v>7003</v>
      </c>
      <c r="C41" s="4" t="s">
        <v>7004</v>
      </c>
      <c r="E41" s="4" t="s">
        <v>7006</v>
      </c>
      <c r="F41" s="4" t="s">
        <v>7008</v>
      </c>
      <c r="H41" s="4" t="s">
        <v>7010</v>
      </c>
      <c r="I41" s="4" t="s">
        <v>7012</v>
      </c>
      <c r="K41" s="4" t="e">
        <v>#N/A</v>
      </c>
      <c r="N41" s="4" t="e">
        <v>#N/A</v>
      </c>
    </row>
    <row r="42" spans="1:16" ht="15.75" customHeight="1">
      <c r="A42" s="4" t="s">
        <v>7014</v>
      </c>
      <c r="B42" s="4" t="s">
        <v>7015</v>
      </c>
      <c r="C42" s="4" t="s">
        <v>7018</v>
      </c>
      <c r="E42" s="4" t="s">
        <v>7019</v>
      </c>
      <c r="F42" s="4" t="s">
        <v>7021</v>
      </c>
      <c r="H42" s="4" t="s">
        <v>7023</v>
      </c>
      <c r="I42" s="4" t="s">
        <v>7025</v>
      </c>
      <c r="K42" s="4" t="s">
        <v>7027</v>
      </c>
      <c r="L42" s="4" t="s">
        <v>7029</v>
      </c>
      <c r="N42" s="4" t="s">
        <v>7031</v>
      </c>
      <c r="O42" s="4" t="s">
        <v>7033</v>
      </c>
    </row>
    <row r="43" spans="1:16" ht="15.75" customHeight="1">
      <c r="A43" s="4" t="s">
        <v>7036</v>
      </c>
      <c r="B43" s="4" t="e">
        <v>#N/A</v>
      </c>
      <c r="E43" s="4" t="s">
        <v>7038</v>
      </c>
      <c r="F43" s="4" t="s">
        <v>7040</v>
      </c>
      <c r="H43" s="4" t="s">
        <v>7042</v>
      </c>
      <c r="I43" s="4" t="s">
        <v>7044</v>
      </c>
      <c r="K43" s="4" t="s">
        <v>7046</v>
      </c>
      <c r="L43" s="4" t="s">
        <v>7048</v>
      </c>
      <c r="N43" s="4" t="s">
        <v>7050</v>
      </c>
      <c r="O43" s="4" t="s">
        <v>135</v>
      </c>
      <c r="P43" s="4" t="s">
        <v>7053</v>
      </c>
    </row>
    <row r="44" spans="1:16" ht="15.75" customHeight="1">
      <c r="A44" s="4" t="s">
        <v>7056</v>
      </c>
      <c r="B44" s="4" t="s">
        <v>7057</v>
      </c>
      <c r="C44" s="4" t="s">
        <v>7059</v>
      </c>
      <c r="E44" s="4" t="s">
        <v>7061</v>
      </c>
      <c r="F44" s="4" t="s">
        <v>7062</v>
      </c>
      <c r="H44" s="4" t="e">
        <v>#N/A</v>
      </c>
      <c r="K44" s="4" t="s">
        <v>7065</v>
      </c>
      <c r="L44" s="4" t="s">
        <v>7067</v>
      </c>
      <c r="N44" s="4" t="e">
        <v>#N/A</v>
      </c>
    </row>
    <row r="45" spans="1:16" ht="15.75" customHeight="1">
      <c r="A45" s="4" t="s">
        <v>7070</v>
      </c>
      <c r="B45" s="4" t="s">
        <v>7072</v>
      </c>
      <c r="C45" s="4" t="s">
        <v>7074</v>
      </c>
      <c r="E45" s="4" t="s">
        <v>7076</v>
      </c>
      <c r="F45" s="4" t="s">
        <v>7078</v>
      </c>
      <c r="H45" s="4" t="s">
        <v>7080</v>
      </c>
      <c r="I45" s="4" t="s">
        <v>7082</v>
      </c>
      <c r="K45" s="4" t="s">
        <v>7083</v>
      </c>
      <c r="L45" s="4" t="s">
        <v>7085</v>
      </c>
      <c r="N45" s="4" t="e">
        <v>#N/A</v>
      </c>
    </row>
    <row r="46" spans="1:16" ht="15.75" customHeight="1">
      <c r="A46" s="4" t="s">
        <v>7089</v>
      </c>
      <c r="B46" s="4" t="s">
        <v>7091</v>
      </c>
      <c r="C46" s="4" t="s">
        <v>7093</v>
      </c>
      <c r="E46" s="4" t="s">
        <v>7095</v>
      </c>
      <c r="F46" s="4" t="s">
        <v>7097</v>
      </c>
      <c r="H46" s="4" t="s">
        <v>7098</v>
      </c>
      <c r="I46" s="4" t="s">
        <v>7100</v>
      </c>
      <c r="K46" s="4" t="s">
        <v>7102</v>
      </c>
      <c r="L46" s="4" t="s">
        <v>7103</v>
      </c>
      <c r="N46" s="4" t="e">
        <v>#N/A</v>
      </c>
    </row>
    <row r="47" spans="1:16" ht="15.75" customHeight="1">
      <c r="A47" s="4" t="s">
        <v>7106</v>
      </c>
      <c r="B47" s="4" t="e">
        <v>#N/A</v>
      </c>
      <c r="E47" s="4" t="e">
        <v>#N/A</v>
      </c>
      <c r="H47" s="4" t="s">
        <v>7109</v>
      </c>
      <c r="I47" s="4" t="s">
        <v>7110</v>
      </c>
      <c r="K47" s="4" t="s">
        <v>7112</v>
      </c>
      <c r="L47" s="4" t="s">
        <v>7113</v>
      </c>
      <c r="N47" s="4" t="s">
        <v>7115</v>
      </c>
      <c r="O47" s="4" t="s">
        <v>7118</v>
      </c>
    </row>
    <row r="48" spans="1:16" ht="15.75" customHeight="1">
      <c r="A48" s="4" t="s">
        <v>7120</v>
      </c>
      <c r="B48" s="4" t="s">
        <v>7121</v>
      </c>
      <c r="C48" s="4" t="s">
        <v>7123</v>
      </c>
      <c r="E48" s="4" t="s">
        <v>7125</v>
      </c>
      <c r="F48" s="4" t="s">
        <v>7127</v>
      </c>
      <c r="H48" s="4" t="e">
        <v>#N/A</v>
      </c>
      <c r="K48" s="4" t="e">
        <v>#N/A</v>
      </c>
      <c r="N48" s="4" t="e">
        <v>#N/A</v>
      </c>
    </row>
    <row r="49" spans="1:15" ht="15.75" customHeight="1">
      <c r="A49" s="4" t="s">
        <v>7132</v>
      </c>
      <c r="B49" s="4" t="e">
        <v>#N/A</v>
      </c>
      <c r="E49" s="4" t="s">
        <v>7136</v>
      </c>
      <c r="F49" s="4" t="s">
        <v>7137</v>
      </c>
      <c r="H49" s="4" t="s">
        <v>7139</v>
      </c>
      <c r="I49" s="4" t="s">
        <v>135</v>
      </c>
      <c r="J49" s="4" t="s">
        <v>7142</v>
      </c>
      <c r="K49" s="4" t="s">
        <v>7144</v>
      </c>
      <c r="L49" s="4" t="s">
        <v>7145</v>
      </c>
      <c r="N49" s="4" t="s">
        <v>7147</v>
      </c>
      <c r="O49" s="4" t="s">
        <v>7150</v>
      </c>
    </row>
    <row r="50" spans="1:15" ht="15.75" customHeight="1">
      <c r="A50" s="4" t="s">
        <v>7152</v>
      </c>
      <c r="B50" s="4" t="s">
        <v>7154</v>
      </c>
      <c r="C50" s="4" t="s">
        <v>7155</v>
      </c>
      <c r="E50" s="4" t="s">
        <v>7156</v>
      </c>
      <c r="F50" s="4" t="s">
        <v>7157</v>
      </c>
      <c r="H50" s="4" t="s">
        <v>7158</v>
      </c>
      <c r="I50" s="4" t="s">
        <v>7159</v>
      </c>
      <c r="K50" s="4" t="s">
        <v>7160</v>
      </c>
      <c r="L50" s="4" t="s">
        <v>7162</v>
      </c>
      <c r="N50" s="4" t="s">
        <v>7164</v>
      </c>
      <c r="O50" s="4" t="s">
        <v>7165</v>
      </c>
    </row>
    <row r="51" spans="1:15" ht="15.75" customHeight="1">
      <c r="A51" s="4" t="s">
        <v>7168</v>
      </c>
      <c r="B51" s="4" t="s">
        <v>7170</v>
      </c>
      <c r="C51" s="4" t="s">
        <v>7172</v>
      </c>
      <c r="E51" s="4" t="s">
        <v>7174</v>
      </c>
      <c r="F51" s="4" t="s">
        <v>7176</v>
      </c>
      <c r="H51" s="4" t="e">
        <v>#N/A</v>
      </c>
      <c r="K51" s="4" t="s">
        <v>7179</v>
      </c>
      <c r="L51" s="4" t="s">
        <v>7181</v>
      </c>
      <c r="N51" s="4" t="e">
        <v>#N/A</v>
      </c>
    </row>
    <row r="52" spans="1:15" ht="13">
      <c r="A52" s="4" t="s">
        <v>7188</v>
      </c>
      <c r="B52" s="4" t="s">
        <v>7191</v>
      </c>
      <c r="C52" s="4" t="s">
        <v>7193</v>
      </c>
      <c r="E52" s="4" t="e">
        <v>#N/A</v>
      </c>
      <c r="H52" s="4" t="s">
        <v>7195</v>
      </c>
      <c r="I52" s="4" t="s">
        <v>7196</v>
      </c>
      <c r="K52" s="4" t="e">
        <v>#N/A</v>
      </c>
      <c r="N52" s="4" t="s">
        <v>7199</v>
      </c>
      <c r="O52" s="4" t="s">
        <v>7201</v>
      </c>
    </row>
    <row r="53" spans="1:15" ht="13">
      <c r="A53" s="4" t="s">
        <v>7204</v>
      </c>
      <c r="B53" s="4" t="s">
        <v>7206</v>
      </c>
      <c r="C53" s="4" t="s">
        <v>7208</v>
      </c>
      <c r="E53" s="4" t="s">
        <v>7210</v>
      </c>
      <c r="F53" s="4" t="s">
        <v>7211</v>
      </c>
      <c r="H53" s="4" t="s">
        <v>7213</v>
      </c>
      <c r="I53" s="4" t="s">
        <v>7215</v>
      </c>
      <c r="K53" s="4" t="s">
        <v>7217</v>
      </c>
      <c r="L53" s="4" t="s">
        <v>7219</v>
      </c>
      <c r="N53" s="4" t="s">
        <v>7221</v>
      </c>
      <c r="O53" s="4" t="s">
        <v>7222</v>
      </c>
    </row>
    <row r="54" spans="1:15" ht="13">
      <c r="A54" s="4" t="s">
        <v>7225</v>
      </c>
      <c r="B54" s="4" t="s">
        <v>7227</v>
      </c>
      <c r="C54" s="4" t="s">
        <v>7229</v>
      </c>
      <c r="E54" s="4" t="s">
        <v>7231</v>
      </c>
      <c r="F54" s="4" t="s">
        <v>7232</v>
      </c>
      <c r="H54" s="4" t="e">
        <v>#N/A</v>
      </c>
      <c r="K54" s="4" t="s">
        <v>7234</v>
      </c>
      <c r="L54" s="4" t="s">
        <v>7236</v>
      </c>
      <c r="N54" s="4" t="e">
        <v>#N/A</v>
      </c>
    </row>
    <row r="55" spans="1:15" ht="13">
      <c r="A55" s="4" t="s">
        <v>7239</v>
      </c>
      <c r="B55" s="4" t="e">
        <v>#N/A</v>
      </c>
      <c r="E55" s="4" t="s">
        <v>7242</v>
      </c>
      <c r="F55" s="4" t="s">
        <v>7245</v>
      </c>
      <c r="H55" s="4" t="e">
        <v>#N/A</v>
      </c>
      <c r="K55" s="4" t="s">
        <v>7247</v>
      </c>
      <c r="L55" s="4" t="s">
        <v>7249</v>
      </c>
      <c r="N55" s="4"/>
    </row>
    <row r="56" spans="1:15" ht="13">
      <c r="A56" s="4" t="s">
        <v>7253</v>
      </c>
      <c r="B56" s="4" t="s">
        <v>7254</v>
      </c>
      <c r="C56" s="4" t="s">
        <v>7256</v>
      </c>
      <c r="E56" s="4" t="s">
        <v>7258</v>
      </c>
      <c r="F56" s="4" t="s">
        <v>135</v>
      </c>
      <c r="G56" s="4" t="s">
        <v>7260</v>
      </c>
      <c r="H56" s="4" t="e">
        <v>#N/A</v>
      </c>
      <c r="K56" s="4" t="s">
        <v>7262</v>
      </c>
      <c r="L56" s="4" t="s">
        <v>7265</v>
      </c>
      <c r="N56" s="4" t="s">
        <v>7266</v>
      </c>
      <c r="O56" s="4" t="s">
        <v>7268</v>
      </c>
    </row>
    <row r="57" spans="1:15" ht="13">
      <c r="A57" s="4" t="s">
        <v>7271</v>
      </c>
      <c r="B57" s="4" t="s">
        <v>7273</v>
      </c>
      <c r="C57" s="4" t="s">
        <v>7275</v>
      </c>
      <c r="E57" s="4" t="s">
        <v>7276</v>
      </c>
      <c r="F57" s="4" t="s">
        <v>7279</v>
      </c>
      <c r="H57" s="4" t="e">
        <v>#N/A</v>
      </c>
      <c r="K57" s="4" t="s">
        <v>7281</v>
      </c>
      <c r="L57" s="4" t="s">
        <v>7282</v>
      </c>
      <c r="N57" s="4" t="e">
        <v>#N/A</v>
      </c>
    </row>
    <row r="58" spans="1:15" ht="13">
      <c r="A58" s="4" t="s">
        <v>7284</v>
      </c>
      <c r="B58" s="4" t="s">
        <v>7286</v>
      </c>
      <c r="C58" s="4" t="s">
        <v>7288</v>
      </c>
      <c r="E58" s="4" t="s">
        <v>7290</v>
      </c>
      <c r="F58" s="4" t="s">
        <v>7292</v>
      </c>
      <c r="H58" s="4" t="e">
        <v>#N/A</v>
      </c>
      <c r="K58" s="4" t="s">
        <v>7295</v>
      </c>
      <c r="L58" s="4" t="s">
        <v>7297</v>
      </c>
      <c r="N58" s="4" t="e">
        <v>#N/A</v>
      </c>
    </row>
    <row r="59" spans="1:15" ht="13">
      <c r="A59" s="4" t="s">
        <v>7301</v>
      </c>
      <c r="B59" s="4" t="e">
        <v>#N/A</v>
      </c>
      <c r="E59" s="4" t="s">
        <v>7304</v>
      </c>
      <c r="F59" s="4" t="s">
        <v>7306</v>
      </c>
      <c r="H59" s="4" t="s">
        <v>7308</v>
      </c>
      <c r="I59" s="4" t="s">
        <v>7310</v>
      </c>
      <c r="K59" s="4" t="e">
        <v>#N/A</v>
      </c>
      <c r="N59" s="4" t="e">
        <v>#N/A</v>
      </c>
    </row>
    <row r="60" spans="1:15" ht="13">
      <c r="A60" s="4" t="s">
        <v>7315</v>
      </c>
      <c r="B60" s="4" t="s">
        <v>7316</v>
      </c>
      <c r="C60" s="4" t="s">
        <v>7318</v>
      </c>
      <c r="E60" s="4" t="s">
        <v>7319</v>
      </c>
      <c r="F60" s="4" t="s">
        <v>7322</v>
      </c>
      <c r="H60" s="4" t="s">
        <v>7323</v>
      </c>
      <c r="I60" s="4" t="s">
        <v>135</v>
      </c>
      <c r="J60" s="4" t="s">
        <v>7326</v>
      </c>
      <c r="K60" s="4" t="s">
        <v>7327</v>
      </c>
      <c r="L60" s="4" t="s">
        <v>7329</v>
      </c>
      <c r="N60" s="4" t="e">
        <v>#N/A</v>
      </c>
    </row>
    <row r="61" spans="1:15" ht="13">
      <c r="A61" s="4" t="s">
        <v>7333</v>
      </c>
      <c r="B61" s="4" t="s">
        <v>7334</v>
      </c>
      <c r="C61" s="4" t="s">
        <v>7337</v>
      </c>
      <c r="E61" s="4" t="s">
        <v>7338</v>
      </c>
      <c r="F61" s="4" t="s">
        <v>7340</v>
      </c>
      <c r="H61" s="4" t="s">
        <v>7342</v>
      </c>
      <c r="I61" s="4" t="s">
        <v>7344</v>
      </c>
      <c r="K61" s="4" t="s">
        <v>7347</v>
      </c>
      <c r="L61" s="4" t="s">
        <v>7349</v>
      </c>
      <c r="N61" s="4" t="s">
        <v>7351</v>
      </c>
      <c r="O61" s="4" t="s">
        <v>7352</v>
      </c>
    </row>
    <row r="62" spans="1:15" ht="13">
      <c r="A62" s="4" t="s">
        <v>7354</v>
      </c>
      <c r="B62" s="4" t="e">
        <v>#N/A</v>
      </c>
      <c r="E62" s="4" t="s">
        <v>7356</v>
      </c>
      <c r="F62" s="4" t="s">
        <v>7358</v>
      </c>
      <c r="H62" s="4" t="s">
        <v>7360</v>
      </c>
      <c r="I62" s="4" t="s">
        <v>7363</v>
      </c>
      <c r="K62" s="4" t="s">
        <v>7364</v>
      </c>
      <c r="L62" s="4" t="s">
        <v>7366</v>
      </c>
      <c r="N62" s="4" t="s">
        <v>7368</v>
      </c>
      <c r="O62" s="4" t="s">
        <v>7369</v>
      </c>
    </row>
    <row r="63" spans="1:15" ht="13">
      <c r="A63" s="4" t="s">
        <v>7372</v>
      </c>
      <c r="B63" s="4" t="s">
        <v>7374</v>
      </c>
      <c r="C63" s="4" t="s">
        <v>7376</v>
      </c>
      <c r="E63" s="4" t="s">
        <v>7378</v>
      </c>
      <c r="F63" s="4" t="s">
        <v>7380</v>
      </c>
      <c r="H63" s="4" t="s">
        <v>7382</v>
      </c>
      <c r="I63" s="4" t="s">
        <v>7384</v>
      </c>
      <c r="K63" s="4" t="s">
        <v>7386</v>
      </c>
      <c r="L63" s="4" t="s">
        <v>7387</v>
      </c>
      <c r="N63" s="4" t="s">
        <v>7388</v>
      </c>
      <c r="O63" s="4" t="s">
        <v>7391</v>
      </c>
    </row>
    <row r="64" spans="1:15" ht="13">
      <c r="A64" s="4" t="s">
        <v>7394</v>
      </c>
      <c r="B64" s="4" t="s">
        <v>7395</v>
      </c>
      <c r="C64" s="4" t="s">
        <v>7397</v>
      </c>
      <c r="E64" s="4" t="e">
        <v>#N/A</v>
      </c>
      <c r="H64" s="4" t="s">
        <v>7400</v>
      </c>
      <c r="I64" s="4" t="s">
        <v>7401</v>
      </c>
      <c r="K64" s="4" t="s">
        <v>7403</v>
      </c>
      <c r="L64" s="4" t="s">
        <v>7405</v>
      </c>
      <c r="N64" s="4" t="s">
        <v>7406</v>
      </c>
      <c r="O64" s="4" t="s">
        <v>7408</v>
      </c>
    </row>
    <row r="65" spans="1:15" ht="13">
      <c r="A65" s="4" t="s">
        <v>7410</v>
      </c>
      <c r="B65" s="4" t="s">
        <v>7412</v>
      </c>
      <c r="C65" s="4" t="s">
        <v>7413</v>
      </c>
      <c r="E65" s="4" t="e">
        <v>#N/A</v>
      </c>
      <c r="H65" s="4" t="s">
        <v>7414</v>
      </c>
      <c r="I65" s="4" t="s">
        <v>7416</v>
      </c>
      <c r="K65" s="4" t="e">
        <v>#N/A</v>
      </c>
      <c r="N65" s="4" t="s">
        <v>7419</v>
      </c>
      <c r="O65" s="4" t="s">
        <v>7420</v>
      </c>
    </row>
    <row r="66" spans="1:15" ht="13">
      <c r="A66" s="4" t="s">
        <v>7422</v>
      </c>
      <c r="B66" s="4" t="s">
        <v>7424</v>
      </c>
      <c r="C66" s="4" t="s">
        <v>7426</v>
      </c>
      <c r="E66" s="4" t="s">
        <v>7428</v>
      </c>
      <c r="F66" s="4" t="s">
        <v>7430</v>
      </c>
      <c r="H66" s="4" t="s">
        <v>7431</v>
      </c>
      <c r="I66" s="4" t="s">
        <v>7432</v>
      </c>
      <c r="K66" s="4" t="s">
        <v>7434</v>
      </c>
      <c r="L66" s="4" t="s">
        <v>7436</v>
      </c>
      <c r="N66" s="4" t="s">
        <v>7437</v>
      </c>
      <c r="O66" s="4" t="s">
        <v>7439</v>
      </c>
    </row>
    <row r="67" spans="1:15" ht="13">
      <c r="A67" s="4" t="s">
        <v>7442</v>
      </c>
      <c r="B67" s="4" t="s">
        <v>7443</v>
      </c>
      <c r="C67" s="4" t="s">
        <v>7446</v>
      </c>
      <c r="E67" s="4" t="s">
        <v>7447</v>
      </c>
      <c r="F67" s="4" t="s">
        <v>7449</v>
      </c>
      <c r="H67" s="4" t="s">
        <v>7451</v>
      </c>
      <c r="I67" s="4" t="s">
        <v>7453</v>
      </c>
      <c r="K67" s="4" t="e">
        <v>#N/A</v>
      </c>
      <c r="N67" s="4" t="e">
        <v>#N/A</v>
      </c>
    </row>
    <row r="68" spans="1:15" ht="13">
      <c r="A68" s="4" t="s">
        <v>7456</v>
      </c>
      <c r="B68" s="4" t="e">
        <v>#N/A</v>
      </c>
      <c r="E68" s="4" t="s">
        <v>7459</v>
      </c>
      <c r="F68" s="4" t="s">
        <v>7462</v>
      </c>
      <c r="H68" s="4" t="e">
        <v>#N/A</v>
      </c>
      <c r="K68" s="4" t="s">
        <v>7464</v>
      </c>
      <c r="L68" s="4" t="s">
        <v>7466</v>
      </c>
      <c r="N68" s="4" t="s">
        <v>7468</v>
      </c>
      <c r="O68" s="4" t="s">
        <v>7469</v>
      </c>
    </row>
    <row r="69" spans="1:15" ht="13">
      <c r="A69" s="4" t="s">
        <v>7471</v>
      </c>
      <c r="B69" s="4" t="s">
        <v>7473</v>
      </c>
      <c r="C69" s="4" t="s">
        <v>7475</v>
      </c>
      <c r="E69" s="4" t="s">
        <v>7477</v>
      </c>
      <c r="F69" s="4" t="s">
        <v>7479</v>
      </c>
      <c r="H69" s="4" t="s">
        <v>7481</v>
      </c>
      <c r="I69" s="4" t="s">
        <v>7483</v>
      </c>
      <c r="K69" s="4" t="e">
        <v>#N/A</v>
      </c>
      <c r="N69" s="4" t="e">
        <v>#N/A</v>
      </c>
    </row>
    <row r="70" spans="1:15" ht="13">
      <c r="A70" s="4" t="s">
        <v>7488</v>
      </c>
      <c r="B70" s="4" t="s">
        <v>7490</v>
      </c>
      <c r="C70" s="4" t="s">
        <v>7492</v>
      </c>
      <c r="E70" s="4" t="s">
        <v>7494</v>
      </c>
      <c r="F70" s="4" t="s">
        <v>7496</v>
      </c>
      <c r="H70" s="4" t="s">
        <v>7498</v>
      </c>
      <c r="I70" s="4" t="s">
        <v>7501</v>
      </c>
      <c r="K70" s="4" t="s">
        <v>7502</v>
      </c>
      <c r="L70" s="4" t="s">
        <v>7504</v>
      </c>
      <c r="N70" s="4" t="s">
        <v>7506</v>
      </c>
      <c r="O70" s="4" t="s">
        <v>7508</v>
      </c>
    </row>
    <row r="71" spans="1:15" ht="13">
      <c r="A71" s="4" t="s">
        <v>7511</v>
      </c>
      <c r="B71" s="4" t="s">
        <v>7512</v>
      </c>
      <c r="C71" s="4" t="s">
        <v>7514</v>
      </c>
      <c r="E71" s="4" t="s">
        <v>7516</v>
      </c>
      <c r="F71" s="4" t="s">
        <v>7517</v>
      </c>
      <c r="H71" s="4" t="s">
        <v>7519</v>
      </c>
      <c r="I71" s="4" t="s">
        <v>7521</v>
      </c>
      <c r="K71" s="4" t="s">
        <v>7523</v>
      </c>
      <c r="L71" s="4" t="s">
        <v>7525</v>
      </c>
      <c r="N71" s="4" t="s">
        <v>7526</v>
      </c>
      <c r="O71" s="4" t="s">
        <v>7528</v>
      </c>
    </row>
    <row r="72" spans="1:15" ht="13">
      <c r="A72" s="4" t="s">
        <v>7531</v>
      </c>
      <c r="B72" s="4" t="e">
        <v>#N/A</v>
      </c>
      <c r="E72" s="4" t="s">
        <v>7535</v>
      </c>
      <c r="F72" s="4" t="s">
        <v>7537</v>
      </c>
      <c r="H72" s="4" t="s">
        <v>7539</v>
      </c>
      <c r="I72" s="4" t="s">
        <v>7541</v>
      </c>
      <c r="K72" s="4" t="s">
        <v>7543</v>
      </c>
      <c r="L72" s="4" t="s">
        <v>7545</v>
      </c>
      <c r="N72" s="4" t="s">
        <v>7548</v>
      </c>
      <c r="O72" s="4" t="s">
        <v>7550</v>
      </c>
    </row>
    <row r="73" spans="1:15" ht="13">
      <c r="A73" s="4" t="s">
        <v>7552</v>
      </c>
      <c r="B73" s="4" t="s">
        <v>7554</v>
      </c>
      <c r="C73" s="4" t="s">
        <v>7557</v>
      </c>
      <c r="E73" s="4" t="s">
        <v>7559</v>
      </c>
      <c r="F73" s="4" t="s">
        <v>7561</v>
      </c>
      <c r="H73" s="4" t="e">
        <v>#N/A</v>
      </c>
      <c r="K73" s="4" t="s">
        <v>7564</v>
      </c>
      <c r="L73" s="4" t="s">
        <v>7565</v>
      </c>
      <c r="N73" s="4" t="s">
        <v>7567</v>
      </c>
      <c r="O73" s="4" t="s">
        <v>7569</v>
      </c>
    </row>
    <row r="74" spans="1:15" ht="13">
      <c r="A74" s="4" t="s">
        <v>7571</v>
      </c>
      <c r="B74" s="4" t="s">
        <v>7573</v>
      </c>
      <c r="C74" s="4" t="s">
        <v>7575</v>
      </c>
      <c r="E74" s="4" t="s">
        <v>7576</v>
      </c>
      <c r="F74" s="4" t="s">
        <v>7577</v>
      </c>
      <c r="H74" s="4" t="s">
        <v>7579</v>
      </c>
      <c r="I74" s="4" t="s">
        <v>7580</v>
      </c>
      <c r="K74" s="4" t="s">
        <v>7582</v>
      </c>
      <c r="L74" s="4" t="s">
        <v>7583</v>
      </c>
      <c r="N74" s="4"/>
    </row>
    <row r="75" spans="1:15" ht="13">
      <c r="A75" s="4" t="s">
        <v>7588</v>
      </c>
      <c r="B75" s="4" t="s">
        <v>7589</v>
      </c>
      <c r="C75" s="4" t="s">
        <v>7591</v>
      </c>
      <c r="E75" s="4" t="s">
        <v>7593</v>
      </c>
      <c r="F75" s="4" t="s">
        <v>7594</v>
      </c>
      <c r="H75" s="4" t="s">
        <v>7596</v>
      </c>
      <c r="I75" s="4" t="s">
        <v>7598</v>
      </c>
      <c r="K75" s="4" t="s">
        <v>7600</v>
      </c>
      <c r="L75" s="4" t="s">
        <v>7602</v>
      </c>
      <c r="N75" s="4" t="s">
        <v>7604</v>
      </c>
      <c r="O75" s="4" t="s">
        <v>7606</v>
      </c>
    </row>
    <row r="76" spans="1:15" ht="13">
      <c r="A76" s="4" t="s">
        <v>7609</v>
      </c>
      <c r="B76" s="4" t="s">
        <v>7611</v>
      </c>
      <c r="C76" s="4" t="s">
        <v>7612</v>
      </c>
      <c r="E76" s="4" t="s">
        <v>7614</v>
      </c>
      <c r="F76" s="4" t="s">
        <v>7616</v>
      </c>
      <c r="H76" s="4" t="s">
        <v>7618</v>
      </c>
      <c r="I76" s="4" t="s">
        <v>7620</v>
      </c>
      <c r="K76" s="4" t="s">
        <v>7622</v>
      </c>
      <c r="L76" s="4" t="s">
        <v>7623</v>
      </c>
      <c r="N76" s="4" t="s">
        <v>7625</v>
      </c>
      <c r="O76" s="4" t="s">
        <v>7627</v>
      </c>
    </row>
    <row r="77" spans="1:15" ht="13">
      <c r="A77" s="4" t="s">
        <v>7629</v>
      </c>
      <c r="B77" s="4" t="s">
        <v>7631</v>
      </c>
      <c r="C77" s="4" t="s">
        <v>7633</v>
      </c>
      <c r="E77" s="4" t="s">
        <v>7635</v>
      </c>
      <c r="F77" s="4" t="s">
        <v>7637</v>
      </c>
      <c r="H77" s="4" t="s">
        <v>7639</v>
      </c>
      <c r="I77" s="4" t="s">
        <v>7640</v>
      </c>
      <c r="K77" s="4" t="s">
        <v>7647</v>
      </c>
      <c r="L77" s="4" t="s">
        <v>7650</v>
      </c>
      <c r="N77" s="4" t="s">
        <v>7652</v>
      </c>
      <c r="O77" s="4" t="s">
        <v>7654</v>
      </c>
    </row>
    <row r="78" spans="1:15" ht="13">
      <c r="A78" s="4" t="s">
        <v>7658</v>
      </c>
      <c r="B78" s="4" t="s">
        <v>7660</v>
      </c>
      <c r="C78" s="4" t="s">
        <v>7661</v>
      </c>
      <c r="E78" s="4" t="s">
        <v>7663</v>
      </c>
      <c r="F78" s="4" t="s">
        <v>7665</v>
      </c>
      <c r="H78" s="4" t="s">
        <v>7667</v>
      </c>
      <c r="I78" s="4" t="s">
        <v>7669</v>
      </c>
      <c r="K78" s="4" t="s">
        <v>7670</v>
      </c>
      <c r="L78" s="4" t="s">
        <v>7672</v>
      </c>
      <c r="N78" s="4" t="s">
        <v>7674</v>
      </c>
      <c r="O78" s="4" t="s">
        <v>7676</v>
      </c>
    </row>
    <row r="79" spans="1:15" ht="13">
      <c r="A79" s="4" t="s">
        <v>7678</v>
      </c>
      <c r="B79" s="4" t="s">
        <v>7679</v>
      </c>
      <c r="C79" s="4" t="s">
        <v>7680</v>
      </c>
      <c r="E79" s="4" t="s">
        <v>7682</v>
      </c>
      <c r="F79" s="4" t="s">
        <v>7683</v>
      </c>
      <c r="H79" s="4" t="s">
        <v>7684</v>
      </c>
      <c r="I79" s="4" t="s">
        <v>7686</v>
      </c>
      <c r="K79" s="4" t="s">
        <v>7687</v>
      </c>
      <c r="L79" s="4" t="s">
        <v>7690</v>
      </c>
      <c r="N79" s="4" t="s">
        <v>7691</v>
      </c>
      <c r="O79" s="4" t="s">
        <v>7693</v>
      </c>
    </row>
    <row r="80" spans="1:15" ht="13">
      <c r="A80" s="4" t="s">
        <v>7695</v>
      </c>
      <c r="B80" s="4" t="s">
        <v>7697</v>
      </c>
      <c r="C80" s="4" t="s">
        <v>7698</v>
      </c>
      <c r="E80" s="4" t="s">
        <v>7700</v>
      </c>
      <c r="F80" s="4" t="s">
        <v>7702</v>
      </c>
      <c r="H80" s="4" t="s">
        <v>7703</v>
      </c>
      <c r="I80" s="4" t="s">
        <v>7706</v>
      </c>
      <c r="K80" s="4" t="s">
        <v>7707</v>
      </c>
      <c r="L80" s="4" t="s">
        <v>7709</v>
      </c>
      <c r="N80" s="4" t="s">
        <v>7710</v>
      </c>
      <c r="O80" s="4" t="s">
        <v>7711</v>
      </c>
    </row>
    <row r="81" spans="1:16" ht="13">
      <c r="A81" s="4" t="s">
        <v>7714</v>
      </c>
      <c r="B81" s="4" t="e">
        <v>#N/A</v>
      </c>
      <c r="E81" s="4" t="e">
        <v>#N/A</v>
      </c>
      <c r="H81" s="4" t="s">
        <v>7716</v>
      </c>
      <c r="I81" s="4" t="s">
        <v>7718</v>
      </c>
      <c r="K81" s="4" t="s">
        <v>7720</v>
      </c>
      <c r="L81" s="4" t="s">
        <v>7722</v>
      </c>
      <c r="N81" s="4" t="e">
        <v>#N/A</v>
      </c>
    </row>
    <row r="82" spans="1:16" ht="13">
      <c r="A82" s="4" t="s">
        <v>7724</v>
      </c>
      <c r="B82" s="4" t="s">
        <v>7726</v>
      </c>
      <c r="C82" s="4" t="s">
        <v>7728</v>
      </c>
      <c r="E82" s="4" t="e">
        <v>#N/A</v>
      </c>
      <c r="H82" s="4" t="e">
        <v>#N/A</v>
      </c>
      <c r="K82" s="4" t="s">
        <v>7731</v>
      </c>
      <c r="L82" s="4" t="s">
        <v>7733</v>
      </c>
      <c r="N82" s="4" t="s">
        <v>7734</v>
      </c>
      <c r="O82" s="4" t="s">
        <v>7736</v>
      </c>
    </row>
    <row r="83" spans="1:16" ht="13">
      <c r="A83" s="4" t="s">
        <v>7737</v>
      </c>
      <c r="B83" s="4" t="s">
        <v>7739</v>
      </c>
      <c r="C83" s="4" t="s">
        <v>7741</v>
      </c>
      <c r="E83" s="4" t="s">
        <v>7743</v>
      </c>
      <c r="F83" s="4" t="s">
        <v>7745</v>
      </c>
      <c r="H83" s="4" t="s">
        <v>7747</v>
      </c>
      <c r="I83" s="4" t="s">
        <v>7749</v>
      </c>
      <c r="K83" s="4" t="e">
        <v>#N/A</v>
      </c>
      <c r="N83" s="4" t="e">
        <v>#N/A</v>
      </c>
    </row>
    <row r="84" spans="1:16" ht="13">
      <c r="A84" s="4" t="s">
        <v>7754</v>
      </c>
      <c r="B84" s="4" t="s">
        <v>7755</v>
      </c>
      <c r="C84" s="4" t="s">
        <v>7757</v>
      </c>
      <c r="E84" s="4" t="s">
        <v>7758</v>
      </c>
      <c r="F84" s="4" t="s">
        <v>7760</v>
      </c>
      <c r="H84" s="4" t="s">
        <v>7761</v>
      </c>
      <c r="I84" s="4" t="s">
        <v>7764</v>
      </c>
      <c r="K84" s="4" t="s">
        <v>7765</v>
      </c>
      <c r="L84" s="4" t="s">
        <v>7768</v>
      </c>
      <c r="N84" s="4" t="s">
        <v>7770</v>
      </c>
      <c r="O84" s="4" t="s">
        <v>7771</v>
      </c>
    </row>
    <row r="85" spans="1:16" ht="13">
      <c r="A85" s="4" t="s">
        <v>7774</v>
      </c>
      <c r="B85" s="4" t="s">
        <v>7775</v>
      </c>
      <c r="C85" s="4" t="s">
        <v>7777</v>
      </c>
      <c r="E85" s="4" t="e">
        <v>#N/A</v>
      </c>
      <c r="H85" s="4" t="e">
        <v>#N/A</v>
      </c>
      <c r="K85" s="4" t="s">
        <v>7780</v>
      </c>
      <c r="L85" s="4" t="s">
        <v>7782</v>
      </c>
      <c r="N85" s="4" t="e">
        <v>#N/A</v>
      </c>
    </row>
    <row r="86" spans="1:16" ht="13">
      <c r="A86" s="4" t="s">
        <v>7785</v>
      </c>
      <c r="B86" s="4" t="s">
        <v>7786</v>
      </c>
      <c r="C86" s="4" t="s">
        <v>7788</v>
      </c>
      <c r="E86" s="4" t="s">
        <v>7790</v>
      </c>
      <c r="F86" s="4" t="s">
        <v>7791</v>
      </c>
      <c r="H86" s="4" t="e">
        <v>#N/A</v>
      </c>
      <c r="K86" s="4" t="e">
        <v>#N/A</v>
      </c>
      <c r="N86" s="4" t="s">
        <v>7794</v>
      </c>
      <c r="O86" s="4" t="s">
        <v>7796</v>
      </c>
    </row>
    <row r="87" spans="1:16" ht="13">
      <c r="A87" s="4" t="s">
        <v>7798</v>
      </c>
      <c r="B87" s="4" t="s">
        <v>7800</v>
      </c>
      <c r="C87" s="4" t="s">
        <v>7802</v>
      </c>
      <c r="E87" s="4" t="s">
        <v>7804</v>
      </c>
      <c r="F87" s="4" t="s">
        <v>7805</v>
      </c>
      <c r="H87" s="4" t="s">
        <v>7807</v>
      </c>
      <c r="I87" s="4" t="s">
        <v>7809</v>
      </c>
      <c r="K87" s="4" t="s">
        <v>7811</v>
      </c>
      <c r="L87" s="4" t="s">
        <v>7812</v>
      </c>
      <c r="N87" s="4" t="s">
        <v>7814</v>
      </c>
      <c r="O87" s="4" t="s">
        <v>7815</v>
      </c>
    </row>
    <row r="88" spans="1:16" ht="13">
      <c r="A88" s="4" t="s">
        <v>7818</v>
      </c>
      <c r="B88" s="4" t="e">
        <v>#N/A</v>
      </c>
      <c r="E88" s="4" t="s">
        <v>7820</v>
      </c>
      <c r="F88" s="4" t="s">
        <v>7822</v>
      </c>
      <c r="H88" s="4" t="s">
        <v>7824</v>
      </c>
      <c r="I88" s="4" t="s">
        <v>7826</v>
      </c>
      <c r="K88" s="4" t="s">
        <v>7828</v>
      </c>
      <c r="L88" s="4" t="s">
        <v>7830</v>
      </c>
      <c r="N88" s="4" t="e">
        <v>#N/A</v>
      </c>
    </row>
    <row r="89" spans="1:16" ht="13">
      <c r="A89" s="4" t="s">
        <v>7834</v>
      </c>
      <c r="B89" s="4" t="s">
        <v>7836</v>
      </c>
      <c r="C89" s="4" t="s">
        <v>7838</v>
      </c>
      <c r="E89" s="4" t="s">
        <v>7840</v>
      </c>
      <c r="F89" s="4" t="s">
        <v>7842</v>
      </c>
      <c r="H89" s="4" t="s">
        <v>7844</v>
      </c>
      <c r="I89" s="4" t="s">
        <v>7846</v>
      </c>
      <c r="K89" s="4" t="s">
        <v>7848</v>
      </c>
      <c r="L89" s="4" t="s">
        <v>7849</v>
      </c>
      <c r="N89" s="4" t="s">
        <v>7851</v>
      </c>
      <c r="O89" s="4" t="s">
        <v>7852</v>
      </c>
    </row>
    <row r="90" spans="1:16" ht="13">
      <c r="A90" s="4" t="s">
        <v>7855</v>
      </c>
      <c r="B90" s="4" t="s">
        <v>7856</v>
      </c>
      <c r="C90" s="4" t="s">
        <v>7858</v>
      </c>
      <c r="E90" s="4" t="s">
        <v>7859</v>
      </c>
      <c r="F90" s="4" t="s">
        <v>7862</v>
      </c>
      <c r="H90" s="4" t="e">
        <v>#N/A</v>
      </c>
      <c r="K90" s="4" t="s">
        <v>7865</v>
      </c>
      <c r="L90" s="4" t="s">
        <v>7866</v>
      </c>
      <c r="N90" s="4" t="s">
        <v>7868</v>
      </c>
      <c r="O90" s="4" t="s">
        <v>7869</v>
      </c>
    </row>
    <row r="91" spans="1:16" ht="13">
      <c r="A91" s="4" t="s">
        <v>7871</v>
      </c>
      <c r="B91" s="4" t="e">
        <v>#N/A</v>
      </c>
      <c r="E91" s="4" t="s">
        <v>7874</v>
      </c>
      <c r="F91" s="4" t="s">
        <v>7876</v>
      </c>
      <c r="H91" s="4" t="s">
        <v>7877</v>
      </c>
      <c r="I91" s="4" t="s">
        <v>7880</v>
      </c>
      <c r="K91" s="4" t="s">
        <v>7881</v>
      </c>
      <c r="L91" s="4" t="s">
        <v>7883</v>
      </c>
      <c r="N91" s="4" t="s">
        <v>7885</v>
      </c>
      <c r="O91" s="4" t="s">
        <v>7886</v>
      </c>
    </row>
    <row r="92" spans="1:16" ht="13">
      <c r="A92" s="4" t="s">
        <v>7888</v>
      </c>
      <c r="B92" s="4" t="e">
        <v>#N/A</v>
      </c>
      <c r="E92" s="4" t="e">
        <v>#N/A</v>
      </c>
      <c r="H92" s="4" t="s">
        <v>7892</v>
      </c>
      <c r="I92" s="4" t="s">
        <v>7894</v>
      </c>
      <c r="K92" s="4" t="e">
        <v>#N/A</v>
      </c>
      <c r="N92" s="4" t="s">
        <v>7897</v>
      </c>
      <c r="O92" s="4" t="s">
        <v>7899</v>
      </c>
    </row>
    <row r="93" spans="1:16" ht="13">
      <c r="A93" s="4" t="s">
        <v>7901</v>
      </c>
      <c r="B93" s="4" t="s">
        <v>7903</v>
      </c>
      <c r="C93" s="4" t="s">
        <v>7905</v>
      </c>
      <c r="E93" s="4" t="s">
        <v>7907</v>
      </c>
      <c r="F93" s="4" t="s">
        <v>7911</v>
      </c>
      <c r="H93" s="4" t="e">
        <v>#N/A</v>
      </c>
      <c r="K93" s="4" t="s">
        <v>7913</v>
      </c>
      <c r="L93" s="4" t="s">
        <v>7915</v>
      </c>
      <c r="N93" s="4" t="s">
        <v>7917</v>
      </c>
      <c r="O93" s="4" t="s">
        <v>7918</v>
      </c>
    </row>
    <row r="94" spans="1:16" ht="13">
      <c r="A94" s="4" t="s">
        <v>7920</v>
      </c>
      <c r="B94" s="4" t="e">
        <v>#N/A</v>
      </c>
      <c r="E94" s="4" t="e">
        <v>#N/A</v>
      </c>
      <c r="H94" s="4" t="s">
        <v>7924</v>
      </c>
      <c r="I94" s="4" t="s">
        <v>7926</v>
      </c>
      <c r="K94" s="4" t="s">
        <v>7928</v>
      </c>
      <c r="L94" s="4" t="s">
        <v>135</v>
      </c>
      <c r="M94" s="4" t="s">
        <v>7930</v>
      </c>
      <c r="N94" s="4" t="s">
        <v>7932</v>
      </c>
      <c r="O94" s="4" t="s">
        <v>7933</v>
      </c>
    </row>
    <row r="95" spans="1:16" ht="13">
      <c r="A95" s="4" t="s">
        <v>7934</v>
      </c>
      <c r="B95" s="4" t="e">
        <v>#N/A</v>
      </c>
      <c r="E95" s="4" t="s">
        <v>7937</v>
      </c>
      <c r="F95" s="4" t="s">
        <v>7938</v>
      </c>
      <c r="H95" s="4" t="s">
        <v>7940</v>
      </c>
      <c r="I95" s="4" t="s">
        <v>7941</v>
      </c>
      <c r="K95" s="4" t="s">
        <v>7943</v>
      </c>
      <c r="L95" s="4" t="s">
        <v>7945</v>
      </c>
      <c r="N95" s="4" t="s">
        <v>7947</v>
      </c>
      <c r="O95" s="4" t="s">
        <v>135</v>
      </c>
      <c r="P95" s="4" t="s">
        <v>7950</v>
      </c>
    </row>
    <row r="96" spans="1:16" ht="13">
      <c r="A96" s="4" t="s">
        <v>7951</v>
      </c>
      <c r="B96" s="4" t="s">
        <v>7953</v>
      </c>
      <c r="C96" s="4" t="s">
        <v>7955</v>
      </c>
      <c r="E96" s="4" t="s">
        <v>7957</v>
      </c>
      <c r="F96" s="4" t="s">
        <v>7959</v>
      </c>
      <c r="H96" s="4" t="s">
        <v>7961</v>
      </c>
      <c r="I96" s="4" t="s">
        <v>7963</v>
      </c>
      <c r="K96" s="4" t="s">
        <v>7965</v>
      </c>
      <c r="L96" s="4" t="s">
        <v>7966</v>
      </c>
      <c r="N96" s="4" t="s">
        <v>7968</v>
      </c>
      <c r="O96" s="4" t="s">
        <v>7969</v>
      </c>
    </row>
    <row r="97" spans="1:15" ht="13">
      <c r="A97" s="4" t="s">
        <v>7970</v>
      </c>
      <c r="B97" s="4" t="s">
        <v>7972</v>
      </c>
      <c r="C97" s="4" t="s">
        <v>7974</v>
      </c>
      <c r="E97" s="4" t="s">
        <v>7976</v>
      </c>
      <c r="F97" s="4" t="s">
        <v>7980</v>
      </c>
      <c r="H97" s="4" t="s">
        <v>7982</v>
      </c>
      <c r="I97" s="4" t="s">
        <v>7983</v>
      </c>
      <c r="K97" s="4" t="e">
        <v>#N/A</v>
      </c>
      <c r="N97" s="4" t="s">
        <v>7987</v>
      </c>
      <c r="O97" s="4" t="s">
        <v>7989</v>
      </c>
    </row>
    <row r="98" spans="1:15" ht="13">
      <c r="A98" s="4" t="s">
        <v>7991</v>
      </c>
      <c r="B98" s="4" t="s">
        <v>7993</v>
      </c>
      <c r="C98" s="4" t="s">
        <v>7995</v>
      </c>
      <c r="E98" s="4" t="s">
        <v>7996</v>
      </c>
      <c r="F98" s="4" t="s">
        <v>7998</v>
      </c>
      <c r="H98" s="4" t="s">
        <v>8000</v>
      </c>
      <c r="I98" s="4" t="s">
        <v>8002</v>
      </c>
      <c r="K98" s="4" t="s">
        <v>8003</v>
      </c>
      <c r="L98" s="4" t="s">
        <v>8005</v>
      </c>
      <c r="N98" s="4" t="s">
        <v>8007</v>
      </c>
      <c r="O98" s="4" t="s">
        <v>8009</v>
      </c>
    </row>
    <row r="99" spans="1:15" ht="13">
      <c r="A99" s="4" t="s">
        <v>8012</v>
      </c>
      <c r="B99" s="4" t="s">
        <v>8014</v>
      </c>
      <c r="C99" s="4" t="s">
        <v>8016</v>
      </c>
      <c r="E99" s="4" t="s">
        <v>8018</v>
      </c>
      <c r="F99" s="4" t="s">
        <v>8020</v>
      </c>
      <c r="H99" s="4" t="s">
        <v>8021</v>
      </c>
      <c r="I99" s="4" t="s">
        <v>8023</v>
      </c>
      <c r="K99" s="4" t="s">
        <v>8025</v>
      </c>
      <c r="L99" s="4" t="s">
        <v>8026</v>
      </c>
      <c r="N99" s="4" t="s">
        <v>8028</v>
      </c>
      <c r="O99" s="4" t="s">
        <v>8029</v>
      </c>
    </row>
    <row r="100" spans="1:15" ht="13">
      <c r="A100" s="4" t="s">
        <v>8030</v>
      </c>
      <c r="B100" s="4" t="s">
        <v>8031</v>
      </c>
      <c r="C100" s="4" t="s">
        <v>8032</v>
      </c>
      <c r="E100" s="4" t="e">
        <v>#N/A</v>
      </c>
      <c r="H100" s="4" t="s">
        <v>8033</v>
      </c>
      <c r="I100" s="4" t="s">
        <v>8036</v>
      </c>
      <c r="K100" s="4" t="s">
        <v>8038</v>
      </c>
      <c r="L100" s="4" t="s">
        <v>8040</v>
      </c>
      <c r="N100" s="4" t="s">
        <v>8042</v>
      </c>
      <c r="O100" s="4" t="s">
        <v>8044</v>
      </c>
    </row>
    <row r="101" spans="1:15" ht="13">
      <c r="A101" s="4" t="s">
        <v>8046</v>
      </c>
      <c r="B101" s="4" t="s">
        <v>8048</v>
      </c>
      <c r="C101" s="4" t="s">
        <v>8050</v>
      </c>
      <c r="E101" s="4" t="e">
        <v>#N/A</v>
      </c>
      <c r="H101" s="4" t="e">
        <v>#N/A</v>
      </c>
      <c r="K101" s="4" t="e">
        <v>#N/A</v>
      </c>
      <c r="N101" s="4" t="s">
        <v>8054</v>
      </c>
      <c r="O101" s="4" t="s">
        <v>8056</v>
      </c>
    </row>
    <row r="102" spans="1:15" ht="13">
      <c r="A102" s="4" t="s">
        <v>8057</v>
      </c>
      <c r="B102" s="4" t="e">
        <v>#N/A</v>
      </c>
      <c r="E102" s="4" t="e">
        <v>#N/A</v>
      </c>
      <c r="H102" s="4" t="e">
        <v>#N/A</v>
      </c>
      <c r="K102" s="4" t="e">
        <v>#N/A</v>
      </c>
      <c r="N102" s="4" t="s">
        <v>8062</v>
      </c>
      <c r="O102" s="4" t="s">
        <v>8064</v>
      </c>
    </row>
    <row r="103" spans="1:15" ht="13">
      <c r="A103" s="4" t="s">
        <v>8066</v>
      </c>
      <c r="B103" s="4" t="e">
        <v>#N/A</v>
      </c>
      <c r="E103" s="4" t="e">
        <v>#N/A</v>
      </c>
      <c r="H103" s="4" t="s">
        <v>8070</v>
      </c>
      <c r="I103" s="4" t="s">
        <v>8073</v>
      </c>
      <c r="K103" s="4" t="s">
        <v>8075</v>
      </c>
      <c r="L103" s="4" t="s">
        <v>8076</v>
      </c>
      <c r="N103" s="4" t="s">
        <v>8078</v>
      </c>
      <c r="O103" s="4" t="s">
        <v>8080</v>
      </c>
    </row>
    <row r="104" spans="1:15" ht="13">
      <c r="A104" s="4" t="s">
        <v>8082</v>
      </c>
      <c r="B104" s="4" t="s">
        <v>8084</v>
      </c>
      <c r="C104" s="4" t="s">
        <v>8087</v>
      </c>
      <c r="E104" s="4" t="e">
        <v>#N/A</v>
      </c>
      <c r="H104" s="4" t="s">
        <v>8089</v>
      </c>
      <c r="I104" s="4" t="s">
        <v>8091</v>
      </c>
      <c r="K104" s="4" t="s">
        <v>8093</v>
      </c>
      <c r="L104" s="4" t="s">
        <v>8095</v>
      </c>
      <c r="N104" s="4" t="s">
        <v>8097</v>
      </c>
      <c r="O104" s="4" t="s">
        <v>8098</v>
      </c>
    </row>
    <row r="105" spans="1:15" ht="13">
      <c r="A105" s="4" t="s">
        <v>8101</v>
      </c>
      <c r="B105" s="4" t="s">
        <v>8102</v>
      </c>
      <c r="C105" s="4" t="s">
        <v>8104</v>
      </c>
      <c r="E105" s="4" t="s">
        <v>8106</v>
      </c>
      <c r="F105" s="4" t="s">
        <v>8108</v>
      </c>
      <c r="H105" s="4" t="s">
        <v>8110</v>
      </c>
      <c r="I105" s="4" t="s">
        <v>8112</v>
      </c>
      <c r="K105" s="4" t="e">
        <v>#N/A</v>
      </c>
      <c r="N105" s="4" t="s">
        <v>8115</v>
      </c>
      <c r="O105" s="4" t="s">
        <v>8116</v>
      </c>
    </row>
    <row r="106" spans="1:15" ht="13">
      <c r="A106" s="4" t="s">
        <v>8119</v>
      </c>
      <c r="B106" s="4" t="s">
        <v>8120</v>
      </c>
      <c r="C106" s="4" t="s">
        <v>8123</v>
      </c>
      <c r="E106" s="4" t="s">
        <v>8125</v>
      </c>
      <c r="F106" s="4" t="s">
        <v>8127</v>
      </c>
      <c r="H106" s="4" t="s">
        <v>8128</v>
      </c>
      <c r="I106" s="4" t="s">
        <v>8131</v>
      </c>
      <c r="K106" s="4" t="s">
        <v>8133</v>
      </c>
      <c r="L106" s="4" t="s">
        <v>8135</v>
      </c>
      <c r="N106" s="4" t="s">
        <v>8137</v>
      </c>
      <c r="O106" s="4" t="s">
        <v>8140</v>
      </c>
    </row>
    <row r="107" spans="1:15" ht="13">
      <c r="A107" s="4" t="s">
        <v>8141</v>
      </c>
      <c r="B107" s="4" t="s">
        <v>8143</v>
      </c>
      <c r="C107" s="4" t="s">
        <v>8144</v>
      </c>
      <c r="E107" s="4" t="e">
        <v>#N/A</v>
      </c>
      <c r="H107" s="4" t="s">
        <v>8147</v>
      </c>
      <c r="I107" s="4" t="s">
        <v>8151</v>
      </c>
      <c r="K107" s="4" t="s">
        <v>8152</v>
      </c>
      <c r="L107" s="4" t="s">
        <v>8154</v>
      </c>
      <c r="N107" s="4" t="e">
        <v>#N/A</v>
      </c>
    </row>
    <row r="108" spans="1:15" ht="13">
      <c r="A108" s="4" t="s">
        <v>8157</v>
      </c>
      <c r="B108" s="4" t="e">
        <v>#N/A</v>
      </c>
      <c r="E108" s="4" t="s">
        <v>8161</v>
      </c>
      <c r="F108" s="4" t="s">
        <v>8163</v>
      </c>
      <c r="H108" s="4" t="s">
        <v>8165</v>
      </c>
      <c r="I108" s="4" t="s">
        <v>8167</v>
      </c>
      <c r="K108" s="4" t="s">
        <v>8169</v>
      </c>
      <c r="L108" s="4" t="s">
        <v>8170</v>
      </c>
      <c r="N108" s="4" t="s">
        <v>8171</v>
      </c>
      <c r="O108" s="4" t="s">
        <v>8172</v>
      </c>
    </row>
    <row r="109" spans="1:15" ht="13">
      <c r="A109" s="4" t="s">
        <v>8175</v>
      </c>
      <c r="B109" s="4" t="s">
        <v>8176</v>
      </c>
      <c r="C109" s="4" t="s">
        <v>8178</v>
      </c>
      <c r="E109" s="4" t="s">
        <v>8180</v>
      </c>
      <c r="F109" s="4" t="s">
        <v>8182</v>
      </c>
      <c r="H109" s="4" t="s">
        <v>8184</v>
      </c>
      <c r="I109" s="4" t="s">
        <v>8187</v>
      </c>
      <c r="K109" s="4" t="s">
        <v>8189</v>
      </c>
      <c r="L109" s="4" t="s">
        <v>8191</v>
      </c>
      <c r="N109" s="4" t="s">
        <v>8193</v>
      </c>
      <c r="O109" s="4" t="s">
        <v>8195</v>
      </c>
    </row>
    <row r="110" spans="1:15" ht="13">
      <c r="A110" s="4" t="s">
        <v>8198</v>
      </c>
      <c r="B110" s="4" t="s">
        <v>8200</v>
      </c>
      <c r="C110" s="4" t="s">
        <v>8202</v>
      </c>
      <c r="E110" s="4" t="s">
        <v>8204</v>
      </c>
      <c r="F110" s="4" t="s">
        <v>8206</v>
      </c>
      <c r="H110" s="4" t="e">
        <v>#N/A</v>
      </c>
      <c r="K110" s="4" t="e">
        <v>#N/A</v>
      </c>
      <c r="N110" s="4" t="s">
        <v>8210</v>
      </c>
      <c r="O110" s="4" t="s">
        <v>8212</v>
      </c>
    </row>
    <row r="111" spans="1:15" ht="13">
      <c r="A111" s="4" t="s">
        <v>8214</v>
      </c>
      <c r="B111" s="4" t="s">
        <v>8216</v>
      </c>
      <c r="C111" s="4" t="s">
        <v>8218</v>
      </c>
      <c r="E111" s="4" t="s">
        <v>8220</v>
      </c>
      <c r="F111" s="4" t="s">
        <v>8222</v>
      </c>
      <c r="H111" s="4" t="s">
        <v>8224</v>
      </c>
      <c r="I111" s="4" t="s">
        <v>8226</v>
      </c>
      <c r="K111" s="4" t="s">
        <v>8227</v>
      </c>
      <c r="L111" s="4" t="s">
        <v>8229</v>
      </c>
      <c r="N111" s="4" t="e">
        <v>#N/A</v>
      </c>
    </row>
    <row r="112" spans="1:15" ht="13">
      <c r="A112" s="4" t="s">
        <v>8232</v>
      </c>
      <c r="B112" s="4" t="e">
        <v>#N/A</v>
      </c>
      <c r="E112" s="4" t="e">
        <v>#N/A</v>
      </c>
      <c r="H112" s="4" t="s">
        <v>8235</v>
      </c>
      <c r="I112" s="4" t="s">
        <v>8237</v>
      </c>
      <c r="K112" s="4" t="s">
        <v>8238</v>
      </c>
      <c r="L112" s="4" t="s">
        <v>8240</v>
      </c>
      <c r="N112" s="4" t="s">
        <v>8242</v>
      </c>
      <c r="O112" s="4" t="s">
        <v>8244</v>
      </c>
    </row>
    <row r="113" spans="1:15" ht="13">
      <c r="A113" s="4" t="s">
        <v>8245</v>
      </c>
      <c r="B113" s="4" t="s">
        <v>8246</v>
      </c>
      <c r="C113" s="4" t="s">
        <v>8248</v>
      </c>
      <c r="E113" s="4" t="s">
        <v>8250</v>
      </c>
      <c r="F113" s="4" t="s">
        <v>8252</v>
      </c>
      <c r="H113" s="4" t="e">
        <v>#N/A</v>
      </c>
      <c r="K113" s="4" t="s">
        <v>8254</v>
      </c>
      <c r="L113" s="4" t="s">
        <v>8256</v>
      </c>
      <c r="N113" s="4" t="s">
        <v>8258</v>
      </c>
      <c r="O113" s="4" t="s">
        <v>8260</v>
      </c>
    </row>
    <row r="114" spans="1:15" ht="13">
      <c r="A114" s="4" t="s">
        <v>8262</v>
      </c>
      <c r="B114" s="4" t="s">
        <v>8263</v>
      </c>
      <c r="C114" s="4" t="s">
        <v>8265</v>
      </c>
      <c r="E114" s="4" t="s">
        <v>8266</v>
      </c>
      <c r="F114" s="4" t="s">
        <v>8268</v>
      </c>
      <c r="H114" s="4" t="e">
        <v>#N/A</v>
      </c>
      <c r="K114" s="4" t="s">
        <v>8271</v>
      </c>
      <c r="L114" s="4" t="s">
        <v>8272</v>
      </c>
      <c r="N114" s="4" t="s">
        <v>8273</v>
      </c>
      <c r="O114" s="4" t="s">
        <v>8275</v>
      </c>
    </row>
    <row r="115" spans="1:15" ht="13">
      <c r="A115" s="4" t="s">
        <v>8277</v>
      </c>
      <c r="B115" s="4" t="s">
        <v>8278</v>
      </c>
      <c r="C115" s="4" t="s">
        <v>8280</v>
      </c>
      <c r="E115" s="4" t="e">
        <v>#N/A</v>
      </c>
      <c r="H115" s="4" t="s">
        <v>8284</v>
      </c>
      <c r="I115" s="4" t="s">
        <v>8286</v>
      </c>
      <c r="K115" s="4" t="s">
        <v>8288</v>
      </c>
      <c r="L115" s="4" t="s">
        <v>8289</v>
      </c>
      <c r="N115" s="4" t="e">
        <v>#N/A</v>
      </c>
    </row>
    <row r="116" spans="1:15" ht="13">
      <c r="A116" s="4" t="s">
        <v>8292</v>
      </c>
      <c r="B116" s="4" t="s">
        <v>8294</v>
      </c>
      <c r="C116" s="4" t="s">
        <v>8297</v>
      </c>
      <c r="E116" s="4" t="s">
        <v>8298</v>
      </c>
      <c r="F116" s="4" t="s">
        <v>8299</v>
      </c>
      <c r="H116" s="4" t="s">
        <v>8301</v>
      </c>
      <c r="I116" s="4" t="s">
        <v>8303</v>
      </c>
      <c r="K116" s="4" t="s">
        <v>8305</v>
      </c>
      <c r="L116" s="4" t="s">
        <v>8307</v>
      </c>
      <c r="N116" s="4" t="s">
        <v>8309</v>
      </c>
      <c r="O116" s="4" t="s">
        <v>8312</v>
      </c>
    </row>
    <row r="117" spans="1:15" ht="13">
      <c r="A117" s="4" t="s">
        <v>8314</v>
      </c>
      <c r="B117" s="4" t="s">
        <v>8315</v>
      </c>
      <c r="C117" s="4" t="s">
        <v>8318</v>
      </c>
      <c r="E117" s="4" t="e">
        <v>#N/A</v>
      </c>
      <c r="H117" s="4" t="s">
        <v>8320</v>
      </c>
      <c r="I117" s="4" t="s">
        <v>8322</v>
      </c>
      <c r="K117" s="4" t="e">
        <v>#N/A</v>
      </c>
      <c r="N117" s="4" t="s">
        <v>8324</v>
      </c>
      <c r="O117" s="4" t="s">
        <v>8326</v>
      </c>
    </row>
    <row r="118" spans="1:15" ht="13">
      <c r="A118" s="4" t="s">
        <v>8327</v>
      </c>
      <c r="B118" s="4" t="s">
        <v>8329</v>
      </c>
      <c r="C118" s="4" t="s">
        <v>8330</v>
      </c>
      <c r="E118" s="4" t="s">
        <v>8332</v>
      </c>
      <c r="F118" s="4" t="s">
        <v>8334</v>
      </c>
      <c r="H118" s="4" t="s">
        <v>8336</v>
      </c>
      <c r="I118" s="4" t="s">
        <v>8338</v>
      </c>
      <c r="K118" s="4" t="s">
        <v>8340</v>
      </c>
      <c r="L118" s="4" t="s">
        <v>8341</v>
      </c>
      <c r="N118" s="4" t="s">
        <v>8343</v>
      </c>
      <c r="O118" s="4" t="s">
        <v>8344</v>
      </c>
    </row>
    <row r="119" spans="1:15" ht="13">
      <c r="A119" s="4" t="s">
        <v>8346</v>
      </c>
      <c r="B119" s="4" t="s">
        <v>8347</v>
      </c>
      <c r="C119" s="4" t="s">
        <v>8349</v>
      </c>
      <c r="E119" s="4" t="e">
        <v>#N/A</v>
      </c>
      <c r="H119" s="4" t="s">
        <v>8352</v>
      </c>
      <c r="I119" s="4" t="s">
        <v>8354</v>
      </c>
      <c r="K119" s="4" t="s">
        <v>8355</v>
      </c>
      <c r="L119" s="4" t="s">
        <v>8357</v>
      </c>
      <c r="N119" s="4" t="s">
        <v>8359</v>
      </c>
      <c r="O119" s="4" t="s">
        <v>8361</v>
      </c>
    </row>
    <row r="120" spans="1:15" ht="13">
      <c r="A120" s="4" t="s">
        <v>8364</v>
      </c>
      <c r="B120" s="4" t="s">
        <v>8366</v>
      </c>
      <c r="C120" s="4" t="s">
        <v>8367</v>
      </c>
      <c r="E120" s="4" t="e">
        <v>#N/A</v>
      </c>
      <c r="H120" s="4" t="s">
        <v>8370</v>
      </c>
      <c r="I120" s="4" t="s">
        <v>8372</v>
      </c>
      <c r="K120" s="4" t="s">
        <v>8374</v>
      </c>
      <c r="L120" s="4" t="s">
        <v>8375</v>
      </c>
      <c r="N120" s="4"/>
    </row>
    <row r="121" spans="1:15" ht="13">
      <c r="A121" s="4" t="s">
        <v>8379</v>
      </c>
      <c r="B121" s="4" t="s">
        <v>8380</v>
      </c>
      <c r="C121" s="4" t="s">
        <v>8382</v>
      </c>
      <c r="E121" s="4" t="s">
        <v>8384</v>
      </c>
      <c r="F121" s="4" t="s">
        <v>8386</v>
      </c>
      <c r="H121" s="4" t="s">
        <v>8388</v>
      </c>
      <c r="I121" s="4" t="s">
        <v>8390</v>
      </c>
      <c r="K121" s="4" t="s">
        <v>8393</v>
      </c>
      <c r="L121" s="4" t="s">
        <v>8395</v>
      </c>
      <c r="N121" s="4" t="s">
        <v>8397</v>
      </c>
      <c r="O121" s="4" t="s">
        <v>8400</v>
      </c>
    </row>
    <row r="122" spans="1:15" ht="13">
      <c r="A122" s="4" t="s">
        <v>8403</v>
      </c>
      <c r="B122" s="4" t="e">
        <v>#N/A</v>
      </c>
      <c r="E122" s="4" t="s">
        <v>8405</v>
      </c>
      <c r="F122" s="4" t="s">
        <v>8407</v>
      </c>
      <c r="H122" s="4" t="s">
        <v>8409</v>
      </c>
      <c r="I122" s="4" t="s">
        <v>8411</v>
      </c>
      <c r="K122" s="4" t="s">
        <v>8413</v>
      </c>
      <c r="L122" s="4" t="s">
        <v>8415</v>
      </c>
      <c r="N122" s="4" t="s">
        <v>8417</v>
      </c>
      <c r="O122" s="4" t="s">
        <v>8418</v>
      </c>
    </row>
    <row r="123" spans="1:15" ht="13">
      <c r="A123" s="4" t="s">
        <v>8420</v>
      </c>
      <c r="B123" s="4" t="s">
        <v>8422</v>
      </c>
      <c r="C123" s="4" t="s">
        <v>8423</v>
      </c>
      <c r="E123" s="4" t="s">
        <v>8425</v>
      </c>
      <c r="F123" s="4" t="s">
        <v>8427</v>
      </c>
      <c r="H123" s="4" t="e">
        <v>#N/A</v>
      </c>
      <c r="K123" s="4" t="e">
        <v>#N/A</v>
      </c>
      <c r="N123" s="4" t="s">
        <v>8431</v>
      </c>
      <c r="O123" s="4" t="s">
        <v>8433</v>
      </c>
    </row>
    <row r="124" spans="1:15" ht="13">
      <c r="A124" s="4" t="s">
        <v>8436</v>
      </c>
      <c r="B124" s="4" t="s">
        <v>8438</v>
      </c>
      <c r="C124" s="4" t="s">
        <v>8440</v>
      </c>
      <c r="E124" s="4" t="s">
        <v>8442</v>
      </c>
      <c r="F124" s="4" t="s">
        <v>8444</v>
      </c>
      <c r="H124" s="4" t="e">
        <v>#N/A</v>
      </c>
      <c r="K124" s="4" t="e">
        <v>#N/A</v>
      </c>
      <c r="N124" s="4" t="e">
        <v>#N/A</v>
      </c>
    </row>
    <row r="125" spans="1:15" ht="13">
      <c r="A125" s="4" t="s">
        <v>8447</v>
      </c>
      <c r="B125" s="4" t="s">
        <v>8448</v>
      </c>
      <c r="C125" s="4" t="s">
        <v>8450</v>
      </c>
      <c r="E125" s="4" t="s">
        <v>8452</v>
      </c>
      <c r="F125" s="4" t="s">
        <v>8453</v>
      </c>
      <c r="H125" s="4" t="s">
        <v>8455</v>
      </c>
      <c r="I125" s="4" t="s">
        <v>8457</v>
      </c>
      <c r="K125" s="4" t="s">
        <v>8460</v>
      </c>
      <c r="L125" s="4" t="s">
        <v>8462</v>
      </c>
      <c r="N125" s="4" t="s">
        <v>8463</v>
      </c>
      <c r="O125" s="4" t="s">
        <v>8464</v>
      </c>
    </row>
    <row r="126" spans="1:15" ht="13">
      <c r="A126" s="4" t="s">
        <v>8466</v>
      </c>
      <c r="B126" s="4" t="s">
        <v>8468</v>
      </c>
      <c r="C126" s="4" t="s">
        <v>8469</v>
      </c>
      <c r="E126" s="4" t="s">
        <v>8471</v>
      </c>
      <c r="F126" s="4" t="s">
        <v>8473</v>
      </c>
      <c r="H126" s="4" t="e">
        <v>#N/A</v>
      </c>
      <c r="K126" s="4" t="s">
        <v>8476</v>
      </c>
      <c r="L126" s="4" t="s">
        <v>8477</v>
      </c>
      <c r="N126" s="4" t="s">
        <v>8479</v>
      </c>
      <c r="O126" s="4" t="s">
        <v>8481</v>
      </c>
    </row>
    <row r="127" spans="1:15" ht="13">
      <c r="A127" s="4" t="s">
        <v>8483</v>
      </c>
      <c r="B127" s="4" t="s">
        <v>8485</v>
      </c>
      <c r="C127" s="4" t="s">
        <v>8488</v>
      </c>
      <c r="E127" s="4" t="s">
        <v>8489</v>
      </c>
      <c r="F127" s="4" t="s">
        <v>8491</v>
      </c>
      <c r="H127" s="4" t="s">
        <v>8493</v>
      </c>
      <c r="I127" s="4" t="s">
        <v>8495</v>
      </c>
      <c r="K127" s="4" t="s">
        <v>8499</v>
      </c>
      <c r="L127" s="4" t="s">
        <v>8501</v>
      </c>
      <c r="N127" s="4" t="s">
        <v>8503</v>
      </c>
      <c r="O127" s="4" t="s">
        <v>8504</v>
      </c>
    </row>
    <row r="128" spans="1:15" ht="13">
      <c r="A128" s="4" t="s">
        <v>8506</v>
      </c>
      <c r="B128" s="4" t="s">
        <v>8508</v>
      </c>
      <c r="C128" s="4" t="s">
        <v>8510</v>
      </c>
      <c r="E128" s="4" t="s">
        <v>8512</v>
      </c>
      <c r="F128" s="4" t="s">
        <v>8514</v>
      </c>
      <c r="H128" s="4" t="s">
        <v>8515</v>
      </c>
      <c r="I128" s="4" t="s">
        <v>8518</v>
      </c>
      <c r="K128" s="4" t="e">
        <v>#N/A</v>
      </c>
      <c r="N128" s="4" t="s">
        <v>8520</v>
      </c>
      <c r="O128" s="4" t="s">
        <v>8521</v>
      </c>
    </row>
    <row r="129" spans="1:15" ht="13">
      <c r="A129" s="4" t="s">
        <v>8524</v>
      </c>
      <c r="B129" s="4" t="s">
        <v>8526</v>
      </c>
      <c r="C129" s="4" t="s">
        <v>8527</v>
      </c>
      <c r="E129" s="4" t="e">
        <v>#N/A</v>
      </c>
      <c r="H129" s="4" t="s">
        <v>8530</v>
      </c>
      <c r="I129" s="4" t="s">
        <v>8532</v>
      </c>
      <c r="K129" s="4" t="s">
        <v>8534</v>
      </c>
      <c r="L129" s="4" t="s">
        <v>8536</v>
      </c>
      <c r="N129" s="4" t="s">
        <v>8537</v>
      </c>
      <c r="O129" s="4" t="s">
        <v>8539</v>
      </c>
    </row>
    <row r="130" spans="1:15" ht="13">
      <c r="A130" s="4" t="s">
        <v>8541</v>
      </c>
      <c r="B130" s="4" t="e">
        <v>#N/A</v>
      </c>
      <c r="E130" s="4" t="s">
        <v>8544</v>
      </c>
      <c r="F130" s="4" t="s">
        <v>8546</v>
      </c>
      <c r="H130" s="4" t="s">
        <v>8548</v>
      </c>
      <c r="I130" s="4" t="s">
        <v>8549</v>
      </c>
      <c r="K130" s="4" t="s">
        <v>8550</v>
      </c>
      <c r="L130" s="4" t="s">
        <v>8552</v>
      </c>
      <c r="N130" s="4" t="s">
        <v>8553</v>
      </c>
      <c r="O130" s="4" t="s">
        <v>8556</v>
      </c>
    </row>
    <row r="131" spans="1:15" ht="13">
      <c r="A131" s="4" t="s">
        <v>8558</v>
      </c>
      <c r="B131" s="4" t="e">
        <v>#N/A</v>
      </c>
      <c r="E131" s="4" t="e">
        <v>#N/A</v>
      </c>
      <c r="H131" s="4" t="s">
        <v>8561</v>
      </c>
      <c r="I131" s="4" t="s">
        <v>8563</v>
      </c>
      <c r="K131" s="4" t="e">
        <v>#N/A</v>
      </c>
      <c r="N131" s="4" t="s">
        <v>8566</v>
      </c>
      <c r="O131" s="4" t="s">
        <v>8567</v>
      </c>
    </row>
    <row r="132" spans="1:15" ht="13">
      <c r="A132" s="4" t="s">
        <v>8569</v>
      </c>
      <c r="B132" s="4" t="s">
        <v>8570</v>
      </c>
      <c r="C132" s="4" t="s">
        <v>8571</v>
      </c>
      <c r="E132" s="4" t="e">
        <v>#N/A</v>
      </c>
      <c r="H132" s="4" t="s">
        <v>8573</v>
      </c>
      <c r="I132" s="4" t="s">
        <v>8575</v>
      </c>
      <c r="K132" s="4" t="s">
        <v>8577</v>
      </c>
      <c r="L132" s="4" t="s">
        <v>8579</v>
      </c>
      <c r="N132" s="4" t="s">
        <v>8580</v>
      </c>
      <c r="O132" s="4" t="s">
        <v>8583</v>
      </c>
    </row>
    <row r="133" spans="1:15" ht="13">
      <c r="A133" s="4" t="s">
        <v>8584</v>
      </c>
      <c r="B133" s="4" t="s">
        <v>8586</v>
      </c>
      <c r="C133" s="4" t="s">
        <v>8588</v>
      </c>
      <c r="E133" s="4" t="e">
        <v>#N/A</v>
      </c>
      <c r="H133" s="4" t="s">
        <v>8590</v>
      </c>
      <c r="I133" s="4" t="s">
        <v>8592</v>
      </c>
      <c r="K133" s="4" t="s">
        <v>8594</v>
      </c>
      <c r="L133" s="4" t="s">
        <v>8596</v>
      </c>
      <c r="N133" s="4" t="s">
        <v>8597</v>
      </c>
      <c r="O133" s="4" t="s">
        <v>8598</v>
      </c>
    </row>
    <row r="134" spans="1:15" ht="13">
      <c r="A134" s="4" t="s">
        <v>8599</v>
      </c>
      <c r="B134" s="4" t="s">
        <v>8601</v>
      </c>
      <c r="C134" s="4" t="s">
        <v>8603</v>
      </c>
      <c r="E134" s="4" t="s">
        <v>8605</v>
      </c>
      <c r="F134" s="4" t="s">
        <v>8607</v>
      </c>
      <c r="H134" s="4" t="e">
        <v>#N/A</v>
      </c>
      <c r="K134" s="4" t="s">
        <v>8609</v>
      </c>
      <c r="L134" s="4" t="s">
        <v>8611</v>
      </c>
      <c r="N134" s="4" t="s">
        <v>8612</v>
      </c>
      <c r="O134" s="4" t="s">
        <v>8614</v>
      </c>
    </row>
    <row r="135" spans="1:15" ht="13">
      <c r="A135" s="4" t="s">
        <v>8617</v>
      </c>
      <c r="B135" s="4" t="s">
        <v>8619</v>
      </c>
      <c r="C135" s="4" t="s">
        <v>8621</v>
      </c>
      <c r="E135" s="4" t="s">
        <v>8623</v>
      </c>
      <c r="F135" s="4" t="s">
        <v>8624</v>
      </c>
      <c r="H135" s="4" t="s">
        <v>8626</v>
      </c>
      <c r="I135" s="4" t="s">
        <v>8628</v>
      </c>
      <c r="K135" s="4" t="s">
        <v>8629</v>
      </c>
      <c r="L135" s="4" t="s">
        <v>8631</v>
      </c>
      <c r="N135" s="4" t="s">
        <v>8633</v>
      </c>
      <c r="O135" s="4" t="s">
        <v>8635</v>
      </c>
    </row>
    <row r="136" spans="1:15" ht="13">
      <c r="A136" s="4" t="s">
        <v>8636</v>
      </c>
      <c r="B136" s="4" t="s">
        <v>8638</v>
      </c>
      <c r="C136" s="4" t="s">
        <v>8640</v>
      </c>
      <c r="E136" s="4" t="s">
        <v>8643</v>
      </c>
      <c r="F136" s="4" t="s">
        <v>8646</v>
      </c>
      <c r="H136" s="4" t="s">
        <v>8648</v>
      </c>
      <c r="I136" s="4" t="s">
        <v>8650</v>
      </c>
      <c r="K136" s="4" t="s">
        <v>8651</v>
      </c>
      <c r="L136" s="4" t="s">
        <v>8652</v>
      </c>
      <c r="N136" s="4" t="e">
        <v>#N/A</v>
      </c>
    </row>
    <row r="137" spans="1:15" ht="13">
      <c r="A137" s="4" t="s">
        <v>8656</v>
      </c>
      <c r="B137" s="4" t="e">
        <v>#N/A</v>
      </c>
      <c r="E137" s="4" t="s">
        <v>8659</v>
      </c>
      <c r="F137" s="4" t="s">
        <v>8660</v>
      </c>
      <c r="H137" s="4" t="s">
        <v>8662</v>
      </c>
      <c r="I137" s="4" t="s">
        <v>8664</v>
      </c>
      <c r="K137" s="4" t="e">
        <v>#N/A</v>
      </c>
      <c r="N137" s="4" t="s">
        <v>8667</v>
      </c>
      <c r="O137" s="4" t="s">
        <v>8668</v>
      </c>
    </row>
    <row r="138" spans="1:15" ht="13">
      <c r="A138" s="4" t="s">
        <v>8671</v>
      </c>
      <c r="B138" s="4" t="e">
        <v>#N/A</v>
      </c>
      <c r="E138" s="4" t="e">
        <v>#N/A</v>
      </c>
      <c r="H138" s="4" t="s">
        <v>8675</v>
      </c>
      <c r="I138" s="4" t="s">
        <v>8676</v>
      </c>
      <c r="K138" s="4" t="s">
        <v>8678</v>
      </c>
      <c r="L138" s="4" t="s">
        <v>8680</v>
      </c>
      <c r="N138" s="4" t="s">
        <v>8682</v>
      </c>
      <c r="O138" s="4" t="s">
        <v>8683</v>
      </c>
    </row>
    <row r="139" spans="1:15" ht="13">
      <c r="A139" s="4" t="s">
        <v>8685</v>
      </c>
      <c r="B139" s="4" t="s">
        <v>8687</v>
      </c>
      <c r="C139" s="4" t="s">
        <v>8689</v>
      </c>
      <c r="E139" s="4" t="e">
        <v>#N/A</v>
      </c>
      <c r="H139" s="4" t="s">
        <v>8692</v>
      </c>
      <c r="I139" s="4" t="s">
        <v>8693</v>
      </c>
      <c r="K139" s="4" t="s">
        <v>8695</v>
      </c>
      <c r="L139" s="4" t="s">
        <v>8697</v>
      </c>
      <c r="N139" s="4" t="s">
        <v>8699</v>
      </c>
      <c r="O139" s="4" t="s">
        <v>8702</v>
      </c>
    </row>
    <row r="140" spans="1:15" ht="13">
      <c r="A140" s="4" t="s">
        <v>8705</v>
      </c>
      <c r="B140" s="4" t="s">
        <v>8707</v>
      </c>
      <c r="C140" s="4" t="s">
        <v>8709</v>
      </c>
      <c r="E140" s="4" t="s">
        <v>8710</v>
      </c>
      <c r="F140" s="4" t="s">
        <v>8712</v>
      </c>
      <c r="H140" s="4" t="e">
        <v>#N/A</v>
      </c>
      <c r="K140" s="4" t="s">
        <v>8715</v>
      </c>
      <c r="L140" s="4" t="s">
        <v>8716</v>
      </c>
      <c r="N140" s="4" t="e">
        <v>#N/A</v>
      </c>
    </row>
    <row r="141" spans="1:15" ht="13">
      <c r="A141" s="4" t="s">
        <v>8720</v>
      </c>
      <c r="B141" s="4" t="s">
        <v>8722</v>
      </c>
      <c r="C141" s="4" t="s">
        <v>8725</v>
      </c>
      <c r="E141" s="4" t="e">
        <v>#N/A</v>
      </c>
      <c r="H141" s="4" t="s">
        <v>8728</v>
      </c>
      <c r="I141" s="4" t="s">
        <v>8730</v>
      </c>
      <c r="K141" s="4" t="s">
        <v>8731</v>
      </c>
      <c r="L141" s="4" t="s">
        <v>8734</v>
      </c>
      <c r="N141" s="4" t="s">
        <v>8735</v>
      </c>
      <c r="O141" s="4" t="s">
        <v>8737</v>
      </c>
    </row>
    <row r="142" spans="1:15" ht="13">
      <c r="A142" s="4" t="s">
        <v>8740</v>
      </c>
      <c r="B142" s="4" t="e">
        <v>#N/A</v>
      </c>
      <c r="E142" s="4" t="s">
        <v>8743</v>
      </c>
      <c r="F142" s="4" t="s">
        <v>8745</v>
      </c>
      <c r="H142" s="4" t="s">
        <v>8746</v>
      </c>
      <c r="I142" s="4" t="s">
        <v>8748</v>
      </c>
      <c r="K142" s="4" t="s">
        <v>8749</v>
      </c>
      <c r="L142" s="4" t="s">
        <v>8752</v>
      </c>
      <c r="N142" s="4" t="s">
        <v>8753</v>
      </c>
      <c r="O142" s="4" t="s">
        <v>8755</v>
      </c>
    </row>
    <row r="143" spans="1:15" ht="13">
      <c r="A143" s="4" t="s">
        <v>8758</v>
      </c>
      <c r="B143" s="4" t="s">
        <v>8760</v>
      </c>
      <c r="C143" s="4" t="s">
        <v>8762</v>
      </c>
      <c r="E143" s="4" t="s">
        <v>8764</v>
      </c>
      <c r="F143" s="4" t="s">
        <v>8766</v>
      </c>
      <c r="H143" s="4" t="s">
        <v>8767</v>
      </c>
      <c r="I143" s="4" t="s">
        <v>8770</v>
      </c>
      <c r="K143" s="4" t="e">
        <v>#N/A</v>
      </c>
      <c r="N143" s="4" t="s">
        <v>8772</v>
      </c>
      <c r="O143" s="4" t="s">
        <v>8774</v>
      </c>
    </row>
    <row r="144" spans="1:15" ht="13">
      <c r="A144" s="4" t="s">
        <v>8776</v>
      </c>
      <c r="B144" s="4" t="e">
        <v>#N/A</v>
      </c>
      <c r="E144" s="4" t="s">
        <v>8779</v>
      </c>
      <c r="F144" s="4" t="s">
        <v>8782</v>
      </c>
      <c r="H144" s="4" t="s">
        <v>8784</v>
      </c>
      <c r="I144" s="4" t="s">
        <v>8786</v>
      </c>
      <c r="K144" s="4" t="s">
        <v>8788</v>
      </c>
      <c r="L144" s="4" t="s">
        <v>8791</v>
      </c>
      <c r="N144" s="4" t="s">
        <v>8793</v>
      </c>
      <c r="O144" s="4" t="s">
        <v>8795</v>
      </c>
    </row>
    <row r="145" spans="1:16" ht="13">
      <c r="A145" s="4" t="s">
        <v>8797</v>
      </c>
      <c r="B145" s="4" t="e">
        <v>#N/A</v>
      </c>
      <c r="E145" s="4" t="s">
        <v>8798</v>
      </c>
      <c r="F145" s="4" t="s">
        <v>8800</v>
      </c>
      <c r="H145" s="4" t="s">
        <v>8802</v>
      </c>
      <c r="I145" s="4" t="s">
        <v>8803</v>
      </c>
      <c r="K145" s="4" t="s">
        <v>8804</v>
      </c>
      <c r="L145" s="4" t="s">
        <v>8806</v>
      </c>
      <c r="N145" s="4" t="s">
        <v>8808</v>
      </c>
      <c r="O145" s="4" t="s">
        <v>135</v>
      </c>
      <c r="P145" s="4" t="s">
        <v>8811</v>
      </c>
    </row>
    <row r="146" spans="1:16" ht="13">
      <c r="A146" s="4" t="s">
        <v>8814</v>
      </c>
      <c r="B146" s="4" t="s">
        <v>8816</v>
      </c>
      <c r="C146" s="4" t="s">
        <v>8818</v>
      </c>
      <c r="E146" s="4" t="s">
        <v>8819</v>
      </c>
      <c r="F146" s="4" t="s">
        <v>8821</v>
      </c>
      <c r="H146" s="4" t="e">
        <v>#N/A</v>
      </c>
      <c r="K146" s="4" t="e">
        <v>#N/A</v>
      </c>
      <c r="N146" s="4" t="s">
        <v>8822</v>
      </c>
      <c r="O146" s="4" t="s">
        <v>8824</v>
      </c>
    </row>
    <row r="147" spans="1:16" ht="13">
      <c r="A147" s="4" t="s">
        <v>8826</v>
      </c>
      <c r="B147" s="4" t="s">
        <v>8828</v>
      </c>
      <c r="C147" s="4" t="s">
        <v>8829</v>
      </c>
      <c r="E147" s="4" t="e">
        <v>#N/A</v>
      </c>
      <c r="H147" s="4" t="s">
        <v>8832</v>
      </c>
      <c r="I147" s="4" t="s">
        <v>8834</v>
      </c>
      <c r="K147" s="4" t="s">
        <v>8835</v>
      </c>
      <c r="L147" s="4" t="s">
        <v>8838</v>
      </c>
      <c r="N147" s="4" t="s">
        <v>8839</v>
      </c>
      <c r="O147" s="4" t="s">
        <v>8841</v>
      </c>
    </row>
    <row r="148" spans="1:16" ht="13">
      <c r="A148" s="4" t="s">
        <v>8843</v>
      </c>
      <c r="B148" s="4" t="e">
        <v>#N/A</v>
      </c>
      <c r="E148" s="4" t="s">
        <v>8846</v>
      </c>
      <c r="F148" s="4" t="s">
        <v>8848</v>
      </c>
      <c r="H148" s="4" t="e">
        <v>#N/A</v>
      </c>
      <c r="K148" s="4" t="s">
        <v>8851</v>
      </c>
      <c r="L148" s="4" t="s">
        <v>8853</v>
      </c>
      <c r="N148" s="4" t="s">
        <v>8854</v>
      </c>
      <c r="O148" s="4" t="s">
        <v>8855</v>
      </c>
    </row>
    <row r="149" spans="1:16" ht="13">
      <c r="A149" s="4" t="s">
        <v>8862</v>
      </c>
      <c r="B149" s="4" t="e">
        <v>#N/A</v>
      </c>
      <c r="E149" s="4" t="s">
        <v>8865</v>
      </c>
      <c r="F149" s="4" t="s">
        <v>8867</v>
      </c>
      <c r="H149" s="4" t="s">
        <v>8868</v>
      </c>
      <c r="I149" s="4" t="s">
        <v>8870</v>
      </c>
      <c r="K149" s="4" t="s">
        <v>8872</v>
      </c>
      <c r="L149" s="4" t="s">
        <v>8873</v>
      </c>
      <c r="N149" s="4" t="s">
        <v>8875</v>
      </c>
      <c r="O149" s="4" t="s">
        <v>8877</v>
      </c>
    </row>
    <row r="150" spans="1:16" ht="13">
      <c r="A150" s="4" t="s">
        <v>8879</v>
      </c>
      <c r="B150" s="4" t="s">
        <v>8881</v>
      </c>
      <c r="C150" s="4" t="s">
        <v>8882</v>
      </c>
      <c r="E150" s="4" t="e">
        <v>#N/A</v>
      </c>
      <c r="H150" s="4" t="e">
        <v>#N/A</v>
      </c>
      <c r="K150" s="4" t="s">
        <v>8885</v>
      </c>
      <c r="L150" s="4" t="s">
        <v>8886</v>
      </c>
      <c r="N150" s="4" t="s">
        <v>8888</v>
      </c>
      <c r="O150" s="4" t="s">
        <v>8890</v>
      </c>
    </row>
    <row r="151" spans="1:16" ht="13">
      <c r="A151" s="4" t="s">
        <v>8892</v>
      </c>
      <c r="B151" s="4" t="s">
        <v>8894</v>
      </c>
      <c r="C151" s="4" t="s">
        <v>8897</v>
      </c>
      <c r="E151" s="4" t="e">
        <v>#N/A</v>
      </c>
      <c r="H151" s="4" t="s">
        <v>8899</v>
      </c>
      <c r="I151" s="4" t="s">
        <v>8901</v>
      </c>
      <c r="K151" s="4" t="s">
        <v>8903</v>
      </c>
      <c r="L151" s="4" t="s">
        <v>8906</v>
      </c>
      <c r="N151" s="4" t="s">
        <v>8908</v>
      </c>
      <c r="O151" s="4" t="s">
        <v>8909</v>
      </c>
    </row>
    <row r="152" spans="1:16" ht="13">
      <c r="A152" s="4" t="s">
        <v>8911</v>
      </c>
      <c r="B152" s="4" t="s">
        <v>8913</v>
      </c>
      <c r="C152" s="4" t="s">
        <v>8916</v>
      </c>
      <c r="E152" s="4" t="s">
        <v>8917</v>
      </c>
      <c r="F152" s="4" t="s">
        <v>8919</v>
      </c>
      <c r="H152" s="4" t="s">
        <v>8920</v>
      </c>
      <c r="I152" s="4" t="s">
        <v>8921</v>
      </c>
      <c r="K152" s="4" t="e">
        <v>#N/A</v>
      </c>
      <c r="N152" s="4" t="e">
        <v>#N/A</v>
      </c>
    </row>
    <row r="153" spans="1:16" ht="13">
      <c r="A153" s="4" t="s">
        <v>8924</v>
      </c>
      <c r="B153" s="4" t="s">
        <v>8926</v>
      </c>
      <c r="C153" s="4" t="s">
        <v>8928</v>
      </c>
      <c r="E153" s="4" t="s">
        <v>8930</v>
      </c>
      <c r="F153" s="4" t="s">
        <v>8933</v>
      </c>
      <c r="H153" s="4" t="s">
        <v>8935</v>
      </c>
      <c r="I153" s="4" t="s">
        <v>8937</v>
      </c>
      <c r="K153" s="4" t="s">
        <v>8939</v>
      </c>
      <c r="L153" s="4" t="s">
        <v>8942</v>
      </c>
      <c r="N153" s="4" t="s">
        <v>8943</v>
      </c>
      <c r="O153" s="4" t="s">
        <v>8945</v>
      </c>
    </row>
    <row r="154" spans="1:16" ht="13">
      <c r="A154" s="4" t="s">
        <v>8947</v>
      </c>
      <c r="B154" s="4" t="s">
        <v>8949</v>
      </c>
      <c r="C154" s="4" t="s">
        <v>8951</v>
      </c>
      <c r="E154" s="4" t="s">
        <v>8952</v>
      </c>
      <c r="F154" s="4" t="s">
        <v>8955</v>
      </c>
      <c r="H154" s="4" t="s">
        <v>8957</v>
      </c>
      <c r="I154" s="4" t="s">
        <v>8959</v>
      </c>
      <c r="K154" s="4" t="s">
        <v>8961</v>
      </c>
      <c r="L154" s="4" t="s">
        <v>8962</v>
      </c>
      <c r="N154" s="4" t="s">
        <v>8963</v>
      </c>
      <c r="O154" s="4" t="s">
        <v>8967</v>
      </c>
    </row>
    <row r="155" spans="1:16" ht="13">
      <c r="A155" s="4" t="s">
        <v>8970</v>
      </c>
      <c r="B155" s="4" t="s">
        <v>8972</v>
      </c>
      <c r="C155" s="4" t="s">
        <v>8974</v>
      </c>
      <c r="E155" s="4" t="s">
        <v>8976</v>
      </c>
      <c r="F155" s="4" t="s">
        <v>8978</v>
      </c>
      <c r="H155" s="4" t="s">
        <v>8979</v>
      </c>
      <c r="I155" s="4" t="s">
        <v>8981</v>
      </c>
      <c r="K155" s="4" t="e">
        <v>#N/A</v>
      </c>
      <c r="N155" s="4" t="e">
        <v>#N/A</v>
      </c>
    </row>
    <row r="156" spans="1:16" ht="13">
      <c r="A156" s="4" t="s">
        <v>8986</v>
      </c>
      <c r="B156" s="4" t="s">
        <v>8987</v>
      </c>
      <c r="C156" s="4" t="s">
        <v>8989</v>
      </c>
      <c r="E156" s="4" t="s">
        <v>8991</v>
      </c>
      <c r="F156" s="4" t="s">
        <v>8992</v>
      </c>
      <c r="H156" s="4" t="s">
        <v>8994</v>
      </c>
      <c r="I156" s="4" t="s">
        <v>8996</v>
      </c>
      <c r="K156" s="4" t="s">
        <v>8998</v>
      </c>
      <c r="L156" s="4" t="s">
        <v>8999</v>
      </c>
      <c r="N156" s="4" t="s">
        <v>9001</v>
      </c>
      <c r="O156" s="4" t="s">
        <v>9003</v>
      </c>
    </row>
    <row r="157" spans="1:16" ht="13">
      <c r="A157" s="4" t="s">
        <v>9006</v>
      </c>
      <c r="B157" s="4" t="s">
        <v>9008</v>
      </c>
      <c r="C157" s="4" t="s">
        <v>9010</v>
      </c>
      <c r="E157" s="4" t="s">
        <v>9012</v>
      </c>
      <c r="F157" s="4" t="s">
        <v>9014</v>
      </c>
      <c r="H157" s="4" t="s">
        <v>9016</v>
      </c>
      <c r="I157" s="4" t="s">
        <v>9018</v>
      </c>
      <c r="K157" s="4" t="s">
        <v>9020</v>
      </c>
      <c r="L157" s="4" t="s">
        <v>9022</v>
      </c>
      <c r="N157" s="4" t="s">
        <v>9024</v>
      </c>
      <c r="O157" s="4" t="s">
        <v>9025</v>
      </c>
    </row>
    <row r="158" spans="1:16" ht="13">
      <c r="A158" s="4" t="s">
        <v>9028</v>
      </c>
      <c r="B158" s="4" t="e">
        <v>#N/A</v>
      </c>
      <c r="E158" s="4" t="s">
        <v>9030</v>
      </c>
      <c r="F158" s="4" t="s">
        <v>9032</v>
      </c>
      <c r="H158" s="4" t="s">
        <v>9034</v>
      </c>
      <c r="I158" s="4" t="s">
        <v>9036</v>
      </c>
      <c r="K158" s="4" t="s">
        <v>9037</v>
      </c>
      <c r="L158" s="4" t="s">
        <v>9039</v>
      </c>
      <c r="N158" s="4" t="s">
        <v>9040</v>
      </c>
      <c r="O158" s="4" t="s">
        <v>9042</v>
      </c>
    </row>
    <row r="159" spans="1:16" ht="13">
      <c r="A159" s="4" t="s">
        <v>9044</v>
      </c>
      <c r="B159" s="4" t="s">
        <v>9046</v>
      </c>
      <c r="C159" s="4" t="s">
        <v>9047</v>
      </c>
      <c r="E159" s="4" t="e">
        <v>#N/A</v>
      </c>
      <c r="H159" s="4" t="s">
        <v>9050</v>
      </c>
      <c r="I159" s="4" t="s">
        <v>9052</v>
      </c>
      <c r="K159" s="4" t="e">
        <v>#N/A</v>
      </c>
      <c r="N159" s="4" t="s">
        <v>9054</v>
      </c>
      <c r="O159" s="4" t="s">
        <v>9057</v>
      </c>
    </row>
    <row r="160" spans="1:16" ht="13">
      <c r="A160" s="4" t="s">
        <v>9060</v>
      </c>
      <c r="B160" s="4" t="e">
        <v>#N/A</v>
      </c>
      <c r="E160" s="4" t="s">
        <v>9062</v>
      </c>
      <c r="F160" s="4" t="s">
        <v>9063</v>
      </c>
      <c r="H160" s="4" t="s">
        <v>9065</v>
      </c>
      <c r="I160" s="4" t="s">
        <v>9067</v>
      </c>
      <c r="K160" s="4" t="s">
        <v>9068</v>
      </c>
      <c r="L160" s="4" t="s">
        <v>135</v>
      </c>
      <c r="M160" s="4" t="s">
        <v>9071</v>
      </c>
      <c r="N160" s="4" t="s">
        <v>9072</v>
      </c>
      <c r="O160" s="4" t="s">
        <v>9074</v>
      </c>
    </row>
    <row r="161" spans="1:15" ht="13">
      <c r="A161" s="4" t="s">
        <v>9077</v>
      </c>
      <c r="B161" s="4" t="s">
        <v>9078</v>
      </c>
      <c r="C161" s="4" t="s">
        <v>9080</v>
      </c>
      <c r="E161" s="4" t="s">
        <v>9082</v>
      </c>
      <c r="F161" s="4" t="s">
        <v>9084</v>
      </c>
      <c r="H161" s="4" t="s">
        <v>9085</v>
      </c>
      <c r="I161" s="4" t="s">
        <v>9087</v>
      </c>
      <c r="K161" s="4" t="s">
        <v>9088</v>
      </c>
      <c r="L161" s="4" t="s">
        <v>9090</v>
      </c>
      <c r="N161" s="4" t="s">
        <v>9092</v>
      </c>
      <c r="O161" s="4" t="s">
        <v>9094</v>
      </c>
    </row>
    <row r="162" spans="1:15" ht="13">
      <c r="A162" s="4" t="s">
        <v>9097</v>
      </c>
      <c r="B162" s="4" t="e">
        <v>#N/A</v>
      </c>
      <c r="E162" s="4" t="s">
        <v>9099</v>
      </c>
      <c r="F162" s="4" t="s">
        <v>9101</v>
      </c>
      <c r="H162" s="4" t="s">
        <v>9103</v>
      </c>
      <c r="I162" s="4" t="s">
        <v>9104</v>
      </c>
      <c r="K162" s="4" t="s">
        <v>9106</v>
      </c>
      <c r="L162" s="4" t="s">
        <v>9108</v>
      </c>
      <c r="N162" s="4" t="s">
        <v>9110</v>
      </c>
      <c r="O162" s="4" t="s">
        <v>9112</v>
      </c>
    </row>
    <row r="163" spans="1:15" ht="13">
      <c r="A163" s="4" t="s">
        <v>9114</v>
      </c>
      <c r="B163" s="4" t="s">
        <v>9115</v>
      </c>
      <c r="C163" s="4" t="s">
        <v>9120</v>
      </c>
      <c r="E163" s="4" t="s">
        <v>9122</v>
      </c>
      <c r="F163" s="4" t="s">
        <v>9123</v>
      </c>
      <c r="H163" s="4" t="e">
        <v>#N/A</v>
      </c>
      <c r="K163" s="4" t="s">
        <v>9126</v>
      </c>
      <c r="L163" s="4" t="s">
        <v>9128</v>
      </c>
      <c r="N163" s="4" t="e">
        <v>#N/A</v>
      </c>
    </row>
    <row r="164" spans="1:15" ht="13">
      <c r="A164" s="4" t="s">
        <v>9130</v>
      </c>
      <c r="B164" s="4" t="s">
        <v>9132</v>
      </c>
      <c r="C164" s="4" t="s">
        <v>9134</v>
      </c>
      <c r="E164" s="4" t="s">
        <v>9135</v>
      </c>
      <c r="F164" s="4" t="s">
        <v>9136</v>
      </c>
      <c r="H164" s="4" t="s">
        <v>9138</v>
      </c>
      <c r="I164" s="4" t="s">
        <v>9139</v>
      </c>
      <c r="K164" s="4" t="e">
        <v>#N/A</v>
      </c>
      <c r="N164" s="4" t="s">
        <v>9143</v>
      </c>
      <c r="O164" s="4" t="s">
        <v>9144</v>
      </c>
    </row>
    <row r="165" spans="1:15" ht="13">
      <c r="A165" s="4" t="s">
        <v>9147</v>
      </c>
      <c r="B165" s="4" t="s">
        <v>9149</v>
      </c>
      <c r="C165" s="4" t="s">
        <v>9151</v>
      </c>
      <c r="E165" s="4" t="e">
        <v>#N/A</v>
      </c>
      <c r="H165" s="4" t="e">
        <v>#N/A</v>
      </c>
      <c r="K165" s="4" t="s">
        <v>9153</v>
      </c>
      <c r="L165" s="4" t="s">
        <v>9156</v>
      </c>
      <c r="N165" s="4" t="s">
        <v>9157</v>
      </c>
      <c r="O165" s="4" t="s">
        <v>9158</v>
      </c>
    </row>
    <row r="166" spans="1:15" ht="13">
      <c r="A166" s="4" t="s">
        <v>9161</v>
      </c>
      <c r="B166" s="4" t="s">
        <v>9163</v>
      </c>
      <c r="C166" s="4" t="s">
        <v>9164</v>
      </c>
      <c r="E166" s="4" t="e">
        <v>#N/A</v>
      </c>
      <c r="H166" s="4" t="s">
        <v>9167</v>
      </c>
      <c r="I166" s="4" t="s">
        <v>9169</v>
      </c>
      <c r="K166" s="4" t="s">
        <v>9171</v>
      </c>
      <c r="L166" s="4" t="s">
        <v>9172</v>
      </c>
      <c r="N166" s="4" t="s">
        <v>9174</v>
      </c>
      <c r="O166" s="4" t="s">
        <v>9176</v>
      </c>
    </row>
    <row r="167" spans="1:15" ht="13">
      <c r="A167" s="4" t="s">
        <v>9178</v>
      </c>
      <c r="B167" s="4" t="e">
        <v>#N/A</v>
      </c>
      <c r="E167" s="4" t="s">
        <v>9181</v>
      </c>
      <c r="F167" s="4" t="s">
        <v>9184</v>
      </c>
      <c r="H167" s="4" t="s">
        <v>9186</v>
      </c>
      <c r="I167" s="4" t="s">
        <v>9187</v>
      </c>
      <c r="K167" s="4" t="s">
        <v>9189</v>
      </c>
      <c r="L167" s="4" t="s">
        <v>9191</v>
      </c>
      <c r="N167" s="4" t="e">
        <v>#N/A</v>
      </c>
    </row>
    <row r="168" spans="1:15" ht="13">
      <c r="A168" s="4" t="s">
        <v>9194</v>
      </c>
      <c r="B168" s="4" t="s">
        <v>9196</v>
      </c>
      <c r="C168" s="4" t="s">
        <v>9198</v>
      </c>
      <c r="E168" s="4" t="e">
        <v>#N/A</v>
      </c>
      <c r="H168" s="4" t="s">
        <v>9201</v>
      </c>
      <c r="I168" s="4" t="s">
        <v>9202</v>
      </c>
      <c r="K168" s="4" t="e">
        <v>#N/A</v>
      </c>
      <c r="N168" s="4" t="s">
        <v>9205</v>
      </c>
      <c r="O168" s="4" t="s">
        <v>9207</v>
      </c>
    </row>
    <row r="169" spans="1:15" ht="13">
      <c r="A169" s="4" t="s">
        <v>9209</v>
      </c>
      <c r="B169" s="4" t="s">
        <v>9210</v>
      </c>
      <c r="C169" s="4" t="s">
        <v>9212</v>
      </c>
      <c r="E169" s="4" t="s">
        <v>9216</v>
      </c>
      <c r="F169" s="4" t="s">
        <v>9217</v>
      </c>
      <c r="H169" s="4" t="s">
        <v>9219</v>
      </c>
      <c r="I169" s="4" t="s">
        <v>9221</v>
      </c>
      <c r="K169" s="4" t="s">
        <v>9223</v>
      </c>
      <c r="L169" s="4" t="s">
        <v>9226</v>
      </c>
      <c r="N169" s="4" t="s">
        <v>9228</v>
      </c>
      <c r="O169" s="4" t="s">
        <v>9230</v>
      </c>
    </row>
    <row r="170" spans="1:15" ht="13">
      <c r="A170" s="4" t="s">
        <v>9231</v>
      </c>
      <c r="B170" s="4" t="s">
        <v>9232</v>
      </c>
      <c r="C170" s="4" t="s">
        <v>9233</v>
      </c>
      <c r="E170" s="4" t="e">
        <v>#N/A</v>
      </c>
      <c r="H170" s="4" t="s">
        <v>9235</v>
      </c>
      <c r="I170" s="4" t="s">
        <v>9236</v>
      </c>
      <c r="K170" s="4" t="s">
        <v>9237</v>
      </c>
      <c r="L170" s="4" t="s">
        <v>9239</v>
      </c>
      <c r="N170" s="4" t="s">
        <v>9240</v>
      </c>
      <c r="O170" s="4" t="s">
        <v>9242</v>
      </c>
    </row>
    <row r="171" spans="1:15" ht="13">
      <c r="A171" s="4" t="s">
        <v>9244</v>
      </c>
      <c r="B171" s="4" t="s">
        <v>9245</v>
      </c>
      <c r="C171" s="4" t="s">
        <v>9248</v>
      </c>
      <c r="E171" s="4" t="e">
        <v>#N/A</v>
      </c>
      <c r="H171" s="4" t="s">
        <v>9250</v>
      </c>
      <c r="I171" s="4" t="s">
        <v>9251</v>
      </c>
      <c r="K171" s="4" t="s">
        <v>9252</v>
      </c>
      <c r="L171" s="4" t="s">
        <v>9255</v>
      </c>
      <c r="N171" s="4" t="s">
        <v>9256</v>
      </c>
      <c r="O171" s="4" t="s">
        <v>9258</v>
      </c>
    </row>
    <row r="172" spans="1:15" ht="13">
      <c r="A172" s="4" t="s">
        <v>9259</v>
      </c>
      <c r="B172" s="4" t="s">
        <v>9261</v>
      </c>
      <c r="C172" s="4" t="s">
        <v>9263</v>
      </c>
      <c r="E172" s="4" t="s">
        <v>9265</v>
      </c>
      <c r="F172" s="4" t="s">
        <v>9266</v>
      </c>
      <c r="H172" s="4" t="s">
        <v>9268</v>
      </c>
      <c r="I172" s="4" t="s">
        <v>9270</v>
      </c>
      <c r="K172" s="4" t="s">
        <v>9272</v>
      </c>
      <c r="L172" s="4" t="s">
        <v>9274</v>
      </c>
      <c r="N172" s="4" t="s">
        <v>9276</v>
      </c>
      <c r="O172" s="4" t="s">
        <v>9278</v>
      </c>
    </row>
    <row r="173" spans="1:15" ht="13">
      <c r="A173" s="4" t="s">
        <v>9281</v>
      </c>
      <c r="B173" s="4" t="e">
        <v>#N/A</v>
      </c>
      <c r="E173" s="4" t="s">
        <v>9284</v>
      </c>
      <c r="F173" s="4" t="s">
        <v>9286</v>
      </c>
      <c r="H173" s="4" t="s">
        <v>9288</v>
      </c>
      <c r="I173" s="4" t="s">
        <v>9289</v>
      </c>
      <c r="K173" s="4" t="e">
        <v>#N/A</v>
      </c>
      <c r="N173" s="4" t="s">
        <v>9292</v>
      </c>
      <c r="O173" s="4" t="s">
        <v>9295</v>
      </c>
    </row>
    <row r="174" spans="1:15" ht="13">
      <c r="A174" s="4" t="s">
        <v>9298</v>
      </c>
      <c r="B174" s="4" t="s">
        <v>9299</v>
      </c>
      <c r="C174" s="4" t="s">
        <v>9301</v>
      </c>
      <c r="E174" s="4" t="s">
        <v>9303</v>
      </c>
      <c r="F174" s="4" t="s">
        <v>9304</v>
      </c>
      <c r="H174" s="4" t="e">
        <v>#N/A</v>
      </c>
      <c r="K174" s="4" t="s">
        <v>9308</v>
      </c>
      <c r="L174" s="4" t="s">
        <v>9310</v>
      </c>
      <c r="N174" s="4" t="s">
        <v>9311</v>
      </c>
      <c r="O174" s="4" t="s">
        <v>9314</v>
      </c>
    </row>
    <row r="175" spans="1:15" ht="13">
      <c r="A175" s="4" t="s">
        <v>9316</v>
      </c>
      <c r="B175" s="4" t="s">
        <v>9317</v>
      </c>
      <c r="C175" s="4" t="s">
        <v>9319</v>
      </c>
      <c r="E175" s="4" t="s">
        <v>9321</v>
      </c>
      <c r="F175" s="4" t="s">
        <v>9324</v>
      </c>
      <c r="H175" s="4" t="s">
        <v>9325</v>
      </c>
      <c r="I175" s="4" t="s">
        <v>9328</v>
      </c>
      <c r="K175" s="4" t="e">
        <v>#N/A</v>
      </c>
      <c r="N175" s="4" t="s">
        <v>9330</v>
      </c>
      <c r="O175" s="4" t="s">
        <v>9332</v>
      </c>
    </row>
    <row r="176" spans="1:15" ht="13">
      <c r="A176" s="4" t="s">
        <v>9334</v>
      </c>
      <c r="B176" s="4" t="s">
        <v>9336</v>
      </c>
      <c r="C176" s="4" t="s">
        <v>9338</v>
      </c>
      <c r="E176" s="4" t="s">
        <v>9340</v>
      </c>
      <c r="F176" s="4" t="s">
        <v>9341</v>
      </c>
      <c r="H176" s="4" t="e">
        <v>#N/A</v>
      </c>
      <c r="K176" s="4" t="s">
        <v>9343</v>
      </c>
      <c r="L176" s="4" t="s">
        <v>9347</v>
      </c>
      <c r="N176" s="4" t="s">
        <v>9349</v>
      </c>
      <c r="O176" s="4" t="s">
        <v>9350</v>
      </c>
    </row>
    <row r="177" spans="1:16" ht="13">
      <c r="A177" s="4" t="s">
        <v>9353</v>
      </c>
      <c r="B177" s="4" t="s">
        <v>9355</v>
      </c>
      <c r="C177" s="4" t="s">
        <v>9356</v>
      </c>
      <c r="E177" s="4" t="s">
        <v>9357</v>
      </c>
      <c r="F177" s="4" t="s">
        <v>9359</v>
      </c>
      <c r="H177" s="4" t="s">
        <v>9361</v>
      </c>
      <c r="I177" s="4" t="s">
        <v>9362</v>
      </c>
      <c r="K177" s="4" t="s">
        <v>9364</v>
      </c>
      <c r="L177" s="4" t="s">
        <v>9366</v>
      </c>
      <c r="N177" s="4" t="s">
        <v>9368</v>
      </c>
      <c r="O177" s="4" t="s">
        <v>9370</v>
      </c>
    </row>
    <row r="178" spans="1:16" ht="13">
      <c r="A178" s="4" t="s">
        <v>9373</v>
      </c>
      <c r="B178" s="4" t="s">
        <v>9374</v>
      </c>
      <c r="C178" s="4" t="s">
        <v>9376</v>
      </c>
      <c r="E178" s="4" t="s">
        <v>9377</v>
      </c>
      <c r="F178" s="4" t="s">
        <v>9378</v>
      </c>
      <c r="H178" s="4" t="s">
        <v>9380</v>
      </c>
      <c r="I178" s="4" t="s">
        <v>9382</v>
      </c>
      <c r="K178" s="4" t="s">
        <v>9383</v>
      </c>
      <c r="L178" s="4" t="s">
        <v>9385</v>
      </c>
      <c r="N178" s="4" t="e">
        <v>#N/A</v>
      </c>
    </row>
    <row r="179" spans="1:16" ht="13">
      <c r="A179" s="4" t="s">
        <v>9390</v>
      </c>
      <c r="B179" s="4" t="s">
        <v>9391</v>
      </c>
      <c r="C179" s="4" t="s">
        <v>9393</v>
      </c>
      <c r="E179" s="4" t="e">
        <v>#N/A</v>
      </c>
      <c r="H179" s="4" t="s">
        <v>9396</v>
      </c>
      <c r="I179" s="4" t="s">
        <v>9398</v>
      </c>
      <c r="K179" s="4" t="s">
        <v>9400</v>
      </c>
      <c r="L179" s="4" t="s">
        <v>9402</v>
      </c>
      <c r="N179" s="4" t="s">
        <v>9403</v>
      </c>
      <c r="O179" s="4" t="s">
        <v>9406</v>
      </c>
    </row>
    <row r="180" spans="1:16" ht="13">
      <c r="A180" s="4" t="s">
        <v>9408</v>
      </c>
      <c r="B180" s="4" t="e">
        <v>#N/A</v>
      </c>
      <c r="E180" s="4" t="e">
        <v>#N/A</v>
      </c>
      <c r="H180" s="4" t="e">
        <v>#N/A</v>
      </c>
      <c r="K180" s="4" t="s">
        <v>9413</v>
      </c>
      <c r="L180" s="4" t="s">
        <v>9415</v>
      </c>
      <c r="N180" s="4" t="s">
        <v>9417</v>
      </c>
      <c r="O180" s="4" t="s">
        <v>9419</v>
      </c>
    </row>
    <row r="181" spans="1:16" ht="13">
      <c r="A181" s="4" t="s">
        <v>9421</v>
      </c>
      <c r="B181" s="4" t="e">
        <v>#N/A</v>
      </c>
      <c r="E181" s="4" t="e">
        <v>#N/A</v>
      </c>
      <c r="H181" s="4" t="s">
        <v>9424</v>
      </c>
      <c r="I181" s="4" t="s">
        <v>9432</v>
      </c>
      <c r="K181" s="4" t="s">
        <v>9434</v>
      </c>
      <c r="L181" s="4" t="s">
        <v>9436</v>
      </c>
      <c r="N181" s="4" t="s">
        <v>9438</v>
      </c>
      <c r="O181" s="4" t="s">
        <v>9440</v>
      </c>
    </row>
    <row r="182" spans="1:16" ht="13">
      <c r="A182" s="4" t="s">
        <v>9442</v>
      </c>
      <c r="B182" s="4" t="s">
        <v>9444</v>
      </c>
      <c r="C182" s="4" t="s">
        <v>9447</v>
      </c>
      <c r="E182" s="4" t="s">
        <v>9449</v>
      </c>
      <c r="F182" s="4" t="s">
        <v>9451</v>
      </c>
      <c r="H182" s="4" t="s">
        <v>9452</v>
      </c>
      <c r="I182" s="4" t="s">
        <v>9454</v>
      </c>
      <c r="K182" s="4" t="s">
        <v>9456</v>
      </c>
      <c r="L182" s="4" t="s">
        <v>9458</v>
      </c>
      <c r="N182" s="4" t="s">
        <v>9460</v>
      </c>
      <c r="O182" s="4" t="s">
        <v>135</v>
      </c>
      <c r="P182" s="4" t="s">
        <v>9462</v>
      </c>
    </row>
    <row r="183" spans="1:16" ht="13">
      <c r="A183" s="4" t="s">
        <v>9463</v>
      </c>
      <c r="B183" s="4" t="s">
        <v>9465</v>
      </c>
      <c r="C183" s="4" t="s">
        <v>9467</v>
      </c>
      <c r="E183" s="4" t="s">
        <v>9468</v>
      </c>
      <c r="F183" s="4" t="s">
        <v>9471</v>
      </c>
      <c r="H183" s="4" t="s">
        <v>9473</v>
      </c>
      <c r="I183" s="4" t="s">
        <v>9475</v>
      </c>
      <c r="K183" s="4" t="s">
        <v>9477</v>
      </c>
      <c r="L183" s="4" t="s">
        <v>9479</v>
      </c>
      <c r="N183" s="4" t="s">
        <v>9481</v>
      </c>
      <c r="O183" s="4" t="s">
        <v>9482</v>
      </c>
    </row>
    <row r="184" spans="1:16" ht="13">
      <c r="A184" s="4" t="s">
        <v>9484</v>
      </c>
      <c r="B184" s="4" t="s">
        <v>9486</v>
      </c>
      <c r="C184" s="4" t="s">
        <v>9488</v>
      </c>
      <c r="E184" s="4" t="e">
        <v>#N/A</v>
      </c>
      <c r="H184" s="4" t="s">
        <v>9491</v>
      </c>
      <c r="I184" s="4" t="s">
        <v>9493</v>
      </c>
      <c r="K184" s="4" t="s">
        <v>9495</v>
      </c>
      <c r="L184" s="4" t="s">
        <v>9496</v>
      </c>
      <c r="N184" s="4" t="e">
        <v>#N/A</v>
      </c>
    </row>
    <row r="185" spans="1:16" ht="13">
      <c r="A185" s="4" t="s">
        <v>9498</v>
      </c>
      <c r="B185" s="4" t="s">
        <v>9500</v>
      </c>
      <c r="C185" s="4" t="s">
        <v>9501</v>
      </c>
      <c r="E185" s="4" t="s">
        <v>9502</v>
      </c>
      <c r="F185" s="4" t="s">
        <v>9503</v>
      </c>
      <c r="H185" s="4" t="s">
        <v>9505</v>
      </c>
      <c r="I185" s="4" t="s">
        <v>9507</v>
      </c>
      <c r="K185" s="4" t="s">
        <v>9509</v>
      </c>
      <c r="L185" s="4" t="s">
        <v>9512</v>
      </c>
      <c r="N185" s="4" t="s">
        <v>9513</v>
      </c>
      <c r="O185" s="4" t="s">
        <v>9514</v>
      </c>
    </row>
    <row r="186" spans="1:16" ht="13">
      <c r="A186" s="4" t="s">
        <v>9516</v>
      </c>
      <c r="B186" s="4" t="s">
        <v>9518</v>
      </c>
      <c r="C186" s="4" t="s">
        <v>9519</v>
      </c>
      <c r="E186" s="4" t="s">
        <v>9520</v>
      </c>
      <c r="F186" s="4" t="s">
        <v>9522</v>
      </c>
      <c r="H186" s="4" t="e">
        <v>#N/A</v>
      </c>
      <c r="K186" s="4" t="s">
        <v>9525</v>
      </c>
      <c r="L186" s="4" t="s">
        <v>9526</v>
      </c>
      <c r="N186" s="4" t="s">
        <v>9527</v>
      </c>
      <c r="O186" s="4" t="s">
        <v>9528</v>
      </c>
    </row>
    <row r="187" spans="1:16" ht="13">
      <c r="A187" s="4" t="s">
        <v>9529</v>
      </c>
      <c r="B187" s="4" t="s">
        <v>9531</v>
      </c>
      <c r="C187" s="4" t="s">
        <v>9533</v>
      </c>
      <c r="E187" s="4" t="s">
        <v>9535</v>
      </c>
      <c r="F187" s="4" t="s">
        <v>9537</v>
      </c>
      <c r="H187" s="4" t="e">
        <v>#N/A</v>
      </c>
      <c r="K187" s="4" t="s">
        <v>9541</v>
      </c>
      <c r="L187" s="4" t="s">
        <v>9542</v>
      </c>
      <c r="N187" s="4" t="s">
        <v>9544</v>
      </c>
      <c r="O187" s="4" t="s">
        <v>9546</v>
      </c>
    </row>
    <row r="188" spans="1:16" ht="13">
      <c r="A188" s="4" t="s">
        <v>9549</v>
      </c>
      <c r="B188" s="4" t="s">
        <v>9550</v>
      </c>
      <c r="C188" s="4" t="s">
        <v>9553</v>
      </c>
      <c r="E188" s="4" t="s">
        <v>9554</v>
      </c>
      <c r="F188" s="4" t="s">
        <v>9556</v>
      </c>
      <c r="H188" s="4" t="s">
        <v>9558</v>
      </c>
      <c r="I188" s="4" t="s">
        <v>9560</v>
      </c>
      <c r="K188" s="4" t="e">
        <v>#N/A</v>
      </c>
      <c r="N188" s="4" t="e">
        <v>#N/A</v>
      </c>
    </row>
    <row r="189" spans="1:16" ht="13">
      <c r="A189" s="4" t="s">
        <v>9565</v>
      </c>
      <c r="B189" s="4" t="s">
        <v>9567</v>
      </c>
      <c r="C189" s="4" t="s">
        <v>9569</v>
      </c>
      <c r="E189" s="4" t="e">
        <v>#N/A</v>
      </c>
      <c r="H189" s="4" t="s">
        <v>9571</v>
      </c>
      <c r="I189" s="4" t="s">
        <v>9573</v>
      </c>
      <c r="K189" s="4" t="s">
        <v>9574</v>
      </c>
      <c r="L189" s="4" t="s">
        <v>9576</v>
      </c>
      <c r="N189" s="4" t="s">
        <v>9578</v>
      </c>
      <c r="O189" s="4" t="s">
        <v>9580</v>
      </c>
    </row>
    <row r="190" spans="1:16" ht="13">
      <c r="A190" s="4" t="s">
        <v>9582</v>
      </c>
      <c r="B190" s="4" t="s">
        <v>9584</v>
      </c>
      <c r="C190" s="4" t="s">
        <v>9586</v>
      </c>
      <c r="E190" s="4" t="e">
        <v>#N/A</v>
      </c>
      <c r="H190" s="4" t="s">
        <v>9590</v>
      </c>
      <c r="I190" s="4" t="s">
        <v>9592</v>
      </c>
      <c r="K190" s="4" t="s">
        <v>9594</v>
      </c>
      <c r="L190" s="4" t="s">
        <v>9595</v>
      </c>
      <c r="N190" s="4" t="s">
        <v>9597</v>
      </c>
      <c r="O190" s="4" t="s">
        <v>9599</v>
      </c>
    </row>
    <row r="191" spans="1:16" ht="13">
      <c r="A191" s="4" t="s">
        <v>9601</v>
      </c>
      <c r="B191" s="4" t="s">
        <v>9602</v>
      </c>
      <c r="C191" s="4" t="s">
        <v>9605</v>
      </c>
      <c r="E191" s="4" t="s">
        <v>9606</v>
      </c>
      <c r="F191" s="4" t="s">
        <v>9609</v>
      </c>
      <c r="H191" s="4" t="e">
        <v>#N/A</v>
      </c>
      <c r="K191" s="4" t="e">
        <v>#N/A</v>
      </c>
      <c r="N191" s="4" t="e">
        <v>#N/A</v>
      </c>
    </row>
    <row r="192" spans="1:16" ht="13">
      <c r="A192" s="4" t="s">
        <v>9611</v>
      </c>
      <c r="B192" s="4" t="s">
        <v>9613</v>
      </c>
      <c r="C192" s="4" t="s">
        <v>9615</v>
      </c>
      <c r="E192" s="4" t="s">
        <v>9617</v>
      </c>
      <c r="F192" s="4" t="s">
        <v>9619</v>
      </c>
      <c r="H192" s="4" t="s">
        <v>9620</v>
      </c>
      <c r="I192" s="4" t="s">
        <v>9623</v>
      </c>
      <c r="K192" s="4" t="s">
        <v>9625</v>
      </c>
      <c r="L192" s="4" t="s">
        <v>9627</v>
      </c>
      <c r="N192" s="4" t="s">
        <v>9629</v>
      </c>
      <c r="O192" s="4" t="s">
        <v>9631</v>
      </c>
    </row>
    <row r="193" spans="1:15" ht="13">
      <c r="A193" s="4" t="s">
        <v>9633</v>
      </c>
      <c r="B193" s="4" t="s">
        <v>9634</v>
      </c>
      <c r="C193" s="4" t="s">
        <v>9635</v>
      </c>
      <c r="E193" s="4" t="e">
        <v>#N/A</v>
      </c>
      <c r="H193" s="4" t="s">
        <v>9639</v>
      </c>
      <c r="I193" s="4" t="s">
        <v>9640</v>
      </c>
      <c r="K193" s="4" t="s">
        <v>9642</v>
      </c>
      <c r="L193" s="4" t="s">
        <v>9644</v>
      </c>
      <c r="N193" s="4" t="s">
        <v>9646</v>
      </c>
      <c r="O193" s="4" t="s">
        <v>9650</v>
      </c>
    </row>
    <row r="194" spans="1:15" ht="13">
      <c r="A194" s="4" t="s">
        <v>9652</v>
      </c>
      <c r="B194" s="4" t="s">
        <v>9653</v>
      </c>
      <c r="C194" s="4" t="s">
        <v>9656</v>
      </c>
      <c r="E194" s="4" t="e">
        <v>#N/A</v>
      </c>
      <c r="H194" s="4" t="s">
        <v>9659</v>
      </c>
      <c r="I194" s="4" t="s">
        <v>9661</v>
      </c>
      <c r="K194" s="4" t="s">
        <v>9662</v>
      </c>
      <c r="L194" s="4" t="s">
        <v>9664</v>
      </c>
      <c r="N194" s="4" t="s">
        <v>9665</v>
      </c>
      <c r="O194" s="4" t="s">
        <v>9667</v>
      </c>
    </row>
    <row r="195" spans="1:15" ht="13">
      <c r="A195" s="4" t="s">
        <v>9669</v>
      </c>
      <c r="B195" s="4" t="e">
        <v>#N/A</v>
      </c>
      <c r="E195" s="4" t="s">
        <v>9672</v>
      </c>
      <c r="F195" s="4" t="s">
        <v>9675</v>
      </c>
      <c r="H195" s="4" t="e">
        <v>#N/A</v>
      </c>
      <c r="K195" s="4" t="e">
        <v>#N/A</v>
      </c>
      <c r="N195" s="4" t="s">
        <v>9679</v>
      </c>
      <c r="O195" s="4" t="s">
        <v>9681</v>
      </c>
    </row>
    <row r="196" spans="1:15" ht="13">
      <c r="A196" s="4" t="s">
        <v>9683</v>
      </c>
      <c r="B196" s="4" t="s">
        <v>9685</v>
      </c>
      <c r="C196" s="4" t="s">
        <v>9687</v>
      </c>
      <c r="E196" s="4" t="e">
        <v>#N/A</v>
      </c>
      <c r="H196" s="4" t="e">
        <v>#N/A</v>
      </c>
      <c r="K196" s="4" t="s">
        <v>9690</v>
      </c>
      <c r="L196" s="4" t="s">
        <v>9692</v>
      </c>
      <c r="N196" s="4" t="e">
        <v>#N/A</v>
      </c>
    </row>
    <row r="197" spans="1:15" ht="13">
      <c r="A197" s="4" t="s">
        <v>9695</v>
      </c>
      <c r="B197" s="4" t="s">
        <v>9697</v>
      </c>
      <c r="C197" s="4" t="s">
        <v>9699</v>
      </c>
      <c r="E197" s="4" t="s">
        <v>9700</v>
      </c>
      <c r="F197" s="4" t="s">
        <v>9703</v>
      </c>
      <c r="H197" s="4" t="s">
        <v>9704</v>
      </c>
      <c r="I197" s="4" t="s">
        <v>9706</v>
      </c>
      <c r="K197" s="4" t="s">
        <v>9707</v>
      </c>
      <c r="L197" s="4" t="s">
        <v>9708</v>
      </c>
      <c r="N197" s="4" t="s">
        <v>9710</v>
      </c>
      <c r="O197" s="4" t="s">
        <v>9712</v>
      </c>
    </row>
    <row r="198" spans="1:15" ht="13">
      <c r="A198" s="4" t="s">
        <v>9714</v>
      </c>
      <c r="B198" s="4" t="e">
        <v>#N/A</v>
      </c>
      <c r="E198" s="4" t="e">
        <v>#N/A</v>
      </c>
      <c r="H198" s="4" t="e">
        <v>#N/A</v>
      </c>
      <c r="K198" s="4" t="e">
        <v>#N/A</v>
      </c>
      <c r="N198" s="4" t="s">
        <v>9718</v>
      </c>
      <c r="O198" s="4" t="s">
        <v>9720</v>
      </c>
    </row>
    <row r="199" spans="1:15" ht="13">
      <c r="A199" s="4" t="s">
        <v>9722</v>
      </c>
      <c r="B199" s="4" t="e">
        <v>#N/A</v>
      </c>
      <c r="E199" s="4" t="e">
        <v>#N/A</v>
      </c>
      <c r="H199" s="4" t="s">
        <v>9727</v>
      </c>
      <c r="I199" s="4" t="s">
        <v>9729</v>
      </c>
      <c r="K199" s="4" t="s">
        <v>9731</v>
      </c>
      <c r="L199" s="4" t="s">
        <v>9733</v>
      </c>
      <c r="N199" s="4" t="s">
        <v>9734</v>
      </c>
      <c r="O199" s="4" t="s">
        <v>9735</v>
      </c>
    </row>
    <row r="200" spans="1:15" ht="13">
      <c r="A200" s="4" t="s">
        <v>9737</v>
      </c>
      <c r="B200" s="4" t="s">
        <v>9739</v>
      </c>
      <c r="C200" s="4" t="s">
        <v>9741</v>
      </c>
      <c r="E200" s="4" t="e">
        <v>#N/A</v>
      </c>
      <c r="H200" s="4" t="s">
        <v>9743</v>
      </c>
      <c r="I200" s="4" t="s">
        <v>9744</v>
      </c>
      <c r="K200" s="4" t="s">
        <v>9745</v>
      </c>
      <c r="L200" s="4" t="s">
        <v>9747</v>
      </c>
      <c r="N200" s="4" t="s">
        <v>9748</v>
      </c>
      <c r="O200" s="4" t="s">
        <v>9749</v>
      </c>
    </row>
    <row r="201" spans="1:15" ht="13">
      <c r="A201" s="4" t="s">
        <v>9752</v>
      </c>
      <c r="B201" s="4" t="s">
        <v>9753</v>
      </c>
      <c r="C201" s="4" t="s">
        <v>9754</v>
      </c>
      <c r="E201" s="4" t="s">
        <v>9756</v>
      </c>
      <c r="F201" s="4" t="s">
        <v>9758</v>
      </c>
      <c r="H201" s="4" t="s">
        <v>9759</v>
      </c>
      <c r="I201" s="4" t="s">
        <v>9761</v>
      </c>
      <c r="K201" s="4" t="s">
        <v>9763</v>
      </c>
      <c r="L201" s="4" t="s">
        <v>9765</v>
      </c>
      <c r="N201" s="4" t="s">
        <v>9767</v>
      </c>
      <c r="O201" s="4" t="s">
        <v>9770</v>
      </c>
    </row>
    <row r="202" spans="1:15" ht="13">
      <c r="A202" s="4" t="s">
        <v>9772</v>
      </c>
      <c r="B202" s="4" t="s">
        <v>9774</v>
      </c>
      <c r="C202" s="4" t="s">
        <v>9776</v>
      </c>
      <c r="E202" s="4" t="s">
        <v>9778</v>
      </c>
      <c r="F202" s="4" t="s">
        <v>9780</v>
      </c>
      <c r="H202" s="4" t="s">
        <v>9781</v>
      </c>
      <c r="I202" s="4" t="s">
        <v>9783</v>
      </c>
      <c r="K202" s="4" t="s">
        <v>9784</v>
      </c>
      <c r="L202" s="4" t="s">
        <v>9786</v>
      </c>
      <c r="N202" s="4" t="s">
        <v>9788</v>
      </c>
      <c r="O202" s="4" t="s">
        <v>9790</v>
      </c>
    </row>
    <row r="203" spans="1:15" ht="13">
      <c r="A203" s="4" t="s">
        <v>9792</v>
      </c>
      <c r="B203" s="4" t="e">
        <v>#N/A</v>
      </c>
      <c r="E203" s="4" t="s">
        <v>9796</v>
      </c>
      <c r="F203" s="4" t="s">
        <v>9798</v>
      </c>
      <c r="H203" s="4" t="s">
        <v>9799</v>
      </c>
      <c r="I203" s="4" t="s">
        <v>9801</v>
      </c>
      <c r="K203" s="4" t="s">
        <v>9802</v>
      </c>
      <c r="L203" s="4" t="s">
        <v>9804</v>
      </c>
      <c r="N203" s="4" t="s">
        <v>9806</v>
      </c>
      <c r="O203" s="4" t="s">
        <v>9807</v>
      </c>
    </row>
    <row r="204" spans="1:15" ht="13">
      <c r="A204" s="4" t="s">
        <v>9809</v>
      </c>
      <c r="B204" s="4" t="s">
        <v>9811</v>
      </c>
      <c r="C204" s="4" t="s">
        <v>9812</v>
      </c>
      <c r="E204" s="4" t="s">
        <v>9814</v>
      </c>
      <c r="F204" s="4" t="s">
        <v>9816</v>
      </c>
      <c r="H204" s="4" t="e">
        <v>#N/A</v>
      </c>
      <c r="K204" s="4" t="s">
        <v>9818</v>
      </c>
      <c r="L204" s="4" t="s">
        <v>9820</v>
      </c>
      <c r="N204" s="4" t="s">
        <v>9822</v>
      </c>
      <c r="O204" s="4" t="s">
        <v>9823</v>
      </c>
    </row>
    <row r="205" spans="1:15" ht="13">
      <c r="A205" s="4" t="s">
        <v>9825</v>
      </c>
      <c r="B205" s="4" t="s">
        <v>9827</v>
      </c>
      <c r="C205" s="4" t="s">
        <v>9828</v>
      </c>
      <c r="E205" s="4" t="s">
        <v>9830</v>
      </c>
      <c r="F205" s="4" t="s">
        <v>9832</v>
      </c>
      <c r="H205" s="4" t="s">
        <v>9834</v>
      </c>
      <c r="I205" s="4" t="s">
        <v>9835</v>
      </c>
      <c r="K205" s="4" t="s">
        <v>9837</v>
      </c>
      <c r="L205" s="4" t="s">
        <v>9839</v>
      </c>
      <c r="N205" s="4" t="s">
        <v>9841</v>
      </c>
      <c r="O205" s="4" t="s">
        <v>9844</v>
      </c>
    </row>
    <row r="206" spans="1:15" ht="13">
      <c r="A206" s="4" t="s">
        <v>9846</v>
      </c>
      <c r="B206" s="4" t="e">
        <v>#N/A</v>
      </c>
      <c r="E206" s="4" t="s">
        <v>9848</v>
      </c>
      <c r="F206" s="4" t="s">
        <v>9850</v>
      </c>
      <c r="H206" s="4" t="s">
        <v>9851</v>
      </c>
      <c r="I206" s="4" t="s">
        <v>9853</v>
      </c>
      <c r="K206" s="4" t="s">
        <v>9855</v>
      </c>
      <c r="L206" s="4" t="s">
        <v>9858</v>
      </c>
      <c r="N206" s="4" t="s">
        <v>9860</v>
      </c>
      <c r="O206" s="4" t="s">
        <v>9862</v>
      </c>
    </row>
    <row r="207" spans="1:15" ht="13">
      <c r="A207" s="4" t="s">
        <v>9864</v>
      </c>
      <c r="B207" s="4" t="s">
        <v>9865</v>
      </c>
      <c r="C207" s="4" t="s">
        <v>9867</v>
      </c>
      <c r="E207" s="4" t="s">
        <v>9869</v>
      </c>
      <c r="F207" s="4" t="s">
        <v>9871</v>
      </c>
      <c r="H207" s="4" t="s">
        <v>9872</v>
      </c>
      <c r="I207" s="4" t="s">
        <v>9874</v>
      </c>
      <c r="K207" s="4" t="e">
        <v>#N/A</v>
      </c>
      <c r="N207" s="4" t="e">
        <v>#N/A</v>
      </c>
    </row>
    <row r="208" spans="1:15" ht="13">
      <c r="A208" s="4" t="s">
        <v>9879</v>
      </c>
      <c r="B208" s="4" t="e">
        <v>#N/A</v>
      </c>
      <c r="E208" s="4" t="s">
        <v>9881</v>
      </c>
      <c r="F208" s="4" t="s">
        <v>9882</v>
      </c>
      <c r="H208" s="4" t="s">
        <v>9884</v>
      </c>
      <c r="I208" s="4" t="s">
        <v>9886</v>
      </c>
      <c r="K208" s="4" t="s">
        <v>9887</v>
      </c>
      <c r="L208" s="4" t="s">
        <v>9889</v>
      </c>
      <c r="N208" s="4" t="s">
        <v>9891</v>
      </c>
      <c r="O208" s="4" t="s">
        <v>9893</v>
      </c>
    </row>
    <row r="209" spans="1:15" ht="13">
      <c r="A209" s="4" t="s">
        <v>9896</v>
      </c>
      <c r="B209" s="4" t="s">
        <v>9897</v>
      </c>
      <c r="C209" s="4" t="s">
        <v>9898</v>
      </c>
      <c r="E209" s="4" t="s">
        <v>9900</v>
      </c>
      <c r="F209" s="4" t="s">
        <v>9902</v>
      </c>
      <c r="H209" s="4" t="s">
        <v>9904</v>
      </c>
      <c r="I209" s="4" t="s">
        <v>9906</v>
      </c>
      <c r="K209" s="4" t="s">
        <v>9907</v>
      </c>
      <c r="L209" s="4" t="s">
        <v>9910</v>
      </c>
      <c r="N209" s="4" t="s">
        <v>9911</v>
      </c>
      <c r="O209" s="4" t="s">
        <v>9913</v>
      </c>
    </row>
    <row r="210" spans="1:15" ht="13">
      <c r="A210" s="4" t="s">
        <v>9915</v>
      </c>
      <c r="B210" s="4" t="s">
        <v>9917</v>
      </c>
      <c r="C210" s="4" t="s">
        <v>9918</v>
      </c>
      <c r="E210" s="4" t="s">
        <v>9920</v>
      </c>
      <c r="F210" s="4" t="s">
        <v>9921</v>
      </c>
      <c r="H210" s="4" t="e">
        <v>#N/A</v>
      </c>
      <c r="K210" s="4" t="s">
        <v>9925</v>
      </c>
      <c r="L210" s="4" t="s">
        <v>9927</v>
      </c>
      <c r="N210" s="4"/>
    </row>
    <row r="211" spans="1:15" ht="13">
      <c r="A211" s="4" t="s">
        <v>9931</v>
      </c>
      <c r="B211" s="4" t="e">
        <v>#N/A</v>
      </c>
      <c r="E211" s="4" t="s">
        <v>9935</v>
      </c>
      <c r="F211" s="4" t="s">
        <v>9937</v>
      </c>
      <c r="H211" s="4" t="s">
        <v>9938</v>
      </c>
      <c r="I211" s="4" t="s">
        <v>9940</v>
      </c>
      <c r="K211" s="4" t="s">
        <v>9942</v>
      </c>
      <c r="L211" s="4" t="s">
        <v>9944</v>
      </c>
      <c r="N211" s="4" t="s">
        <v>9946</v>
      </c>
      <c r="O211" s="4" t="s">
        <v>9947</v>
      </c>
    </row>
    <row r="212" spans="1:15" ht="13">
      <c r="A212" s="4" t="s">
        <v>9950</v>
      </c>
      <c r="B212" s="4" t="s">
        <v>9952</v>
      </c>
      <c r="C212" s="4" t="s">
        <v>9953</v>
      </c>
      <c r="E212" s="4" t="e">
        <v>#N/A</v>
      </c>
      <c r="H212" s="4" t="e">
        <v>#N/A</v>
      </c>
      <c r="K212" s="4" t="s">
        <v>9960</v>
      </c>
      <c r="L212" s="4" t="s">
        <v>9962</v>
      </c>
      <c r="N212" s="4" t="e">
        <v>#N/A</v>
      </c>
    </row>
    <row r="213" spans="1:15" ht="13">
      <c r="A213" s="4" t="s">
        <v>9965</v>
      </c>
      <c r="B213" s="4" t="s">
        <v>9967</v>
      </c>
      <c r="C213" s="4" t="s">
        <v>9968</v>
      </c>
      <c r="E213" s="4" t="s">
        <v>9969</v>
      </c>
      <c r="F213" s="4" t="s">
        <v>9971</v>
      </c>
      <c r="H213" s="4" t="e">
        <v>#N/A</v>
      </c>
      <c r="K213" s="4" t="e">
        <v>#N/A</v>
      </c>
      <c r="N213" s="4" t="e">
        <v>#N/A</v>
      </c>
    </row>
    <row r="214" spans="1:15" ht="13">
      <c r="A214" s="4" t="s">
        <v>9979</v>
      </c>
      <c r="B214" s="4" t="s">
        <v>9981</v>
      </c>
      <c r="C214" s="4" t="s">
        <v>9983</v>
      </c>
      <c r="E214" s="4" t="s">
        <v>9985</v>
      </c>
      <c r="F214" s="4" t="s">
        <v>9987</v>
      </c>
      <c r="H214" s="4" t="s">
        <v>9988</v>
      </c>
      <c r="I214" s="4" t="s">
        <v>9990</v>
      </c>
      <c r="K214" s="4" t="s">
        <v>9992</v>
      </c>
      <c r="L214" s="4" t="s">
        <v>9993</v>
      </c>
      <c r="N214" s="4" t="s">
        <v>9994</v>
      </c>
      <c r="O214" s="4" t="s">
        <v>9997</v>
      </c>
    </row>
    <row r="215" spans="1:15" ht="13">
      <c r="A215" s="4" t="s">
        <v>9999</v>
      </c>
      <c r="B215" s="4" t="s">
        <v>10001</v>
      </c>
      <c r="C215" s="4" t="s">
        <v>10002</v>
      </c>
      <c r="E215" s="4" t="e">
        <v>#N/A</v>
      </c>
      <c r="H215" s="4" t="s">
        <v>10005</v>
      </c>
      <c r="I215" s="4" t="s">
        <v>10007</v>
      </c>
      <c r="K215" s="4" t="s">
        <v>10009</v>
      </c>
      <c r="L215" s="4" t="s">
        <v>10012</v>
      </c>
      <c r="N215" s="4" t="s">
        <v>10014</v>
      </c>
      <c r="O215" s="4" t="s">
        <v>10016</v>
      </c>
    </row>
    <row r="216" spans="1:15" ht="13">
      <c r="A216" s="4" t="s">
        <v>10018</v>
      </c>
      <c r="B216" s="4" t="s">
        <v>10020</v>
      </c>
      <c r="C216" s="4" t="s">
        <v>10022</v>
      </c>
      <c r="E216" s="4" t="s">
        <v>10024</v>
      </c>
      <c r="F216" s="4" t="s">
        <v>10027</v>
      </c>
      <c r="H216" s="4" t="s">
        <v>10028</v>
      </c>
      <c r="I216" s="4" t="s">
        <v>10031</v>
      </c>
      <c r="K216" s="4" t="e">
        <v>#N/A</v>
      </c>
      <c r="N216" s="4" t="s">
        <v>10033</v>
      </c>
      <c r="O216" s="4" t="s">
        <v>10035</v>
      </c>
    </row>
    <row r="217" spans="1:15" ht="13">
      <c r="A217" s="4" t="s">
        <v>10037</v>
      </c>
      <c r="B217" s="4" t="s">
        <v>10038</v>
      </c>
      <c r="C217" s="4" t="s">
        <v>10040</v>
      </c>
      <c r="E217" s="4" t="e">
        <v>#N/A</v>
      </c>
      <c r="H217" s="4" t="e">
        <v>#N/A</v>
      </c>
      <c r="K217" s="4" t="s">
        <v>10044</v>
      </c>
      <c r="L217" s="4" t="s">
        <v>10045</v>
      </c>
      <c r="N217" s="4" t="s">
        <v>10047</v>
      </c>
      <c r="O217" s="4" t="s">
        <v>10050</v>
      </c>
    </row>
    <row r="218" spans="1:15" ht="13">
      <c r="A218" s="4" t="s">
        <v>10051</v>
      </c>
      <c r="B218" s="4" t="s">
        <v>10052</v>
      </c>
      <c r="C218" s="4" t="s">
        <v>10053</v>
      </c>
      <c r="E218" s="4" t="e">
        <v>#N/A</v>
      </c>
      <c r="H218" s="4" t="e">
        <v>#N/A</v>
      </c>
      <c r="K218" s="4" t="s">
        <v>10054</v>
      </c>
      <c r="L218" s="4" t="s">
        <v>10056</v>
      </c>
      <c r="N218" s="4" t="s">
        <v>10057</v>
      </c>
      <c r="O218" s="4" t="s">
        <v>10060</v>
      </c>
    </row>
    <row r="219" spans="1:15" ht="13">
      <c r="A219" s="4" t="s">
        <v>10062</v>
      </c>
      <c r="B219" s="4" t="e">
        <v>#N/A</v>
      </c>
      <c r="E219" s="4" t="s">
        <v>10065</v>
      </c>
      <c r="F219" s="4" t="s">
        <v>10067</v>
      </c>
      <c r="H219" s="4" t="e">
        <v>#N/A</v>
      </c>
      <c r="K219" s="4" t="s">
        <v>10071</v>
      </c>
      <c r="L219" s="4" t="s">
        <v>10073</v>
      </c>
      <c r="N219" s="4" t="s">
        <v>10074</v>
      </c>
      <c r="O219" s="4" t="s">
        <v>10076</v>
      </c>
    </row>
    <row r="220" spans="1:15" ht="13">
      <c r="A220" s="4" t="s">
        <v>10079</v>
      </c>
      <c r="B220" s="4" t="s">
        <v>10081</v>
      </c>
      <c r="C220" s="4" t="s">
        <v>10082</v>
      </c>
      <c r="E220" s="4" t="s">
        <v>10083</v>
      </c>
      <c r="F220" s="4" t="s">
        <v>10085</v>
      </c>
      <c r="H220" s="4" t="s">
        <v>10086</v>
      </c>
      <c r="I220" s="4" t="s">
        <v>10089</v>
      </c>
      <c r="K220" s="4" t="s">
        <v>10090</v>
      </c>
      <c r="L220" s="4" t="s">
        <v>10092</v>
      </c>
      <c r="N220" s="4" t="s">
        <v>10094</v>
      </c>
      <c r="O220" s="4" t="s">
        <v>10095</v>
      </c>
    </row>
    <row r="221" spans="1:15" ht="13">
      <c r="A221" s="4" t="s">
        <v>10097</v>
      </c>
      <c r="B221" s="4" t="s">
        <v>10099</v>
      </c>
      <c r="C221" s="4" t="s">
        <v>10100</v>
      </c>
      <c r="E221" s="4" t="s">
        <v>10101</v>
      </c>
      <c r="F221" s="4" t="s">
        <v>10103</v>
      </c>
      <c r="H221" s="4" t="e">
        <v>#N/A</v>
      </c>
      <c r="K221" s="4" t="s">
        <v>10106</v>
      </c>
      <c r="L221" s="4" t="s">
        <v>10108</v>
      </c>
      <c r="N221" s="4" t="s">
        <v>10110</v>
      </c>
      <c r="O221" s="4" t="s">
        <v>10112</v>
      </c>
    </row>
    <row r="222" spans="1:15" ht="13">
      <c r="A222" s="4" t="s">
        <v>10115</v>
      </c>
      <c r="B222" s="4" t="e">
        <v>#N/A</v>
      </c>
      <c r="E222" s="4" t="e">
        <v>#N/A</v>
      </c>
      <c r="H222" s="4" t="s">
        <v>10118</v>
      </c>
      <c r="I222" s="4" t="s">
        <v>135</v>
      </c>
      <c r="J222" s="4" t="s">
        <v>10121</v>
      </c>
      <c r="K222" s="4" t="s">
        <v>10122</v>
      </c>
      <c r="L222" s="4" t="s">
        <v>10124</v>
      </c>
      <c r="N222" s="4" t="s">
        <v>10126</v>
      </c>
      <c r="O222" s="4" t="s">
        <v>10127</v>
      </c>
    </row>
    <row r="223" spans="1:15" ht="13">
      <c r="A223" s="4" t="s">
        <v>10129</v>
      </c>
      <c r="B223" s="4" t="s">
        <v>10131</v>
      </c>
      <c r="C223" s="4" t="s">
        <v>10132</v>
      </c>
      <c r="E223" s="4" t="s">
        <v>10134</v>
      </c>
      <c r="F223" s="4" t="s">
        <v>10136</v>
      </c>
      <c r="H223" s="4" t="e">
        <v>#N/A</v>
      </c>
      <c r="K223" s="4" t="e">
        <v>#N/A</v>
      </c>
      <c r="N223" s="4" t="s">
        <v>10139</v>
      </c>
      <c r="O223" s="4" t="s">
        <v>10140</v>
      </c>
    </row>
    <row r="224" spans="1:15" ht="13">
      <c r="A224" s="4" t="s">
        <v>10142</v>
      </c>
      <c r="B224" s="4" t="s">
        <v>10144</v>
      </c>
      <c r="C224" s="4" t="s">
        <v>10146</v>
      </c>
      <c r="E224" s="4" t="e">
        <v>#N/A</v>
      </c>
      <c r="H224" s="4" t="s">
        <v>10148</v>
      </c>
      <c r="I224" s="4" t="s">
        <v>10150</v>
      </c>
      <c r="K224" s="4" t="s">
        <v>10152</v>
      </c>
      <c r="L224" s="4" t="s">
        <v>10154</v>
      </c>
      <c r="N224" s="4" t="s">
        <v>10156</v>
      </c>
      <c r="O224" s="4" t="s">
        <v>10157</v>
      </c>
    </row>
    <row r="225" spans="1:18" ht="13">
      <c r="A225" s="4" t="s">
        <v>10160</v>
      </c>
      <c r="B225" s="4" t="e">
        <v>#N/A</v>
      </c>
      <c r="E225" s="4" t="s">
        <v>10162</v>
      </c>
      <c r="F225" s="4" t="s">
        <v>10164</v>
      </c>
      <c r="H225" s="4" t="s">
        <v>10165</v>
      </c>
      <c r="I225" s="4" t="s">
        <v>10168</v>
      </c>
      <c r="K225" s="4" t="e">
        <v>#N/A</v>
      </c>
      <c r="N225" s="4" t="s">
        <v>10170</v>
      </c>
      <c r="O225" s="4" t="s">
        <v>10172</v>
      </c>
    </row>
    <row r="226" spans="1:18" ht="13">
      <c r="A226" s="4" t="s">
        <v>10174</v>
      </c>
      <c r="B226" s="4" t="e">
        <v>#N/A</v>
      </c>
      <c r="E226" s="4" t="s">
        <v>10177</v>
      </c>
      <c r="F226" s="4" t="s">
        <v>10178</v>
      </c>
      <c r="H226" s="4" t="e">
        <v>#N/A</v>
      </c>
      <c r="K226" s="4" t="e">
        <v>#N/A</v>
      </c>
      <c r="N226" s="4" t="s">
        <v>10183</v>
      </c>
      <c r="O226" s="4" t="s">
        <v>10185</v>
      </c>
    </row>
    <row r="227" spans="1:18" ht="13">
      <c r="A227" s="4" t="s">
        <v>10187</v>
      </c>
      <c r="B227" s="4" t="s">
        <v>10189</v>
      </c>
      <c r="C227" s="4" t="s">
        <v>10190</v>
      </c>
      <c r="E227" s="4" t="e">
        <v>#N/A</v>
      </c>
      <c r="H227" s="4" t="s">
        <v>10193</v>
      </c>
      <c r="I227" s="4" t="s">
        <v>10195</v>
      </c>
      <c r="K227" s="4"/>
      <c r="N227" s="4" t="s">
        <v>10197</v>
      </c>
      <c r="O227" s="4" t="s">
        <v>10199</v>
      </c>
    </row>
    <row r="228" spans="1:18" ht="13">
      <c r="A228" s="4" t="s">
        <v>10201</v>
      </c>
      <c r="B228" s="4" t="s">
        <v>10203</v>
      </c>
      <c r="C228" s="4" t="s">
        <v>10205</v>
      </c>
      <c r="E228" s="4" t="s">
        <v>10206</v>
      </c>
      <c r="F228" s="4" t="s">
        <v>10208</v>
      </c>
      <c r="H228" s="4" t="s">
        <v>10210</v>
      </c>
      <c r="I228" s="4" t="s">
        <v>135</v>
      </c>
      <c r="J228" s="4" t="s">
        <v>10214</v>
      </c>
      <c r="K228" s="4" t="s">
        <v>10216</v>
      </c>
      <c r="L228" s="4" t="s">
        <v>10218</v>
      </c>
      <c r="N228" s="4" t="s">
        <v>10220</v>
      </c>
    </row>
    <row r="229" spans="1:18" ht="13">
      <c r="A229" s="29">
        <f>SUM(C229:P229)</f>
        <v>869</v>
      </c>
      <c r="B229" s="7"/>
      <c r="C229" s="30">
        <f t="shared" ref="C229:D229" si="0">COUNTA(C2:C228)</f>
        <v>171</v>
      </c>
      <c r="D229" s="30">
        <f t="shared" si="0"/>
        <v>1</v>
      </c>
      <c r="E229" s="30"/>
      <c r="F229" s="30">
        <f t="shared" ref="F229:G229" si="1">COUNTA(F2:F228)</f>
        <v>158</v>
      </c>
      <c r="G229" s="30">
        <f t="shared" si="1"/>
        <v>1</v>
      </c>
      <c r="H229" s="7"/>
      <c r="I229" s="30">
        <f t="shared" ref="I229:J229" si="2">COUNTA(I2:I228)</f>
        <v>170</v>
      </c>
      <c r="J229" s="30">
        <f t="shared" si="2"/>
        <v>5</v>
      </c>
      <c r="K229" s="7"/>
      <c r="L229" s="30">
        <f t="shared" ref="L229:M229" si="3">COUNTA(L2:L228)</f>
        <v>178</v>
      </c>
      <c r="M229" s="30">
        <f t="shared" si="3"/>
        <v>2</v>
      </c>
      <c r="N229" s="7"/>
      <c r="O229" s="30">
        <f t="shared" ref="O229:P229" si="4">COUNTA(O2:O228)</f>
        <v>179</v>
      </c>
      <c r="P229" s="30">
        <f t="shared" si="4"/>
        <v>4</v>
      </c>
    </row>
    <row r="230" spans="1:18" ht="13">
      <c r="A230" s="31">
        <f>A229/1130</f>
        <v>0.76902654867256637</v>
      </c>
      <c r="B230" s="7"/>
      <c r="C230" s="7"/>
      <c r="D230" s="7"/>
      <c r="E230" s="7"/>
      <c r="F230" s="7"/>
      <c r="G230" s="7"/>
      <c r="H230" s="7"/>
      <c r="I230" s="7"/>
      <c r="J230" s="7"/>
      <c r="K230" s="7"/>
      <c r="L230" s="7"/>
      <c r="M230" s="7"/>
      <c r="N230" s="7"/>
      <c r="O230" s="7"/>
      <c r="P230" s="7"/>
      <c r="Q230" s="7"/>
      <c r="R23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319"/>
  <sheetViews>
    <sheetView workbookViewId="0"/>
  </sheetViews>
  <sheetFormatPr baseColWidth="10" defaultColWidth="14.5" defaultRowHeight="15.75" customHeight="1"/>
  <cols>
    <col min="1" max="1" width="131.33203125" customWidth="1"/>
    <col min="2" max="2" width="69.83203125" customWidth="1"/>
    <col min="3" max="3" width="114.5" customWidth="1"/>
    <col min="4" max="4" width="97" customWidth="1"/>
    <col min="5" max="5" width="69.83203125" customWidth="1"/>
    <col min="6" max="6" width="118.6640625" customWidth="1"/>
    <col min="7" max="7" width="96.33203125" customWidth="1"/>
    <col min="8" max="8" width="69" customWidth="1"/>
    <col min="9" max="9" width="118" customWidth="1"/>
    <col min="10" max="10" width="76.5" customWidth="1"/>
    <col min="11" max="11" width="69" customWidth="1"/>
    <col min="12" max="12" width="113.33203125" customWidth="1"/>
    <col min="13" max="13" width="77" customWidth="1"/>
    <col min="14" max="14" width="71.5" customWidth="1"/>
    <col min="15" max="15" width="122.83203125" customWidth="1"/>
    <col min="16" max="16" width="78.5" customWidth="1"/>
  </cols>
  <sheetData>
    <row r="1" spans="1:15" ht="15.75" customHeight="1">
      <c r="B1" s="11" t="s">
        <v>2</v>
      </c>
      <c r="C1" s="11"/>
      <c r="E1" s="11" t="s">
        <v>6</v>
      </c>
      <c r="G1" s="11"/>
      <c r="H1" s="11" t="s">
        <v>7</v>
      </c>
      <c r="I1" s="11"/>
      <c r="K1" s="11" t="s">
        <v>8</v>
      </c>
      <c r="L1" s="11"/>
      <c r="N1" s="11" t="s">
        <v>11</v>
      </c>
    </row>
    <row r="2" spans="1:15" ht="15.75" customHeight="1">
      <c r="A2" s="11" t="s">
        <v>27</v>
      </c>
      <c r="B2" s="4" t="e">
        <v>#N/A</v>
      </c>
      <c r="E2" s="4" t="s">
        <v>10437</v>
      </c>
      <c r="F2" s="4" t="s">
        <v>10440</v>
      </c>
      <c r="H2" s="4" t="s">
        <v>10441</v>
      </c>
      <c r="I2" s="4" t="s">
        <v>10443</v>
      </c>
      <c r="K2" s="4" t="s">
        <v>10445</v>
      </c>
      <c r="L2" s="4" t="s">
        <v>10447</v>
      </c>
      <c r="N2" s="4" t="s">
        <v>10449</v>
      </c>
      <c r="O2" s="4" t="s">
        <v>10450</v>
      </c>
    </row>
    <row r="3" spans="1:15" ht="15.75" customHeight="1">
      <c r="A3" s="4" t="s">
        <v>10452</v>
      </c>
      <c r="B3" s="4" t="s">
        <v>10453</v>
      </c>
      <c r="C3" s="4" t="s">
        <v>10454</v>
      </c>
      <c r="E3" s="4" t="e">
        <v>#N/A</v>
      </c>
      <c r="H3" s="4" t="s">
        <v>10456</v>
      </c>
      <c r="I3" s="4" t="s">
        <v>10458</v>
      </c>
      <c r="K3" s="4" t="s">
        <v>10460</v>
      </c>
      <c r="L3" s="4" t="s">
        <v>10462</v>
      </c>
      <c r="N3" s="4" t="s">
        <v>10464</v>
      </c>
      <c r="O3" s="4" t="s">
        <v>10466</v>
      </c>
    </row>
    <row r="4" spans="1:15" ht="15.75" customHeight="1">
      <c r="A4" s="4" t="s">
        <v>10468</v>
      </c>
      <c r="B4" s="4" t="s">
        <v>10469</v>
      </c>
      <c r="C4" s="4" t="s">
        <v>10471</v>
      </c>
      <c r="E4" s="4" t="e">
        <v>#N/A</v>
      </c>
      <c r="H4" s="4" t="s">
        <v>10474</v>
      </c>
      <c r="I4" s="4" t="s">
        <v>10476</v>
      </c>
      <c r="K4" s="4" t="s">
        <v>10477</v>
      </c>
      <c r="L4" s="4" t="s">
        <v>10480</v>
      </c>
      <c r="N4" s="4" t="s">
        <v>10481</v>
      </c>
      <c r="O4" s="4" t="s">
        <v>10483</v>
      </c>
    </row>
    <row r="5" spans="1:15" ht="15.75" customHeight="1">
      <c r="A5" s="4" t="s">
        <v>10485</v>
      </c>
      <c r="B5" s="4" t="s">
        <v>10486</v>
      </c>
      <c r="C5" s="4" t="s">
        <v>10487</v>
      </c>
      <c r="E5" s="4" t="s">
        <v>10488</v>
      </c>
      <c r="F5" s="4" t="s">
        <v>10489</v>
      </c>
      <c r="H5" s="4" t="s">
        <v>10490</v>
      </c>
      <c r="I5" s="4" t="s">
        <v>10492</v>
      </c>
      <c r="K5" s="4" t="s">
        <v>10493</v>
      </c>
      <c r="L5" s="4" t="s">
        <v>10495</v>
      </c>
      <c r="N5" s="4" t="s">
        <v>10497</v>
      </c>
      <c r="O5" s="4" t="s">
        <v>10500</v>
      </c>
    </row>
    <row r="6" spans="1:15" ht="15.75" customHeight="1">
      <c r="A6" s="4" t="s">
        <v>10501</v>
      </c>
      <c r="B6" s="4" t="s">
        <v>10503</v>
      </c>
      <c r="C6" s="4" t="s">
        <v>10505</v>
      </c>
      <c r="E6" s="4" t="s">
        <v>10507</v>
      </c>
      <c r="F6" s="4" t="s">
        <v>10509</v>
      </c>
      <c r="H6" s="4" t="s">
        <v>10513</v>
      </c>
      <c r="I6" s="4" t="s">
        <v>10515</v>
      </c>
      <c r="K6" s="4" t="e">
        <v>#N/A</v>
      </c>
      <c r="N6" s="4" t="e">
        <v>#N/A</v>
      </c>
    </row>
    <row r="7" spans="1:15" ht="15.75" customHeight="1">
      <c r="A7" s="4" t="s">
        <v>10520</v>
      </c>
      <c r="B7" s="4" t="s">
        <v>10521</v>
      </c>
      <c r="C7" s="4" t="s">
        <v>10524</v>
      </c>
      <c r="E7" s="4" t="s">
        <v>10526</v>
      </c>
      <c r="F7" s="4" t="s">
        <v>10528</v>
      </c>
      <c r="H7" s="4" t="s">
        <v>10530</v>
      </c>
      <c r="I7" s="4" t="s">
        <v>10532</v>
      </c>
      <c r="K7" s="4" t="s">
        <v>10534</v>
      </c>
      <c r="L7" s="4" t="s">
        <v>10536</v>
      </c>
      <c r="N7" s="4" t="s">
        <v>10537</v>
      </c>
      <c r="O7" s="4" t="s">
        <v>10538</v>
      </c>
    </row>
    <row r="8" spans="1:15" ht="15.75" customHeight="1">
      <c r="A8" s="4" t="s">
        <v>10540</v>
      </c>
      <c r="B8" s="4" t="s">
        <v>10541</v>
      </c>
      <c r="C8" s="4" t="s">
        <v>10543</v>
      </c>
      <c r="E8" s="4" t="e">
        <v>#N/A</v>
      </c>
      <c r="H8" s="4" t="s">
        <v>10545</v>
      </c>
      <c r="I8" s="4" t="s">
        <v>10547</v>
      </c>
      <c r="K8" s="4" t="s">
        <v>10548</v>
      </c>
      <c r="L8" s="4" t="s">
        <v>10550</v>
      </c>
      <c r="N8" s="4" t="e">
        <v>#N/A</v>
      </c>
    </row>
    <row r="9" spans="1:15" ht="15.75" customHeight="1">
      <c r="A9" s="4" t="s">
        <v>10551</v>
      </c>
      <c r="B9" s="4" t="s">
        <v>10553</v>
      </c>
      <c r="C9" s="4" t="s">
        <v>10555</v>
      </c>
      <c r="E9" s="4" t="e">
        <v>#N/A</v>
      </c>
      <c r="H9" s="4" t="e">
        <v>#N/A</v>
      </c>
      <c r="K9" s="4" t="e">
        <v>#N/A</v>
      </c>
      <c r="N9" s="4" t="e">
        <v>#N/A</v>
      </c>
    </row>
    <row r="10" spans="1:15" ht="15.75" customHeight="1">
      <c r="A10" s="4" t="s">
        <v>10560</v>
      </c>
      <c r="B10" s="4" t="s">
        <v>10563</v>
      </c>
      <c r="C10" s="4" t="s">
        <v>10564</v>
      </c>
      <c r="E10" s="4" t="s">
        <v>10566</v>
      </c>
      <c r="F10" s="4" t="s">
        <v>10568</v>
      </c>
      <c r="H10" s="4" t="s">
        <v>10569</v>
      </c>
      <c r="I10" s="4" t="s">
        <v>10571</v>
      </c>
      <c r="K10" s="4" t="s">
        <v>10573</v>
      </c>
      <c r="L10" s="4" t="s">
        <v>10575</v>
      </c>
      <c r="N10" s="4" t="s">
        <v>10577</v>
      </c>
      <c r="O10" s="4" t="s">
        <v>10579</v>
      </c>
    </row>
    <row r="11" spans="1:15" ht="15.75" customHeight="1">
      <c r="A11" s="4" t="s">
        <v>10582</v>
      </c>
      <c r="B11" s="4" t="e">
        <v>#N/A</v>
      </c>
      <c r="E11" s="4" t="s">
        <v>10584</v>
      </c>
      <c r="F11" s="4" t="s">
        <v>10587</v>
      </c>
      <c r="H11" s="4" t="e">
        <v>#N/A</v>
      </c>
      <c r="K11" s="4" t="s">
        <v>10589</v>
      </c>
      <c r="L11" s="4" t="s">
        <v>10592</v>
      </c>
      <c r="N11" s="4" t="e">
        <v>#N/A</v>
      </c>
    </row>
    <row r="12" spans="1:15" ht="15.75" customHeight="1">
      <c r="A12" s="4" t="s">
        <v>10595</v>
      </c>
      <c r="B12" s="4" t="s">
        <v>10597</v>
      </c>
      <c r="C12" s="4" t="s">
        <v>10600</v>
      </c>
      <c r="E12" s="4" t="s">
        <v>10602</v>
      </c>
      <c r="F12" s="4" t="s">
        <v>10603</v>
      </c>
      <c r="H12" s="4" t="s">
        <v>10605</v>
      </c>
      <c r="I12" s="4" t="s">
        <v>10607</v>
      </c>
      <c r="K12" s="4" t="s">
        <v>10608</v>
      </c>
      <c r="L12" s="4" t="s">
        <v>10609</v>
      </c>
      <c r="N12" s="4" t="s">
        <v>10610</v>
      </c>
      <c r="O12" s="4" t="s">
        <v>10611</v>
      </c>
    </row>
    <row r="13" spans="1:15" ht="15.75" customHeight="1">
      <c r="A13" s="4" t="s">
        <v>10614</v>
      </c>
      <c r="B13" s="4" t="s">
        <v>10615</v>
      </c>
      <c r="C13" s="4" t="s">
        <v>10618</v>
      </c>
      <c r="E13" s="4" t="s">
        <v>10620</v>
      </c>
      <c r="F13" s="4" t="s">
        <v>10622</v>
      </c>
      <c r="H13" s="4" t="s">
        <v>10624</v>
      </c>
      <c r="I13" s="4" t="s">
        <v>10625</v>
      </c>
      <c r="K13" s="4" t="e">
        <v>#N/A</v>
      </c>
      <c r="N13" s="4" t="s">
        <v>10628</v>
      </c>
      <c r="O13" s="4" t="s">
        <v>10629</v>
      </c>
    </row>
    <row r="14" spans="1:15" ht="15.75" customHeight="1">
      <c r="A14" s="4" t="s">
        <v>10631</v>
      </c>
      <c r="B14" s="4" t="e">
        <v>#N/A</v>
      </c>
      <c r="E14" s="4" t="e">
        <v>#N/A</v>
      </c>
      <c r="H14" s="4" t="s">
        <v>10636</v>
      </c>
      <c r="I14" s="4" t="s">
        <v>10638</v>
      </c>
      <c r="K14" s="4" t="e">
        <v>#N/A</v>
      </c>
      <c r="N14" s="4" t="e">
        <v>#N/A</v>
      </c>
    </row>
    <row r="15" spans="1:15" ht="15.75" customHeight="1">
      <c r="A15" s="4" t="s">
        <v>10642</v>
      </c>
      <c r="B15" s="4" t="e">
        <v>#N/A</v>
      </c>
      <c r="E15" s="4" t="s">
        <v>10645</v>
      </c>
      <c r="F15" s="4" t="s">
        <v>10646</v>
      </c>
      <c r="H15" s="4" t="s">
        <v>10648</v>
      </c>
      <c r="I15" s="4" t="s">
        <v>10650</v>
      </c>
      <c r="K15" s="4" t="s">
        <v>10651</v>
      </c>
      <c r="L15" s="4" t="s">
        <v>10652</v>
      </c>
      <c r="N15" s="4" t="e">
        <v>#N/A</v>
      </c>
    </row>
    <row r="16" spans="1:15" ht="15.75" customHeight="1">
      <c r="A16" s="4" t="s">
        <v>10655</v>
      </c>
      <c r="B16" s="4" t="s">
        <v>10657</v>
      </c>
      <c r="C16" s="4" t="s">
        <v>10658</v>
      </c>
      <c r="E16" s="4" t="s">
        <v>10659</v>
      </c>
      <c r="F16" s="4" t="s">
        <v>10662</v>
      </c>
      <c r="H16" s="4" t="s">
        <v>10663</v>
      </c>
      <c r="I16" s="4" t="s">
        <v>10666</v>
      </c>
      <c r="K16" s="4" t="e">
        <v>#N/A</v>
      </c>
      <c r="N16" s="4" t="s">
        <v>10669</v>
      </c>
      <c r="O16" s="4" t="s">
        <v>10672</v>
      </c>
    </row>
    <row r="17" spans="1:15" ht="15.75" customHeight="1">
      <c r="A17" s="4" t="s">
        <v>10675</v>
      </c>
      <c r="B17" s="4" t="s">
        <v>10677</v>
      </c>
      <c r="C17" s="4" t="s">
        <v>10679</v>
      </c>
      <c r="E17" s="4" t="e">
        <v>#N/A</v>
      </c>
      <c r="H17" s="4" t="s">
        <v>10680</v>
      </c>
      <c r="I17" s="4" t="s">
        <v>10682</v>
      </c>
      <c r="K17" s="4" t="s">
        <v>10683</v>
      </c>
      <c r="L17" s="4" t="s">
        <v>10686</v>
      </c>
      <c r="N17" s="4" t="s">
        <v>10687</v>
      </c>
      <c r="O17" s="4" t="s">
        <v>10689</v>
      </c>
    </row>
    <row r="18" spans="1:15" ht="15.75" customHeight="1">
      <c r="A18" s="4" t="s">
        <v>10691</v>
      </c>
      <c r="B18" s="4" t="s">
        <v>10693</v>
      </c>
      <c r="C18" s="4" t="s">
        <v>10695</v>
      </c>
      <c r="E18" s="4" t="s">
        <v>10696</v>
      </c>
      <c r="F18" s="4" t="s">
        <v>10698</v>
      </c>
      <c r="H18" s="4" t="e">
        <v>#N/A</v>
      </c>
      <c r="K18" s="4" t="s">
        <v>10701</v>
      </c>
      <c r="L18" s="4" t="s">
        <v>10703</v>
      </c>
      <c r="N18" s="4" t="s">
        <v>10705</v>
      </c>
      <c r="O18" s="4" t="s">
        <v>10706</v>
      </c>
    </row>
    <row r="19" spans="1:15" ht="15.75" customHeight="1">
      <c r="A19" s="4" t="s">
        <v>10708</v>
      </c>
      <c r="B19" s="4" t="s">
        <v>10711</v>
      </c>
      <c r="C19" s="4" t="s">
        <v>10713</v>
      </c>
      <c r="E19" s="4" t="s">
        <v>10714</v>
      </c>
      <c r="F19" s="4" t="s">
        <v>10717</v>
      </c>
      <c r="H19" s="4" t="s">
        <v>10718</v>
      </c>
      <c r="I19" s="4" t="s">
        <v>10720</v>
      </c>
      <c r="K19" s="4" t="s">
        <v>10722</v>
      </c>
      <c r="L19" s="4" t="s">
        <v>10723</v>
      </c>
      <c r="N19" s="4" t="e">
        <v>#N/A</v>
      </c>
    </row>
    <row r="20" spans="1:15" ht="15.75" customHeight="1">
      <c r="A20" s="4" t="s">
        <v>10725</v>
      </c>
      <c r="B20" s="4" t="s">
        <v>10727</v>
      </c>
      <c r="C20" s="4" t="s">
        <v>10729</v>
      </c>
      <c r="E20" s="4" t="s">
        <v>10731</v>
      </c>
      <c r="F20" s="4" t="s">
        <v>10733</v>
      </c>
      <c r="H20" s="4" t="s">
        <v>10734</v>
      </c>
      <c r="I20" s="4" t="s">
        <v>10737</v>
      </c>
      <c r="K20" s="4" t="s">
        <v>10738</v>
      </c>
      <c r="L20" s="4" t="s">
        <v>10740</v>
      </c>
      <c r="N20" s="4" t="s">
        <v>10742</v>
      </c>
      <c r="O20" s="4" t="s">
        <v>10744</v>
      </c>
    </row>
    <row r="21" spans="1:15" ht="15.75" customHeight="1">
      <c r="A21" s="4" t="s">
        <v>10746</v>
      </c>
      <c r="B21" s="4" t="s">
        <v>10748</v>
      </c>
      <c r="C21" s="4" t="s">
        <v>10749</v>
      </c>
      <c r="E21" s="4" t="s">
        <v>10750</v>
      </c>
      <c r="F21" s="4" t="s">
        <v>10752</v>
      </c>
      <c r="H21" s="4" t="s">
        <v>10756</v>
      </c>
      <c r="I21" s="4" t="s">
        <v>10757</v>
      </c>
      <c r="K21" s="4" t="e">
        <v>#N/A</v>
      </c>
      <c r="N21" s="4" t="s">
        <v>10760</v>
      </c>
      <c r="O21" s="4" t="s">
        <v>10762</v>
      </c>
    </row>
    <row r="22" spans="1:15" ht="15.75" customHeight="1">
      <c r="A22" s="4" t="s">
        <v>10764</v>
      </c>
      <c r="B22" s="4" t="s">
        <v>10766</v>
      </c>
      <c r="C22" s="4" t="s">
        <v>10768</v>
      </c>
      <c r="E22" s="4" t="s">
        <v>10770</v>
      </c>
      <c r="F22" s="4" t="s">
        <v>10772</v>
      </c>
      <c r="H22" s="4" t="s">
        <v>10773</v>
      </c>
      <c r="I22" s="4" t="s">
        <v>10774</v>
      </c>
      <c r="K22" s="4" t="s">
        <v>10775</v>
      </c>
      <c r="L22" s="4" t="s">
        <v>10777</v>
      </c>
      <c r="N22" s="4" t="e">
        <v>#N/A</v>
      </c>
    </row>
    <row r="23" spans="1:15" ht="15.75" customHeight="1">
      <c r="A23" s="4" t="s">
        <v>10779</v>
      </c>
      <c r="B23" s="4" t="e">
        <v>#N/A</v>
      </c>
      <c r="E23" s="4" t="s">
        <v>10780</v>
      </c>
      <c r="F23" s="4" t="s">
        <v>10782</v>
      </c>
      <c r="H23" s="4" t="s">
        <v>10784</v>
      </c>
      <c r="I23" s="4" t="s">
        <v>10787</v>
      </c>
      <c r="K23" s="4" t="s">
        <v>10788</v>
      </c>
      <c r="L23" s="4" t="s">
        <v>10790</v>
      </c>
      <c r="N23" s="4" t="e">
        <v>#N/A</v>
      </c>
    </row>
    <row r="24" spans="1:15" ht="15.75" customHeight="1">
      <c r="A24" s="4" t="s">
        <v>10795</v>
      </c>
      <c r="B24" s="4" t="s">
        <v>10797</v>
      </c>
      <c r="C24" s="4" t="s">
        <v>10798</v>
      </c>
      <c r="E24" s="4" t="e">
        <v>#N/A</v>
      </c>
      <c r="H24" s="4" t="s">
        <v>10801</v>
      </c>
      <c r="I24" s="4" t="s">
        <v>10803</v>
      </c>
      <c r="K24" s="4" t="s">
        <v>10805</v>
      </c>
      <c r="L24" s="4" t="s">
        <v>10808</v>
      </c>
      <c r="N24" s="4" t="s">
        <v>10809</v>
      </c>
      <c r="O24" s="4" t="s">
        <v>10812</v>
      </c>
    </row>
    <row r="25" spans="1:15" ht="15.75" customHeight="1">
      <c r="A25" s="4" t="s">
        <v>10814</v>
      </c>
      <c r="B25" s="4" t="e">
        <v>#N/A</v>
      </c>
      <c r="E25" s="4" t="e">
        <v>#N/A</v>
      </c>
      <c r="H25" s="4" t="s">
        <v>10819</v>
      </c>
      <c r="I25" s="4" t="s">
        <v>10821</v>
      </c>
      <c r="K25" s="4" t="s">
        <v>10823</v>
      </c>
      <c r="L25" s="4" t="s">
        <v>10825</v>
      </c>
      <c r="N25" s="4" t="s">
        <v>10827</v>
      </c>
      <c r="O25" s="4" t="s">
        <v>10828</v>
      </c>
    </row>
    <row r="26" spans="1:15" ht="15.75" customHeight="1">
      <c r="A26" s="4" t="s">
        <v>10830</v>
      </c>
      <c r="B26" s="4" t="s">
        <v>10832</v>
      </c>
      <c r="C26" s="4" t="s">
        <v>10834</v>
      </c>
      <c r="E26" s="4" t="s">
        <v>10835</v>
      </c>
      <c r="F26" s="4" t="s">
        <v>10837</v>
      </c>
      <c r="H26" s="4" t="e">
        <v>#N/A</v>
      </c>
      <c r="K26" s="4" t="s">
        <v>10840</v>
      </c>
      <c r="L26" s="4" t="s">
        <v>10842</v>
      </c>
      <c r="N26" s="4" t="e">
        <v>#N/A</v>
      </c>
    </row>
    <row r="27" spans="1:15" ht="15.75" customHeight="1">
      <c r="A27" s="4" t="s">
        <v>10844</v>
      </c>
      <c r="B27" s="4" t="s">
        <v>10846</v>
      </c>
      <c r="C27" s="4" t="s">
        <v>10848</v>
      </c>
      <c r="E27" s="4" t="s">
        <v>10850</v>
      </c>
      <c r="F27" s="4" t="s">
        <v>10852</v>
      </c>
      <c r="H27" s="4" t="s">
        <v>10853</v>
      </c>
      <c r="I27" s="4" t="s">
        <v>10855</v>
      </c>
      <c r="K27" s="4" t="s">
        <v>10856</v>
      </c>
      <c r="L27" s="4" t="s">
        <v>10858</v>
      </c>
      <c r="N27" s="4" t="e">
        <v>#N/A</v>
      </c>
    </row>
    <row r="28" spans="1:15" ht="15.75" customHeight="1">
      <c r="A28" s="4" t="s">
        <v>10860</v>
      </c>
      <c r="B28" s="4" t="e">
        <v>#N/A</v>
      </c>
      <c r="E28" s="4" t="s">
        <v>10862</v>
      </c>
      <c r="F28" s="4" t="s">
        <v>10864</v>
      </c>
      <c r="H28" s="4" t="s">
        <v>10866</v>
      </c>
      <c r="I28" s="4" t="s">
        <v>10868</v>
      </c>
      <c r="K28" s="4" t="s">
        <v>10870</v>
      </c>
      <c r="L28" s="4" t="s">
        <v>10872</v>
      </c>
      <c r="N28" s="4" t="s">
        <v>10873</v>
      </c>
      <c r="O28" s="4" t="s">
        <v>10874</v>
      </c>
    </row>
    <row r="29" spans="1:15" ht="15.75" customHeight="1">
      <c r="A29" s="4" t="s">
        <v>10875</v>
      </c>
      <c r="B29" s="4" t="s">
        <v>10876</v>
      </c>
      <c r="C29" s="4" t="s">
        <v>10877</v>
      </c>
      <c r="E29" s="4" t="s">
        <v>10879</v>
      </c>
      <c r="F29" s="4" t="s">
        <v>10880</v>
      </c>
      <c r="H29" s="4" t="s">
        <v>10881</v>
      </c>
      <c r="I29" s="4" t="s">
        <v>10883</v>
      </c>
      <c r="K29" s="4" t="e">
        <v>#N/A</v>
      </c>
      <c r="N29" s="4" t="s">
        <v>10886</v>
      </c>
      <c r="O29" s="4" t="s">
        <v>10888</v>
      </c>
    </row>
    <row r="30" spans="1:15" ht="15.75" customHeight="1">
      <c r="A30" s="4" t="s">
        <v>10890</v>
      </c>
      <c r="B30" s="4" t="e">
        <v>#N/A</v>
      </c>
      <c r="E30" s="4" t="e">
        <v>#N/A</v>
      </c>
      <c r="H30" s="4" t="s">
        <v>10893</v>
      </c>
      <c r="I30" s="4" t="s">
        <v>10894</v>
      </c>
      <c r="K30" s="4" t="e">
        <v>#N/A</v>
      </c>
      <c r="N30" s="4" t="s">
        <v>10897</v>
      </c>
      <c r="O30" s="4" t="s">
        <v>10899</v>
      </c>
    </row>
    <row r="31" spans="1:15" ht="15.75" customHeight="1">
      <c r="A31" s="4" t="s">
        <v>10901</v>
      </c>
      <c r="B31" s="4" t="e">
        <v>#N/A</v>
      </c>
      <c r="E31" s="4" t="s">
        <v>10903</v>
      </c>
      <c r="F31" s="4" t="s">
        <v>10906</v>
      </c>
      <c r="H31" s="4" t="s">
        <v>10908</v>
      </c>
      <c r="I31" s="4" t="s">
        <v>10909</v>
      </c>
      <c r="K31" s="4" t="e">
        <v>#N/A</v>
      </c>
      <c r="N31" s="4" t="s">
        <v>10912</v>
      </c>
      <c r="O31" s="4" t="s">
        <v>10913</v>
      </c>
    </row>
    <row r="32" spans="1:15" ht="15.75" customHeight="1">
      <c r="A32" s="4" t="s">
        <v>10915</v>
      </c>
      <c r="B32" s="4" t="s">
        <v>10917</v>
      </c>
      <c r="C32" s="4" t="s">
        <v>135</v>
      </c>
      <c r="D32" s="4" t="s">
        <v>10920</v>
      </c>
      <c r="E32" s="4" t="s">
        <v>10921</v>
      </c>
      <c r="F32" s="4" t="s">
        <v>10923</v>
      </c>
      <c r="H32" s="4" t="s">
        <v>10924</v>
      </c>
      <c r="I32" s="4" t="s">
        <v>10925</v>
      </c>
      <c r="K32" s="4" t="s">
        <v>10927</v>
      </c>
      <c r="L32" s="4" t="s">
        <v>10929</v>
      </c>
      <c r="N32" s="4" t="e">
        <v>#N/A</v>
      </c>
    </row>
    <row r="33" spans="1:15" ht="15.75" customHeight="1">
      <c r="A33" s="4" t="s">
        <v>10933</v>
      </c>
      <c r="B33" s="4" t="s">
        <v>10934</v>
      </c>
      <c r="C33" s="4" t="s">
        <v>10937</v>
      </c>
      <c r="E33" s="4" t="s">
        <v>10938</v>
      </c>
      <c r="F33" s="4" t="s">
        <v>10941</v>
      </c>
      <c r="H33" s="4" t="e">
        <v>#N/A</v>
      </c>
      <c r="K33" s="4" t="e">
        <v>#N/A</v>
      </c>
      <c r="N33" s="4" t="e">
        <v>#N/A</v>
      </c>
    </row>
    <row r="34" spans="1:15" ht="15.75" customHeight="1">
      <c r="A34" s="4" t="s">
        <v>10945</v>
      </c>
      <c r="B34" s="4" t="s">
        <v>10947</v>
      </c>
      <c r="C34" s="4" t="s">
        <v>10949</v>
      </c>
      <c r="E34" s="4" t="s">
        <v>10950</v>
      </c>
      <c r="F34" s="4" t="s">
        <v>10953</v>
      </c>
      <c r="H34" s="4" t="s">
        <v>10955</v>
      </c>
      <c r="I34" s="4" t="s">
        <v>10956</v>
      </c>
      <c r="K34" s="4" t="s">
        <v>10958</v>
      </c>
      <c r="L34" s="4" t="s">
        <v>10960</v>
      </c>
      <c r="N34" s="4" t="s">
        <v>10962</v>
      </c>
      <c r="O34" s="4" t="s">
        <v>10963</v>
      </c>
    </row>
    <row r="35" spans="1:15" ht="15.75" customHeight="1">
      <c r="A35" s="4" t="s">
        <v>10965</v>
      </c>
      <c r="B35" s="4" t="s">
        <v>10966</v>
      </c>
      <c r="C35" s="4" t="s">
        <v>10967</v>
      </c>
      <c r="E35" s="4" t="s">
        <v>10968</v>
      </c>
      <c r="F35" s="4" t="s">
        <v>10969</v>
      </c>
      <c r="H35" s="4" t="s">
        <v>10970</v>
      </c>
      <c r="I35" s="4" t="s">
        <v>10971</v>
      </c>
      <c r="K35" s="4" t="e">
        <v>#N/A</v>
      </c>
      <c r="N35" s="4" t="s">
        <v>10972</v>
      </c>
      <c r="O35" s="4" t="s">
        <v>10974</v>
      </c>
    </row>
    <row r="36" spans="1:15" ht="15.75" customHeight="1">
      <c r="A36" s="4" t="s">
        <v>10976</v>
      </c>
      <c r="B36" s="4" t="s">
        <v>10977</v>
      </c>
      <c r="C36" s="4" t="s">
        <v>10979</v>
      </c>
      <c r="E36" s="4" t="e">
        <v>#N/A</v>
      </c>
      <c r="H36" s="4" t="s">
        <v>10982</v>
      </c>
      <c r="I36" s="4" t="s">
        <v>10984</v>
      </c>
      <c r="K36" s="4" t="e">
        <v>#N/A</v>
      </c>
      <c r="N36" s="4" t="e">
        <v>#N/A</v>
      </c>
    </row>
    <row r="37" spans="1:15" ht="15.75" customHeight="1">
      <c r="A37" s="4" t="s">
        <v>10987</v>
      </c>
      <c r="B37" s="4" t="s">
        <v>10988</v>
      </c>
      <c r="C37" s="4" t="s">
        <v>10990</v>
      </c>
      <c r="E37" s="4" t="s">
        <v>10992</v>
      </c>
      <c r="F37" s="4" t="s">
        <v>10993</v>
      </c>
      <c r="H37" s="4" t="s">
        <v>10996</v>
      </c>
      <c r="I37" s="4" t="s">
        <v>10998</v>
      </c>
      <c r="K37" s="4" t="e">
        <v>#N/A</v>
      </c>
      <c r="N37" s="4" t="s">
        <v>10999</v>
      </c>
      <c r="O37" s="4" t="s">
        <v>11000</v>
      </c>
    </row>
    <row r="38" spans="1:15" ht="15.75" customHeight="1">
      <c r="A38" s="4" t="s">
        <v>11002</v>
      </c>
      <c r="B38" s="4" t="s">
        <v>11003</v>
      </c>
      <c r="C38" s="4" t="s">
        <v>11006</v>
      </c>
      <c r="E38" s="4" t="s">
        <v>11007</v>
      </c>
      <c r="F38" s="4" t="s">
        <v>11010</v>
      </c>
      <c r="H38" s="4" t="s">
        <v>11012</v>
      </c>
      <c r="I38" s="4" t="s">
        <v>11014</v>
      </c>
      <c r="K38" s="4" t="s">
        <v>11016</v>
      </c>
      <c r="L38" s="4" t="s">
        <v>11019</v>
      </c>
      <c r="N38" s="4" t="s">
        <v>11021</v>
      </c>
      <c r="O38" s="4" t="s">
        <v>11023</v>
      </c>
    </row>
    <row r="39" spans="1:15" ht="15.75" customHeight="1">
      <c r="A39" s="4" t="s">
        <v>11026</v>
      </c>
      <c r="B39" s="4" t="s">
        <v>11028</v>
      </c>
      <c r="C39" s="4" t="s">
        <v>11030</v>
      </c>
      <c r="E39" s="4" t="e">
        <v>#N/A</v>
      </c>
      <c r="H39" s="4" t="s">
        <v>11033</v>
      </c>
      <c r="I39" s="4" t="s">
        <v>11036</v>
      </c>
      <c r="K39" s="4" t="s">
        <v>11038</v>
      </c>
      <c r="L39" s="4" t="s">
        <v>11040</v>
      </c>
      <c r="N39" s="4" t="s">
        <v>11041</v>
      </c>
      <c r="O39" s="4" t="s">
        <v>11043</v>
      </c>
    </row>
    <row r="40" spans="1:15" ht="15.75" customHeight="1">
      <c r="A40" s="4" t="s">
        <v>11046</v>
      </c>
      <c r="B40" s="4" t="s">
        <v>11048</v>
      </c>
      <c r="C40" s="4" t="s">
        <v>11049</v>
      </c>
      <c r="E40" s="4" t="s">
        <v>11051</v>
      </c>
      <c r="F40" s="4" t="s">
        <v>11053</v>
      </c>
      <c r="H40" s="4" t="s">
        <v>11055</v>
      </c>
      <c r="I40" s="4" t="s">
        <v>11057</v>
      </c>
      <c r="K40" s="4" t="s">
        <v>11059</v>
      </c>
      <c r="L40" s="4" t="s">
        <v>11062</v>
      </c>
      <c r="N40" s="4" t="s">
        <v>11063</v>
      </c>
      <c r="O40" s="4" t="s">
        <v>11066</v>
      </c>
    </row>
    <row r="41" spans="1:15" ht="15.75" customHeight="1">
      <c r="A41" s="4" t="s">
        <v>11067</v>
      </c>
      <c r="B41" s="4" t="s">
        <v>11068</v>
      </c>
      <c r="C41" s="4" t="s">
        <v>11070</v>
      </c>
      <c r="E41" s="4" t="s">
        <v>11072</v>
      </c>
      <c r="F41" s="4" t="s">
        <v>11074</v>
      </c>
      <c r="H41" s="4" t="s">
        <v>11075</v>
      </c>
      <c r="I41" s="4" t="s">
        <v>11078</v>
      </c>
      <c r="K41" s="4" t="e">
        <v>#N/A</v>
      </c>
      <c r="N41" s="4" t="s">
        <v>11081</v>
      </c>
      <c r="O41" s="4" t="s">
        <v>11083</v>
      </c>
    </row>
    <row r="42" spans="1:15" ht="15.75" customHeight="1">
      <c r="A42" s="4" t="s">
        <v>11084</v>
      </c>
      <c r="B42" s="4" t="s">
        <v>11086</v>
      </c>
      <c r="C42" s="4" t="s">
        <v>11089</v>
      </c>
      <c r="E42" s="4" t="e">
        <v>#N/A</v>
      </c>
      <c r="H42" s="4" t="s">
        <v>11091</v>
      </c>
      <c r="I42" s="4" t="s">
        <v>11093</v>
      </c>
      <c r="K42" s="4" t="s">
        <v>11094</v>
      </c>
      <c r="L42" s="4" t="s">
        <v>11097</v>
      </c>
      <c r="N42" s="4" t="s">
        <v>11098</v>
      </c>
      <c r="O42" s="4" t="s">
        <v>11101</v>
      </c>
    </row>
    <row r="43" spans="1:15" ht="15.75" customHeight="1">
      <c r="A43" s="4" t="s">
        <v>11104</v>
      </c>
      <c r="B43" s="4" t="s">
        <v>11105</v>
      </c>
      <c r="C43" s="4" t="s">
        <v>11107</v>
      </c>
      <c r="E43" s="4" t="e">
        <v>#N/A</v>
      </c>
      <c r="H43" s="4" t="s">
        <v>11109</v>
      </c>
      <c r="I43" s="4" t="s">
        <v>11111</v>
      </c>
      <c r="K43" s="4" t="s">
        <v>11112</v>
      </c>
      <c r="L43" s="4" t="s">
        <v>11115</v>
      </c>
      <c r="N43" s="4" t="s">
        <v>11117</v>
      </c>
      <c r="O43" s="4" t="s">
        <v>11118</v>
      </c>
    </row>
    <row r="44" spans="1:15" ht="15.75" customHeight="1">
      <c r="A44" s="4" t="s">
        <v>11120</v>
      </c>
      <c r="B44" s="4" t="e">
        <v>#N/A</v>
      </c>
      <c r="E44" s="4" t="s">
        <v>11122</v>
      </c>
      <c r="F44" s="4" t="s">
        <v>11124</v>
      </c>
      <c r="H44" s="4" t="s">
        <v>11125</v>
      </c>
      <c r="I44" s="4" t="s">
        <v>11127</v>
      </c>
      <c r="K44" s="4" t="e">
        <v>#N/A</v>
      </c>
      <c r="N44" s="4" t="e">
        <v>#N/A</v>
      </c>
    </row>
    <row r="45" spans="1:15" ht="15.75" customHeight="1">
      <c r="A45" s="4" t="s">
        <v>11131</v>
      </c>
      <c r="B45" s="4" t="e">
        <v>#N/A</v>
      </c>
      <c r="E45" s="4" t="s">
        <v>11134</v>
      </c>
      <c r="F45" s="4" t="s">
        <v>11136</v>
      </c>
      <c r="H45" s="4" t="s">
        <v>11137</v>
      </c>
      <c r="I45" s="4" t="s">
        <v>11139</v>
      </c>
      <c r="K45" s="4" t="e">
        <v>#N/A</v>
      </c>
      <c r="N45" s="4" t="s">
        <v>11141</v>
      </c>
      <c r="O45" s="4" t="s">
        <v>11143</v>
      </c>
    </row>
    <row r="46" spans="1:15" ht="15.75" customHeight="1">
      <c r="A46" s="4" t="s">
        <v>11144</v>
      </c>
      <c r="B46" s="4" t="e">
        <v>#N/A</v>
      </c>
      <c r="E46" s="4" t="s">
        <v>11147</v>
      </c>
      <c r="F46" s="4" t="s">
        <v>11149</v>
      </c>
      <c r="H46" s="4" t="s">
        <v>11150</v>
      </c>
      <c r="I46" s="4" t="s">
        <v>11151</v>
      </c>
      <c r="K46" s="4" t="s">
        <v>11153</v>
      </c>
      <c r="L46" s="4" t="s">
        <v>11155</v>
      </c>
      <c r="N46" s="4" t="s">
        <v>11156</v>
      </c>
      <c r="O46" s="4" t="s">
        <v>11157</v>
      </c>
    </row>
    <row r="47" spans="1:15" ht="15.75" customHeight="1">
      <c r="A47" s="4" t="s">
        <v>11158</v>
      </c>
      <c r="B47" s="4" t="s">
        <v>11160</v>
      </c>
      <c r="C47" s="4" t="s">
        <v>11162</v>
      </c>
      <c r="E47" s="4" t="s">
        <v>11164</v>
      </c>
      <c r="F47" s="4" t="s">
        <v>11166</v>
      </c>
      <c r="H47" s="4" t="s">
        <v>11168</v>
      </c>
      <c r="I47" s="4" t="s">
        <v>11169</v>
      </c>
      <c r="K47" s="4" t="s">
        <v>11171</v>
      </c>
      <c r="L47" s="4" t="s">
        <v>11172</v>
      </c>
      <c r="N47" s="4" t="s">
        <v>11174</v>
      </c>
      <c r="O47" s="4" t="s">
        <v>11176</v>
      </c>
    </row>
    <row r="48" spans="1:15" ht="15.75" customHeight="1">
      <c r="A48" s="4" t="s">
        <v>11178</v>
      </c>
      <c r="B48" s="4" t="s">
        <v>11179</v>
      </c>
      <c r="C48" s="4" t="s">
        <v>11182</v>
      </c>
      <c r="E48" s="4" t="s">
        <v>11184</v>
      </c>
      <c r="F48" s="4" t="s">
        <v>135</v>
      </c>
      <c r="G48" s="4" t="s">
        <v>11187</v>
      </c>
      <c r="H48" s="4" t="s">
        <v>11189</v>
      </c>
      <c r="I48" s="4" t="s">
        <v>11191</v>
      </c>
      <c r="K48" s="4" t="s">
        <v>11192</v>
      </c>
      <c r="L48" s="4" t="s">
        <v>11194</v>
      </c>
      <c r="N48" s="4" t="s">
        <v>11196</v>
      </c>
      <c r="O48" s="4" t="s">
        <v>11199</v>
      </c>
    </row>
    <row r="49" spans="1:15" ht="15.75" customHeight="1">
      <c r="A49" s="4" t="s">
        <v>11201</v>
      </c>
      <c r="B49" s="4" t="s">
        <v>11202</v>
      </c>
      <c r="C49" s="4" t="s">
        <v>11205</v>
      </c>
      <c r="E49" s="4" t="s">
        <v>11207</v>
      </c>
      <c r="F49" s="4" t="s">
        <v>11210</v>
      </c>
      <c r="H49" s="4" t="s">
        <v>11211</v>
      </c>
      <c r="I49" s="4" t="s">
        <v>11213</v>
      </c>
      <c r="K49" s="4" t="s">
        <v>11215</v>
      </c>
      <c r="L49" s="4" t="s">
        <v>11216</v>
      </c>
      <c r="N49" s="4" t="s">
        <v>6777</v>
      </c>
      <c r="O49" s="4" t="s">
        <v>11219</v>
      </c>
    </row>
    <row r="50" spans="1:15" ht="15.75" customHeight="1">
      <c r="A50" s="4" t="s">
        <v>11221</v>
      </c>
      <c r="B50" s="4" t="s">
        <v>11222</v>
      </c>
      <c r="C50" s="4" t="s">
        <v>11225</v>
      </c>
      <c r="E50" s="4" t="e">
        <v>#N/A</v>
      </c>
      <c r="H50" s="4" t="s">
        <v>11228</v>
      </c>
      <c r="I50" s="4" t="s">
        <v>11230</v>
      </c>
      <c r="K50" s="4" t="s">
        <v>11232</v>
      </c>
      <c r="L50" s="4" t="s">
        <v>11235</v>
      </c>
      <c r="N50" s="4" t="s">
        <v>11237</v>
      </c>
      <c r="O50" s="4" t="s">
        <v>11239</v>
      </c>
    </row>
    <row r="51" spans="1:15" ht="15.75" customHeight="1">
      <c r="A51" s="4" t="s">
        <v>11242</v>
      </c>
      <c r="B51" s="4" t="e">
        <v>#N/A</v>
      </c>
      <c r="E51" s="4" t="s">
        <v>11245</v>
      </c>
      <c r="F51" s="4" t="s">
        <v>11247</v>
      </c>
      <c r="H51" s="4" t="e">
        <v>#N/A</v>
      </c>
      <c r="K51" s="4" t="s">
        <v>11249</v>
      </c>
      <c r="L51" s="4" t="s">
        <v>11251</v>
      </c>
      <c r="N51" s="4" t="e">
        <v>#N/A</v>
      </c>
    </row>
    <row r="52" spans="1:15" ht="13">
      <c r="A52" s="4" t="s">
        <v>11253</v>
      </c>
      <c r="B52" s="4" t="s">
        <v>11255</v>
      </c>
      <c r="C52" s="4" t="s">
        <v>11257</v>
      </c>
      <c r="E52" s="4" t="s">
        <v>11259</v>
      </c>
      <c r="F52" s="4" t="s">
        <v>11261</v>
      </c>
      <c r="H52" s="4" t="s">
        <v>11263</v>
      </c>
      <c r="I52" s="4" t="s">
        <v>11265</v>
      </c>
      <c r="K52" s="4" t="s">
        <v>11267</v>
      </c>
      <c r="L52" s="4" t="s">
        <v>11268</v>
      </c>
      <c r="N52" s="4" t="s">
        <v>11270</v>
      </c>
      <c r="O52" s="4" t="s">
        <v>11273</v>
      </c>
    </row>
    <row r="53" spans="1:15" ht="13">
      <c r="A53" s="4" t="s">
        <v>11275</v>
      </c>
      <c r="B53" s="4" t="s">
        <v>11276</v>
      </c>
      <c r="C53" s="4" t="s">
        <v>11278</v>
      </c>
      <c r="E53" s="4" t="e">
        <v>#N/A</v>
      </c>
      <c r="H53" s="4" t="s">
        <v>11281</v>
      </c>
      <c r="I53" s="4" t="s">
        <v>11284</v>
      </c>
      <c r="K53" s="4" t="s">
        <v>11285</v>
      </c>
      <c r="L53" s="4" t="s">
        <v>11287</v>
      </c>
      <c r="N53" s="4" t="s">
        <v>11290</v>
      </c>
      <c r="O53" s="4" t="s">
        <v>11293</v>
      </c>
    </row>
    <row r="54" spans="1:15" ht="13">
      <c r="A54" s="4" t="s">
        <v>11295</v>
      </c>
      <c r="B54" s="4" t="s">
        <v>11297</v>
      </c>
      <c r="C54" s="4" t="s">
        <v>11299</v>
      </c>
      <c r="E54" s="4" t="e">
        <v>#N/A</v>
      </c>
      <c r="H54" s="4" t="s">
        <v>11301</v>
      </c>
      <c r="I54" s="4" t="s">
        <v>11303</v>
      </c>
      <c r="K54" s="4" t="e">
        <v>#N/A</v>
      </c>
      <c r="N54" s="4" t="s">
        <v>11305</v>
      </c>
      <c r="O54" s="4" t="s">
        <v>11307</v>
      </c>
    </row>
    <row r="55" spans="1:15" ht="13">
      <c r="A55" s="4" t="s">
        <v>11309</v>
      </c>
      <c r="B55" s="4" t="s">
        <v>11311</v>
      </c>
      <c r="C55" s="4" t="s">
        <v>11313</v>
      </c>
      <c r="E55" s="4" t="s">
        <v>11315</v>
      </c>
      <c r="F55" s="4" t="s">
        <v>11316</v>
      </c>
      <c r="H55" s="4" t="s">
        <v>11318</v>
      </c>
      <c r="I55" s="4" t="s">
        <v>11319</v>
      </c>
      <c r="K55" s="4" t="e">
        <v>#N/A</v>
      </c>
      <c r="N55" s="4" t="e">
        <v>#N/A</v>
      </c>
    </row>
    <row r="56" spans="1:15" ht="13">
      <c r="A56" s="4" t="s">
        <v>11321</v>
      </c>
      <c r="B56" s="4" t="s">
        <v>11323</v>
      </c>
      <c r="C56" s="4" t="s">
        <v>11325</v>
      </c>
      <c r="E56" s="4" t="s">
        <v>11327</v>
      </c>
      <c r="F56" s="4" t="s">
        <v>11330</v>
      </c>
      <c r="H56" s="4" t="s">
        <v>11331</v>
      </c>
      <c r="I56" s="4" t="s">
        <v>11335</v>
      </c>
      <c r="K56" s="4" t="s">
        <v>11336</v>
      </c>
      <c r="L56" s="4" t="s">
        <v>11337</v>
      </c>
      <c r="N56" s="4" t="s">
        <v>11339</v>
      </c>
      <c r="O56" s="4" t="s">
        <v>11341</v>
      </c>
    </row>
    <row r="57" spans="1:15" ht="13">
      <c r="A57" s="4" t="s">
        <v>11343</v>
      </c>
      <c r="B57" s="4" t="s">
        <v>11345</v>
      </c>
      <c r="C57" s="4" t="s">
        <v>11347</v>
      </c>
      <c r="E57" s="4" t="s">
        <v>11349</v>
      </c>
      <c r="F57" s="4" t="s">
        <v>11351</v>
      </c>
      <c r="H57" s="4" t="s">
        <v>11353</v>
      </c>
      <c r="I57" s="4" t="s">
        <v>11355</v>
      </c>
      <c r="K57" s="4" t="e">
        <v>#N/A</v>
      </c>
      <c r="N57" s="4" t="s">
        <v>11358</v>
      </c>
      <c r="O57" s="4" t="s">
        <v>11360</v>
      </c>
    </row>
    <row r="58" spans="1:15" ht="13">
      <c r="A58" s="4" t="s">
        <v>11363</v>
      </c>
      <c r="B58" s="4" t="e">
        <v>#N/A</v>
      </c>
      <c r="E58" s="4" t="s">
        <v>11366</v>
      </c>
      <c r="F58" s="4" t="s">
        <v>11368</v>
      </c>
      <c r="H58" s="4" t="s">
        <v>11370</v>
      </c>
      <c r="I58" s="4" t="s">
        <v>11373</v>
      </c>
      <c r="K58" s="4" t="e">
        <v>#N/A</v>
      </c>
      <c r="N58" s="4" t="s">
        <v>11375</v>
      </c>
      <c r="O58" s="4" t="s">
        <v>11376</v>
      </c>
    </row>
    <row r="59" spans="1:15" ht="13">
      <c r="A59" s="4" t="s">
        <v>11377</v>
      </c>
      <c r="B59" s="4" t="s">
        <v>11378</v>
      </c>
      <c r="C59" s="4" t="s">
        <v>11379</v>
      </c>
      <c r="E59" s="4" t="s">
        <v>11381</v>
      </c>
      <c r="F59" s="4" t="s">
        <v>11383</v>
      </c>
      <c r="H59" s="4" t="e">
        <v>#N/A</v>
      </c>
      <c r="K59" s="4" t="s">
        <v>11386</v>
      </c>
      <c r="L59" s="4" t="s">
        <v>11388</v>
      </c>
      <c r="N59" s="4" t="s">
        <v>11390</v>
      </c>
      <c r="O59" s="4" t="s">
        <v>11392</v>
      </c>
    </row>
    <row r="60" spans="1:15" ht="13">
      <c r="A60" s="4" t="s">
        <v>11394</v>
      </c>
      <c r="B60" s="4" t="e">
        <v>#N/A</v>
      </c>
      <c r="E60" s="4" t="s">
        <v>11398</v>
      </c>
      <c r="F60" s="4" t="s">
        <v>11400</v>
      </c>
      <c r="H60" s="4" t="e">
        <v>#N/A</v>
      </c>
      <c r="K60" s="4" t="s">
        <v>11402</v>
      </c>
      <c r="L60" s="4" t="s">
        <v>11405</v>
      </c>
      <c r="N60" s="4" t="s">
        <v>11407</v>
      </c>
      <c r="O60" s="4" t="s">
        <v>11408</v>
      </c>
    </row>
    <row r="61" spans="1:15" ht="13">
      <c r="A61" s="4" t="s">
        <v>11411</v>
      </c>
      <c r="B61" s="4" t="s">
        <v>11413</v>
      </c>
      <c r="C61" s="4" t="s">
        <v>11415</v>
      </c>
      <c r="E61" s="4" t="s">
        <v>11417</v>
      </c>
      <c r="F61" s="4" t="s">
        <v>11419</v>
      </c>
      <c r="H61" s="4" t="s">
        <v>11420</v>
      </c>
      <c r="I61" s="4" t="s">
        <v>11423</v>
      </c>
      <c r="K61" s="4" t="s">
        <v>11424</v>
      </c>
      <c r="L61" s="4" t="s">
        <v>11426</v>
      </c>
      <c r="N61" s="4" t="s">
        <v>11428</v>
      </c>
      <c r="O61" s="4" t="s">
        <v>11430</v>
      </c>
    </row>
    <row r="62" spans="1:15" ht="13">
      <c r="A62" s="4" t="s">
        <v>11433</v>
      </c>
      <c r="B62" s="4" t="s">
        <v>11435</v>
      </c>
      <c r="C62" s="4" t="s">
        <v>11437</v>
      </c>
      <c r="E62" s="4" t="s">
        <v>11438</v>
      </c>
      <c r="F62" s="4" t="s">
        <v>11440</v>
      </c>
      <c r="H62" s="4" t="e">
        <v>#N/A</v>
      </c>
      <c r="K62" s="4" t="s">
        <v>11443</v>
      </c>
      <c r="L62" s="4" t="s">
        <v>11445</v>
      </c>
      <c r="N62" s="4" t="s">
        <v>11446</v>
      </c>
      <c r="O62" s="4" t="s">
        <v>11450</v>
      </c>
    </row>
    <row r="63" spans="1:15" ht="13">
      <c r="A63" s="4" t="s">
        <v>11452</v>
      </c>
      <c r="B63" s="4" t="s">
        <v>11454</v>
      </c>
      <c r="C63" s="4" t="s">
        <v>11456</v>
      </c>
      <c r="E63" s="4" t="s">
        <v>11457</v>
      </c>
      <c r="F63" s="4" t="s">
        <v>11458</v>
      </c>
      <c r="H63" s="4" t="e">
        <v>#N/A</v>
      </c>
      <c r="K63" s="4" t="s">
        <v>11459</v>
      </c>
      <c r="L63" s="4" t="s">
        <v>11460</v>
      </c>
      <c r="N63" s="4" t="s">
        <v>11461</v>
      </c>
      <c r="O63" s="4" t="s">
        <v>11462</v>
      </c>
    </row>
    <row r="64" spans="1:15" ht="13">
      <c r="A64" s="4" t="s">
        <v>11463</v>
      </c>
      <c r="B64" s="4" t="s">
        <v>11464</v>
      </c>
      <c r="C64" s="4" t="s">
        <v>11465</v>
      </c>
      <c r="E64" s="4" t="e">
        <v>#N/A</v>
      </c>
      <c r="H64" s="4" t="e">
        <v>#N/A</v>
      </c>
      <c r="K64" s="4" t="s">
        <v>11466</v>
      </c>
      <c r="L64" s="4" t="s">
        <v>11467</v>
      </c>
      <c r="N64" s="4" t="s">
        <v>11468</v>
      </c>
      <c r="O64" s="4" t="s">
        <v>11469</v>
      </c>
    </row>
    <row r="65" spans="1:15" ht="13">
      <c r="A65" s="4" t="s">
        <v>11470</v>
      </c>
      <c r="B65" s="4" t="e">
        <v>#N/A</v>
      </c>
      <c r="E65" s="4" t="s">
        <v>11471</v>
      </c>
      <c r="F65" s="4" t="s">
        <v>11472</v>
      </c>
      <c r="H65" s="4" t="e">
        <v>#N/A</v>
      </c>
      <c r="K65" s="4" t="s">
        <v>11474</v>
      </c>
      <c r="L65" s="4" t="s">
        <v>11475</v>
      </c>
      <c r="N65" s="4" t="s">
        <v>11476</v>
      </c>
      <c r="O65" s="4" t="s">
        <v>11477</v>
      </c>
    </row>
    <row r="66" spans="1:15" ht="13">
      <c r="A66" s="4" t="s">
        <v>11478</v>
      </c>
      <c r="B66" s="4" t="s">
        <v>11479</v>
      </c>
      <c r="C66" s="4" t="s">
        <v>11480</v>
      </c>
      <c r="E66" s="4" t="s">
        <v>11481</v>
      </c>
      <c r="F66" s="4" t="s">
        <v>11482</v>
      </c>
      <c r="H66" s="4" t="s">
        <v>11483</v>
      </c>
      <c r="I66" s="4" t="s">
        <v>11484</v>
      </c>
      <c r="K66" s="4" t="s">
        <v>11485</v>
      </c>
      <c r="L66" s="4" t="s">
        <v>11486</v>
      </c>
      <c r="N66" s="4" t="s">
        <v>11487</v>
      </c>
      <c r="O66" s="4" t="s">
        <v>11488</v>
      </c>
    </row>
    <row r="67" spans="1:15" ht="13">
      <c r="A67" s="4" t="s">
        <v>11489</v>
      </c>
      <c r="B67" s="4" t="s">
        <v>11490</v>
      </c>
      <c r="C67" s="4" t="s">
        <v>11491</v>
      </c>
      <c r="E67" s="4" t="e">
        <v>#N/A</v>
      </c>
      <c r="H67" s="4" t="e">
        <v>#N/A</v>
      </c>
      <c r="K67" s="4" t="e">
        <v>#N/A</v>
      </c>
      <c r="N67" s="4" t="s">
        <v>11492</v>
      </c>
      <c r="O67" s="4" t="s">
        <v>11493</v>
      </c>
    </row>
    <row r="68" spans="1:15" ht="13">
      <c r="A68" s="4" t="s">
        <v>11494</v>
      </c>
      <c r="B68" s="4" t="s">
        <v>11495</v>
      </c>
      <c r="C68" s="4" t="s">
        <v>11496</v>
      </c>
      <c r="E68" s="4" t="s">
        <v>11497</v>
      </c>
      <c r="F68" s="4" t="s">
        <v>11498</v>
      </c>
      <c r="H68" s="4" t="s">
        <v>11499</v>
      </c>
      <c r="I68" s="4" t="s">
        <v>11500</v>
      </c>
      <c r="K68" s="4" t="s">
        <v>11501</v>
      </c>
      <c r="L68" s="4" t="s">
        <v>11502</v>
      </c>
      <c r="N68" s="4" t="e">
        <v>#N/A</v>
      </c>
    </row>
    <row r="69" spans="1:15" ht="13">
      <c r="A69" s="4" t="s">
        <v>11503</v>
      </c>
      <c r="B69" s="4" t="s">
        <v>11504</v>
      </c>
      <c r="C69" s="4" t="s">
        <v>11505</v>
      </c>
      <c r="E69" s="4" t="s">
        <v>11506</v>
      </c>
      <c r="F69" s="4" t="s">
        <v>11507</v>
      </c>
      <c r="H69" s="4" t="s">
        <v>11508</v>
      </c>
      <c r="I69" s="4" t="s">
        <v>11509</v>
      </c>
      <c r="K69" s="4" t="e">
        <v>#N/A</v>
      </c>
      <c r="N69" s="4" t="e">
        <v>#N/A</v>
      </c>
    </row>
    <row r="70" spans="1:15" ht="13">
      <c r="A70" s="4" t="s">
        <v>11510</v>
      </c>
      <c r="B70" s="4" t="s">
        <v>11511</v>
      </c>
      <c r="C70" s="4" t="s">
        <v>11512</v>
      </c>
      <c r="E70" s="4" t="s">
        <v>11513</v>
      </c>
      <c r="F70" s="4" t="s">
        <v>11515</v>
      </c>
      <c r="H70" s="4" t="s">
        <v>11516</v>
      </c>
      <c r="I70" s="4" t="s">
        <v>11517</v>
      </c>
      <c r="K70" s="4" t="s">
        <v>11518</v>
      </c>
      <c r="L70" s="4" t="s">
        <v>11519</v>
      </c>
      <c r="N70" s="4" t="e">
        <v>#N/A</v>
      </c>
    </row>
    <row r="71" spans="1:15" ht="13">
      <c r="A71" s="4" t="s">
        <v>11520</v>
      </c>
      <c r="B71" s="4" t="s">
        <v>11521</v>
      </c>
      <c r="C71" s="4" t="s">
        <v>11522</v>
      </c>
      <c r="E71" s="4" t="e">
        <v>#N/A</v>
      </c>
      <c r="H71" s="4" t="s">
        <v>11523</v>
      </c>
      <c r="I71" s="4" t="s">
        <v>11524</v>
      </c>
      <c r="K71" s="4" t="s">
        <v>11525</v>
      </c>
      <c r="L71" s="4" t="s">
        <v>11526</v>
      </c>
      <c r="N71" s="4" t="e">
        <v>#N/A</v>
      </c>
    </row>
    <row r="72" spans="1:15" ht="13">
      <c r="A72" s="4" t="s">
        <v>11527</v>
      </c>
      <c r="B72" s="4" t="s">
        <v>11528</v>
      </c>
      <c r="C72" s="4" t="s">
        <v>11529</v>
      </c>
      <c r="E72" s="4" t="s">
        <v>11530</v>
      </c>
      <c r="F72" s="4" t="s">
        <v>11531</v>
      </c>
      <c r="H72" s="4" t="s">
        <v>11532</v>
      </c>
      <c r="I72" s="4" t="s">
        <v>11533</v>
      </c>
      <c r="K72" s="4" t="s">
        <v>11534</v>
      </c>
      <c r="L72" s="4" t="s">
        <v>11535</v>
      </c>
      <c r="N72" s="4" t="e">
        <v>#N/A</v>
      </c>
    </row>
    <row r="73" spans="1:15" ht="13">
      <c r="A73" s="4" t="s">
        <v>11536</v>
      </c>
      <c r="B73" s="4" t="e">
        <v>#N/A</v>
      </c>
      <c r="E73" s="4" t="s">
        <v>11537</v>
      </c>
      <c r="F73" s="4" t="s">
        <v>11538</v>
      </c>
      <c r="H73" s="4" t="e">
        <v>#N/A</v>
      </c>
      <c r="K73" s="4" t="s">
        <v>11539</v>
      </c>
      <c r="L73" s="4" t="s">
        <v>11540</v>
      </c>
      <c r="N73" s="4" t="s">
        <v>11541</v>
      </c>
      <c r="O73" s="4" t="s">
        <v>11542</v>
      </c>
    </row>
    <row r="74" spans="1:15" ht="13">
      <c r="A74" s="4" t="s">
        <v>11543</v>
      </c>
      <c r="B74" s="4" t="s">
        <v>11544</v>
      </c>
      <c r="C74" s="4" t="s">
        <v>11545</v>
      </c>
      <c r="E74" s="4" t="e">
        <v>#N/A</v>
      </c>
      <c r="H74" s="4" t="s">
        <v>11546</v>
      </c>
      <c r="I74" s="4" t="s">
        <v>11547</v>
      </c>
      <c r="K74" s="4" t="s">
        <v>11548</v>
      </c>
      <c r="L74" s="4" t="s">
        <v>11549</v>
      </c>
      <c r="N74" s="4" t="s">
        <v>11550</v>
      </c>
      <c r="O74" s="4" t="s">
        <v>11551</v>
      </c>
    </row>
    <row r="75" spans="1:15" ht="13">
      <c r="A75" s="4" t="s">
        <v>11552</v>
      </c>
      <c r="B75" s="4" t="s">
        <v>11553</v>
      </c>
      <c r="C75" s="4" t="s">
        <v>11554</v>
      </c>
      <c r="E75" s="4" t="s">
        <v>11555</v>
      </c>
      <c r="F75" s="4" t="s">
        <v>11556</v>
      </c>
      <c r="H75" s="4" t="s">
        <v>11557</v>
      </c>
      <c r="I75" s="4" t="s">
        <v>11558</v>
      </c>
      <c r="K75" s="4" t="e">
        <v>#N/A</v>
      </c>
      <c r="N75" s="4" t="s">
        <v>11559</v>
      </c>
      <c r="O75" s="4" t="s">
        <v>11560</v>
      </c>
    </row>
    <row r="76" spans="1:15" ht="13">
      <c r="A76" s="4" t="s">
        <v>11561</v>
      </c>
      <c r="B76" s="4" t="s">
        <v>11562</v>
      </c>
      <c r="C76" s="4" t="s">
        <v>11563</v>
      </c>
      <c r="E76" s="4" t="s">
        <v>11564</v>
      </c>
      <c r="F76" s="4" t="s">
        <v>11565</v>
      </c>
      <c r="H76" s="4" t="e">
        <v>#N/A</v>
      </c>
      <c r="K76" s="4" t="e">
        <v>#N/A</v>
      </c>
      <c r="N76" s="4" t="s">
        <v>11566</v>
      </c>
      <c r="O76" s="4" t="s">
        <v>11567</v>
      </c>
    </row>
    <row r="77" spans="1:15" ht="13">
      <c r="A77" s="4" t="s">
        <v>11568</v>
      </c>
      <c r="B77" s="4" t="e">
        <v>#N/A</v>
      </c>
      <c r="E77" s="4" t="s">
        <v>11569</v>
      </c>
      <c r="F77" s="4" t="s">
        <v>11571</v>
      </c>
      <c r="H77" s="4" t="s">
        <v>11572</v>
      </c>
      <c r="I77" s="4" t="s">
        <v>11573</v>
      </c>
      <c r="K77" s="4" t="e">
        <v>#N/A</v>
      </c>
      <c r="N77" s="4" t="s">
        <v>11574</v>
      </c>
      <c r="O77" s="4" t="s">
        <v>11575</v>
      </c>
    </row>
    <row r="78" spans="1:15" ht="13">
      <c r="A78" s="4" t="s">
        <v>11576</v>
      </c>
      <c r="B78" s="4" t="s">
        <v>11577</v>
      </c>
      <c r="C78" s="4" t="s">
        <v>11578</v>
      </c>
      <c r="E78" s="4" t="s">
        <v>11579</v>
      </c>
      <c r="F78" s="4" t="s">
        <v>11580</v>
      </c>
      <c r="H78" s="4" t="e">
        <v>#N/A</v>
      </c>
      <c r="K78" s="4" t="e">
        <v>#N/A</v>
      </c>
      <c r="N78" s="4" t="s">
        <v>11581</v>
      </c>
      <c r="O78" s="4" t="s">
        <v>11582</v>
      </c>
    </row>
    <row r="79" spans="1:15" ht="13">
      <c r="A79" s="4" t="s">
        <v>11583</v>
      </c>
      <c r="B79" s="4" t="s">
        <v>11584</v>
      </c>
      <c r="C79" s="4" t="s">
        <v>11585</v>
      </c>
      <c r="E79" s="4" t="s">
        <v>11586</v>
      </c>
      <c r="F79" s="4" t="s">
        <v>11587</v>
      </c>
      <c r="H79" s="4" t="s">
        <v>11588</v>
      </c>
      <c r="I79" s="4" t="s">
        <v>11589</v>
      </c>
      <c r="K79" s="4" t="e">
        <v>#N/A</v>
      </c>
      <c r="N79" s="4" t="s">
        <v>11590</v>
      </c>
      <c r="O79" s="4" t="s">
        <v>11591</v>
      </c>
    </row>
    <row r="80" spans="1:15" ht="13">
      <c r="A80" s="4" t="s">
        <v>11592</v>
      </c>
      <c r="B80" s="4" t="s">
        <v>11593</v>
      </c>
      <c r="C80" s="4" t="s">
        <v>11594</v>
      </c>
      <c r="E80" s="4" t="s">
        <v>11595</v>
      </c>
      <c r="F80" s="4" t="s">
        <v>11596</v>
      </c>
      <c r="H80" s="4" t="s">
        <v>11597</v>
      </c>
      <c r="I80" s="4" t="s">
        <v>11598</v>
      </c>
      <c r="K80" s="4" t="e">
        <v>#N/A</v>
      </c>
      <c r="N80" s="4" t="e">
        <v>#N/A</v>
      </c>
    </row>
    <row r="81" spans="1:15" ht="13">
      <c r="A81" s="4" t="s">
        <v>11599</v>
      </c>
      <c r="B81" s="4" t="s">
        <v>11600</v>
      </c>
      <c r="C81" s="4" t="s">
        <v>11601</v>
      </c>
      <c r="E81" s="4" t="s">
        <v>11602</v>
      </c>
      <c r="F81" s="4" t="s">
        <v>11603</v>
      </c>
      <c r="H81" s="4" t="s">
        <v>11604</v>
      </c>
      <c r="I81" s="4" t="s">
        <v>11605</v>
      </c>
      <c r="K81" s="4" t="e">
        <v>#N/A</v>
      </c>
      <c r="N81" s="4" t="e">
        <v>#N/A</v>
      </c>
    </row>
    <row r="82" spans="1:15" ht="13">
      <c r="A82" s="4" t="s">
        <v>11606</v>
      </c>
      <c r="B82" s="4" t="s">
        <v>11607</v>
      </c>
      <c r="C82" s="4" t="s">
        <v>11608</v>
      </c>
      <c r="E82" s="4" t="s">
        <v>11609</v>
      </c>
      <c r="F82" s="4" t="s">
        <v>11610</v>
      </c>
      <c r="H82" s="4" t="e">
        <v>#N/A</v>
      </c>
      <c r="K82" s="4" t="e">
        <v>#N/A</v>
      </c>
      <c r="N82" s="4" t="s">
        <v>11611</v>
      </c>
      <c r="O82" s="4" t="s">
        <v>11612</v>
      </c>
    </row>
    <row r="83" spans="1:15" ht="13">
      <c r="A83" s="4" t="s">
        <v>11613</v>
      </c>
      <c r="B83" s="4" t="s">
        <v>11614</v>
      </c>
      <c r="C83" s="4" t="s">
        <v>11615</v>
      </c>
      <c r="E83" s="4" t="s">
        <v>11616</v>
      </c>
      <c r="F83" s="4" t="s">
        <v>11617</v>
      </c>
      <c r="H83" s="4" t="e">
        <v>#N/A</v>
      </c>
      <c r="K83" s="4" t="s">
        <v>11619</v>
      </c>
      <c r="L83" s="4" t="s">
        <v>11620</v>
      </c>
      <c r="N83" s="4" t="s">
        <v>11621</v>
      </c>
      <c r="O83" s="4" t="s">
        <v>11622</v>
      </c>
    </row>
    <row r="84" spans="1:15" ht="13">
      <c r="A84" s="4" t="s">
        <v>11623</v>
      </c>
      <c r="B84" s="4" t="s">
        <v>11624</v>
      </c>
      <c r="C84" s="4" t="s">
        <v>11625</v>
      </c>
      <c r="E84" s="4" t="s">
        <v>11626</v>
      </c>
      <c r="F84" s="4" t="s">
        <v>11627</v>
      </c>
      <c r="H84" s="4" t="s">
        <v>11628</v>
      </c>
      <c r="I84" s="4" t="s">
        <v>11629</v>
      </c>
      <c r="K84" s="4" t="s">
        <v>11630</v>
      </c>
      <c r="L84" s="4" t="s">
        <v>11631</v>
      </c>
      <c r="N84" s="4" t="s">
        <v>11632</v>
      </c>
      <c r="O84" s="4" t="s">
        <v>11633</v>
      </c>
    </row>
    <row r="85" spans="1:15" ht="13">
      <c r="A85" s="4" t="s">
        <v>11634</v>
      </c>
      <c r="B85" s="4" t="s">
        <v>11635</v>
      </c>
      <c r="C85" s="4" t="s">
        <v>11636</v>
      </c>
      <c r="E85" s="4" t="s">
        <v>11637</v>
      </c>
      <c r="F85" s="4" t="s">
        <v>11638</v>
      </c>
      <c r="H85" s="4" t="e">
        <v>#N/A</v>
      </c>
      <c r="K85" s="4" t="e">
        <v>#N/A</v>
      </c>
      <c r="N85" s="4" t="s">
        <v>11639</v>
      </c>
      <c r="O85" s="4" t="s">
        <v>11640</v>
      </c>
    </row>
    <row r="86" spans="1:15" ht="13">
      <c r="A86" s="4" t="s">
        <v>11641</v>
      </c>
      <c r="B86" s="4" t="s">
        <v>11642</v>
      </c>
      <c r="C86" s="4" t="s">
        <v>11643</v>
      </c>
      <c r="E86" s="4" t="e">
        <v>#N/A</v>
      </c>
      <c r="H86" s="4" t="e">
        <v>#N/A</v>
      </c>
      <c r="K86" s="4" t="s">
        <v>11644</v>
      </c>
      <c r="L86" s="4" t="s">
        <v>11645</v>
      </c>
      <c r="N86" s="4" t="s">
        <v>11646</v>
      </c>
      <c r="O86" s="4" t="s">
        <v>11647</v>
      </c>
    </row>
    <row r="87" spans="1:15" ht="13">
      <c r="A87" s="4" t="s">
        <v>11648</v>
      </c>
      <c r="B87" s="4" t="s">
        <v>11649</v>
      </c>
      <c r="C87" s="4" t="s">
        <v>11650</v>
      </c>
      <c r="E87" s="4" t="s">
        <v>11651</v>
      </c>
      <c r="F87" s="4" t="s">
        <v>11652</v>
      </c>
      <c r="H87" s="4" t="s">
        <v>11653</v>
      </c>
      <c r="I87" s="4" t="s">
        <v>11654</v>
      </c>
      <c r="K87" s="4" t="s">
        <v>11655</v>
      </c>
      <c r="L87" s="4" t="s">
        <v>11656</v>
      </c>
      <c r="N87" s="4" t="s">
        <v>11657</v>
      </c>
      <c r="O87" s="4" t="s">
        <v>11658</v>
      </c>
    </row>
    <row r="88" spans="1:15" ht="13">
      <c r="A88" s="4" t="s">
        <v>11659</v>
      </c>
      <c r="B88" s="4" t="s">
        <v>11660</v>
      </c>
      <c r="C88" s="4" t="s">
        <v>11661</v>
      </c>
      <c r="E88" s="4" t="s">
        <v>11663</v>
      </c>
      <c r="F88" s="4" t="s">
        <v>11664</v>
      </c>
      <c r="H88" s="4" t="s">
        <v>11665</v>
      </c>
      <c r="I88" s="4" t="s">
        <v>11666</v>
      </c>
      <c r="K88" s="4" t="s">
        <v>11667</v>
      </c>
      <c r="L88" s="4" t="s">
        <v>11668</v>
      </c>
      <c r="N88" s="4" t="s">
        <v>11669</v>
      </c>
      <c r="O88" s="4" t="s">
        <v>11670</v>
      </c>
    </row>
    <row r="89" spans="1:15" ht="13">
      <c r="A89" s="4" t="s">
        <v>11671</v>
      </c>
      <c r="B89" s="4" t="s">
        <v>11672</v>
      </c>
      <c r="C89" s="4" t="s">
        <v>11673</v>
      </c>
      <c r="E89" s="4" t="s">
        <v>11674</v>
      </c>
      <c r="F89" s="4" t="s">
        <v>11675</v>
      </c>
      <c r="H89" s="4" t="s">
        <v>11676</v>
      </c>
      <c r="I89" s="4" t="s">
        <v>11677</v>
      </c>
      <c r="K89" s="4" t="e">
        <v>#N/A</v>
      </c>
      <c r="N89" s="4" t="s">
        <v>11678</v>
      </c>
      <c r="O89" s="4" t="s">
        <v>11679</v>
      </c>
    </row>
    <row r="90" spans="1:15" ht="13">
      <c r="A90" s="4" t="s">
        <v>11680</v>
      </c>
      <c r="B90" s="4" t="e">
        <v>#N/A</v>
      </c>
      <c r="E90" s="4" t="s">
        <v>11681</v>
      </c>
      <c r="F90" s="4" t="s">
        <v>11682</v>
      </c>
      <c r="H90" s="4" t="e">
        <v>#N/A</v>
      </c>
      <c r="K90" s="4" t="e">
        <v>#N/A</v>
      </c>
      <c r="N90" s="4" t="s">
        <v>11683</v>
      </c>
      <c r="O90" s="4" t="s">
        <v>11684</v>
      </c>
    </row>
    <row r="91" spans="1:15" ht="13">
      <c r="A91" s="4" t="s">
        <v>11685</v>
      </c>
      <c r="B91" s="4" t="s">
        <v>11686</v>
      </c>
      <c r="C91" s="4" t="s">
        <v>11687</v>
      </c>
      <c r="E91" s="4" t="s">
        <v>11688</v>
      </c>
      <c r="F91" s="4" t="s">
        <v>11689</v>
      </c>
      <c r="H91" s="4" t="s">
        <v>11690</v>
      </c>
      <c r="I91" s="4" t="s">
        <v>11691</v>
      </c>
      <c r="K91" s="4" t="s">
        <v>11692</v>
      </c>
      <c r="L91" s="4" t="s">
        <v>11693</v>
      </c>
      <c r="N91" s="4" t="s">
        <v>11694</v>
      </c>
      <c r="O91" s="4" t="s">
        <v>11695</v>
      </c>
    </row>
    <row r="92" spans="1:15" ht="13">
      <c r="A92" s="4" t="s">
        <v>11696</v>
      </c>
      <c r="B92" s="4" t="s">
        <v>11697</v>
      </c>
      <c r="C92" s="4" t="s">
        <v>11698</v>
      </c>
      <c r="E92" s="4" t="s">
        <v>11699</v>
      </c>
      <c r="F92" s="4" t="s">
        <v>11700</v>
      </c>
      <c r="H92" s="4" t="e">
        <v>#N/A</v>
      </c>
      <c r="K92" s="4" t="s">
        <v>11701</v>
      </c>
      <c r="L92" s="4" t="s">
        <v>11702</v>
      </c>
      <c r="N92" s="4" t="s">
        <v>11703</v>
      </c>
      <c r="O92" s="4" t="s">
        <v>11705</v>
      </c>
    </row>
    <row r="93" spans="1:15" ht="13">
      <c r="A93" s="4" t="s">
        <v>11706</v>
      </c>
      <c r="B93" s="4" t="s">
        <v>11707</v>
      </c>
      <c r="C93" s="4" t="s">
        <v>11708</v>
      </c>
      <c r="E93" s="4" t="e">
        <v>#N/A</v>
      </c>
      <c r="H93" s="4" t="s">
        <v>11709</v>
      </c>
      <c r="I93" s="4" t="s">
        <v>11710</v>
      </c>
      <c r="K93" s="4" t="s">
        <v>11711</v>
      </c>
      <c r="L93" s="4" t="s">
        <v>11712</v>
      </c>
      <c r="N93" s="4" t="e">
        <v>#N/A</v>
      </c>
    </row>
    <row r="94" spans="1:15" ht="13">
      <c r="A94" s="4" t="s">
        <v>11713</v>
      </c>
      <c r="B94" s="4" t="s">
        <v>11714</v>
      </c>
      <c r="C94" s="4" t="s">
        <v>11715</v>
      </c>
      <c r="E94" s="4" t="s">
        <v>11716</v>
      </c>
      <c r="F94" s="4" t="s">
        <v>11717</v>
      </c>
      <c r="H94" s="4" t="e">
        <v>#N/A</v>
      </c>
      <c r="K94" s="4" t="e">
        <v>#N/A</v>
      </c>
      <c r="N94" s="4" t="s">
        <v>11718</v>
      </c>
      <c r="O94" s="4" t="s">
        <v>11719</v>
      </c>
    </row>
    <row r="95" spans="1:15" ht="13">
      <c r="A95" s="4" t="s">
        <v>11720</v>
      </c>
      <c r="B95" s="4" t="s">
        <v>11721</v>
      </c>
      <c r="C95" s="4" t="s">
        <v>11722</v>
      </c>
      <c r="E95" s="4" t="s">
        <v>11723</v>
      </c>
      <c r="F95" s="4" t="s">
        <v>11724</v>
      </c>
      <c r="H95" s="4" t="s">
        <v>11725</v>
      </c>
      <c r="I95" s="4" t="s">
        <v>11726</v>
      </c>
      <c r="K95" s="4" t="s">
        <v>11727</v>
      </c>
      <c r="L95" s="4" t="s">
        <v>11728</v>
      </c>
      <c r="N95" s="4" t="s">
        <v>11729</v>
      </c>
      <c r="O95" s="4" t="s">
        <v>11730</v>
      </c>
    </row>
    <row r="96" spans="1:15" ht="13">
      <c r="A96" s="4" t="s">
        <v>11731</v>
      </c>
      <c r="B96" s="4" t="s">
        <v>11732</v>
      </c>
      <c r="C96" s="4" t="s">
        <v>11733</v>
      </c>
      <c r="E96" s="4" t="s">
        <v>11734</v>
      </c>
      <c r="F96" s="4" t="s">
        <v>11735</v>
      </c>
      <c r="H96" s="4" t="s">
        <v>11736</v>
      </c>
      <c r="I96" s="4" t="s">
        <v>11737</v>
      </c>
      <c r="K96" s="4" t="s">
        <v>11738</v>
      </c>
      <c r="L96" s="4" t="s">
        <v>11739</v>
      </c>
      <c r="N96" s="4" t="e">
        <v>#N/A</v>
      </c>
    </row>
    <row r="97" spans="1:15" ht="13">
      <c r="A97" s="4" t="s">
        <v>11740</v>
      </c>
      <c r="B97" s="4" t="s">
        <v>11741</v>
      </c>
      <c r="C97" s="4" t="s">
        <v>11742</v>
      </c>
      <c r="E97" s="4" t="s">
        <v>11743</v>
      </c>
      <c r="F97" s="4" t="s">
        <v>11744</v>
      </c>
      <c r="H97" s="4" t="s">
        <v>11745</v>
      </c>
      <c r="I97" s="4" t="s">
        <v>11746</v>
      </c>
      <c r="K97" s="4" t="s">
        <v>11747</v>
      </c>
      <c r="L97" s="4" t="s">
        <v>11749</v>
      </c>
      <c r="N97" s="4" t="e">
        <v>#N/A</v>
      </c>
    </row>
    <row r="98" spans="1:15" ht="13">
      <c r="A98" s="4" t="s">
        <v>11750</v>
      </c>
      <c r="B98" s="4" t="s">
        <v>11751</v>
      </c>
      <c r="C98" s="4" t="s">
        <v>11752</v>
      </c>
      <c r="E98" s="4" t="e">
        <v>#N/A</v>
      </c>
      <c r="H98" s="4" t="s">
        <v>11753</v>
      </c>
      <c r="I98" s="4" t="s">
        <v>11754</v>
      </c>
      <c r="K98" s="4" t="s">
        <v>11755</v>
      </c>
      <c r="L98" s="4" t="s">
        <v>11756</v>
      </c>
      <c r="N98" s="4" t="s">
        <v>11757</v>
      </c>
      <c r="O98" s="4" t="s">
        <v>11758</v>
      </c>
    </row>
    <row r="99" spans="1:15" ht="13">
      <c r="A99" s="4" t="s">
        <v>11759</v>
      </c>
      <c r="B99" s="4" t="s">
        <v>11760</v>
      </c>
      <c r="C99" s="4" t="s">
        <v>11761</v>
      </c>
      <c r="E99" s="4" t="s">
        <v>11762</v>
      </c>
      <c r="F99" s="4" t="s">
        <v>11763</v>
      </c>
      <c r="H99" s="4" t="s">
        <v>11764</v>
      </c>
      <c r="I99" s="4" t="s">
        <v>11765</v>
      </c>
      <c r="K99" s="4" t="s">
        <v>11766</v>
      </c>
      <c r="L99" s="4" t="s">
        <v>11767</v>
      </c>
      <c r="N99" s="4" t="s">
        <v>11768</v>
      </c>
      <c r="O99" s="4" t="s">
        <v>11769</v>
      </c>
    </row>
    <row r="100" spans="1:15" ht="13">
      <c r="A100" s="4" t="s">
        <v>11770</v>
      </c>
      <c r="B100" s="4" t="s">
        <v>11771</v>
      </c>
      <c r="C100" s="4" t="s">
        <v>11772</v>
      </c>
      <c r="E100" s="4" t="s">
        <v>11773</v>
      </c>
      <c r="F100" s="4" t="s">
        <v>11774</v>
      </c>
      <c r="H100" s="4" t="s">
        <v>11775</v>
      </c>
      <c r="I100" s="4" t="s">
        <v>11776</v>
      </c>
      <c r="K100" s="4" t="s">
        <v>11777</v>
      </c>
      <c r="L100" s="4" t="s">
        <v>11778</v>
      </c>
      <c r="N100" s="4" t="s">
        <v>11779</v>
      </c>
      <c r="O100" s="4" t="s">
        <v>11780</v>
      </c>
    </row>
    <row r="101" spans="1:15" ht="13">
      <c r="A101" s="4" t="s">
        <v>11781</v>
      </c>
      <c r="B101" s="4" t="e">
        <v>#N/A</v>
      </c>
      <c r="E101" s="4" t="s">
        <v>11782</v>
      </c>
      <c r="F101" s="4" t="s">
        <v>11783</v>
      </c>
      <c r="H101" s="4" t="s">
        <v>11784</v>
      </c>
      <c r="I101" s="4" t="s">
        <v>11785</v>
      </c>
      <c r="K101" s="4" t="s">
        <v>11786</v>
      </c>
      <c r="L101" s="4" t="s">
        <v>11787</v>
      </c>
      <c r="N101" s="4" t="s">
        <v>11788</v>
      </c>
      <c r="O101" s="4" t="s">
        <v>11789</v>
      </c>
    </row>
    <row r="102" spans="1:15" ht="13">
      <c r="A102" s="4" t="s">
        <v>11790</v>
      </c>
      <c r="B102" s="4" t="e">
        <v>#N/A</v>
      </c>
      <c r="E102" s="4" t="s">
        <v>11791</v>
      </c>
      <c r="F102" s="4" t="s">
        <v>11792</v>
      </c>
      <c r="H102" s="4" t="s">
        <v>11793</v>
      </c>
      <c r="I102" s="4" t="s">
        <v>11794</v>
      </c>
      <c r="K102" s="4" t="e">
        <v>#N/A</v>
      </c>
      <c r="N102" s="4" t="e">
        <v>#N/A</v>
      </c>
    </row>
    <row r="103" spans="1:15" ht="13">
      <c r="A103" s="4" t="s">
        <v>11796</v>
      </c>
      <c r="B103" s="4" t="s">
        <v>11797</v>
      </c>
      <c r="C103" s="4" t="s">
        <v>11798</v>
      </c>
      <c r="E103" s="4" t="s">
        <v>11799</v>
      </c>
      <c r="F103" s="4" t="s">
        <v>135</v>
      </c>
      <c r="G103" s="4" t="s">
        <v>11800</v>
      </c>
      <c r="H103" s="4" t="e">
        <v>#N/A</v>
      </c>
      <c r="K103" s="4" t="s">
        <v>11801</v>
      </c>
      <c r="L103" s="4" t="s">
        <v>11802</v>
      </c>
      <c r="N103" s="4" t="e">
        <v>#N/A</v>
      </c>
    </row>
    <row r="104" spans="1:15" ht="13">
      <c r="A104" s="4" t="s">
        <v>11803</v>
      </c>
      <c r="B104" s="4" t="s">
        <v>11804</v>
      </c>
      <c r="C104" s="4" t="s">
        <v>11805</v>
      </c>
      <c r="E104" s="4" t="s">
        <v>11806</v>
      </c>
      <c r="F104" s="4" t="s">
        <v>11807</v>
      </c>
      <c r="H104" s="4" t="e">
        <v>#N/A</v>
      </c>
      <c r="K104" s="4" t="s">
        <v>11808</v>
      </c>
      <c r="L104" s="4" t="s">
        <v>11809</v>
      </c>
      <c r="N104" s="4" t="s">
        <v>11810</v>
      </c>
      <c r="O104" s="4" t="s">
        <v>11811</v>
      </c>
    </row>
    <row r="105" spans="1:15" ht="13">
      <c r="A105" s="4" t="s">
        <v>11812</v>
      </c>
      <c r="B105" s="4" t="s">
        <v>11813</v>
      </c>
      <c r="C105" s="4" t="s">
        <v>11814</v>
      </c>
      <c r="E105" s="4" t="e">
        <v>#N/A</v>
      </c>
      <c r="H105" s="4" t="s">
        <v>11815</v>
      </c>
      <c r="I105" s="4" t="s">
        <v>11816</v>
      </c>
      <c r="K105" s="4" t="s">
        <v>11817</v>
      </c>
      <c r="L105" s="4" t="s">
        <v>11818</v>
      </c>
      <c r="N105" s="4" t="s">
        <v>11819</v>
      </c>
      <c r="O105" s="4" t="s">
        <v>11820</v>
      </c>
    </row>
    <row r="106" spans="1:15" ht="13">
      <c r="A106" s="4" t="s">
        <v>11821</v>
      </c>
      <c r="B106" s="4" t="s">
        <v>11822</v>
      </c>
      <c r="C106" s="4" t="s">
        <v>11823</v>
      </c>
      <c r="E106" s="4" t="s">
        <v>11824</v>
      </c>
      <c r="F106" s="4" t="s">
        <v>11825</v>
      </c>
      <c r="H106" s="4" t="e">
        <v>#N/A</v>
      </c>
      <c r="K106" s="4" t="s">
        <v>11826</v>
      </c>
      <c r="L106" s="4" t="s">
        <v>11827</v>
      </c>
      <c r="N106" s="4" t="s">
        <v>11828</v>
      </c>
      <c r="O106" s="4" t="s">
        <v>11829</v>
      </c>
    </row>
    <row r="107" spans="1:15" ht="13">
      <c r="A107" s="4" t="s">
        <v>11830</v>
      </c>
      <c r="B107" s="4" t="s">
        <v>11831</v>
      </c>
      <c r="C107" s="4" t="s">
        <v>11832</v>
      </c>
      <c r="E107" s="4" t="s">
        <v>11833</v>
      </c>
      <c r="F107" s="4" t="s">
        <v>11834</v>
      </c>
      <c r="H107" s="4" t="s">
        <v>11835</v>
      </c>
      <c r="I107" s="4" t="s">
        <v>11836</v>
      </c>
      <c r="K107" s="4" t="s">
        <v>11837</v>
      </c>
      <c r="L107" s="4" t="s">
        <v>11838</v>
      </c>
      <c r="N107" s="4" t="s">
        <v>11839</v>
      </c>
      <c r="O107" s="4" t="s">
        <v>11840</v>
      </c>
    </row>
    <row r="108" spans="1:15" ht="13">
      <c r="A108" s="4" t="s">
        <v>11841</v>
      </c>
      <c r="B108" s="4" t="s">
        <v>11842</v>
      </c>
      <c r="C108" s="4" t="s">
        <v>11843</v>
      </c>
      <c r="E108" s="4" t="s">
        <v>11845</v>
      </c>
      <c r="F108" s="4" t="s">
        <v>11846</v>
      </c>
      <c r="H108" s="4" t="s">
        <v>11847</v>
      </c>
      <c r="I108" s="4" t="s">
        <v>11848</v>
      </c>
      <c r="K108" s="4" t="s">
        <v>11849</v>
      </c>
      <c r="L108" s="4" t="s">
        <v>11850</v>
      </c>
      <c r="N108" s="4" t="s">
        <v>11851</v>
      </c>
      <c r="O108" s="4" t="s">
        <v>11852</v>
      </c>
    </row>
    <row r="109" spans="1:15" ht="13">
      <c r="A109" s="4" t="s">
        <v>11853</v>
      </c>
      <c r="B109" s="4" t="s">
        <v>11854</v>
      </c>
      <c r="C109" s="4" t="s">
        <v>11855</v>
      </c>
      <c r="E109" s="4" t="s">
        <v>11856</v>
      </c>
      <c r="F109" s="4" t="s">
        <v>11857</v>
      </c>
      <c r="H109" s="4" t="s">
        <v>11858</v>
      </c>
      <c r="I109" s="4" t="s">
        <v>11859</v>
      </c>
      <c r="K109" s="4" t="e">
        <v>#N/A</v>
      </c>
      <c r="N109" s="4" t="s">
        <v>11860</v>
      </c>
      <c r="O109" s="4" t="s">
        <v>11861</v>
      </c>
    </row>
    <row r="110" spans="1:15" ht="13">
      <c r="A110" s="4" t="s">
        <v>11862</v>
      </c>
      <c r="B110" s="4" t="s">
        <v>11863</v>
      </c>
      <c r="C110" s="4" t="s">
        <v>11864</v>
      </c>
      <c r="E110" s="4" t="s">
        <v>11865</v>
      </c>
      <c r="F110" s="4" t="s">
        <v>11866</v>
      </c>
      <c r="H110" s="4" t="e">
        <v>#N/A</v>
      </c>
      <c r="K110" s="4" t="s">
        <v>11867</v>
      </c>
      <c r="L110" s="4" t="s">
        <v>11868</v>
      </c>
      <c r="N110" s="4" t="s">
        <v>11869</v>
      </c>
      <c r="O110" s="4" t="s">
        <v>11870</v>
      </c>
    </row>
    <row r="111" spans="1:15" ht="13">
      <c r="A111" s="4" t="s">
        <v>11871</v>
      </c>
      <c r="B111" s="4" t="s">
        <v>11872</v>
      </c>
      <c r="C111" s="4" t="s">
        <v>11873</v>
      </c>
      <c r="E111" s="4" t="e">
        <v>#N/A</v>
      </c>
      <c r="H111" s="4" t="s">
        <v>11874</v>
      </c>
      <c r="I111" s="4" t="s">
        <v>11875</v>
      </c>
      <c r="K111" s="4" t="s">
        <v>11876</v>
      </c>
      <c r="L111" s="4" t="s">
        <v>11877</v>
      </c>
      <c r="N111" s="4" t="s">
        <v>11878</v>
      </c>
      <c r="O111" s="4" t="s">
        <v>11879</v>
      </c>
    </row>
    <row r="112" spans="1:15" ht="13">
      <c r="A112" s="4" t="s">
        <v>11880</v>
      </c>
      <c r="B112" s="4" t="s">
        <v>11881</v>
      </c>
      <c r="C112" s="4" t="s">
        <v>11882</v>
      </c>
      <c r="E112" s="4" t="s">
        <v>11883</v>
      </c>
      <c r="F112" s="4" t="s">
        <v>11884</v>
      </c>
      <c r="H112" s="4" t="s">
        <v>11885</v>
      </c>
      <c r="I112" s="4" t="s">
        <v>11886</v>
      </c>
      <c r="K112" s="4" t="s">
        <v>11887</v>
      </c>
      <c r="L112" s="4" t="s">
        <v>11888</v>
      </c>
      <c r="N112" s="4" t="s">
        <v>11889</v>
      </c>
      <c r="O112" s="4" t="s">
        <v>11890</v>
      </c>
    </row>
    <row r="113" spans="1:15" ht="13">
      <c r="A113" s="4" t="s">
        <v>11891</v>
      </c>
      <c r="B113" s="4" t="e">
        <v>#N/A</v>
      </c>
      <c r="E113" s="4" t="s">
        <v>11892</v>
      </c>
      <c r="F113" s="4" t="s">
        <v>11893</v>
      </c>
      <c r="H113" s="4" t="s">
        <v>11894</v>
      </c>
      <c r="I113" s="4" t="s">
        <v>11895</v>
      </c>
      <c r="K113" s="4" t="e">
        <v>#N/A</v>
      </c>
      <c r="N113" s="4" t="s">
        <v>11896</v>
      </c>
      <c r="O113" s="4" t="s">
        <v>11897</v>
      </c>
    </row>
    <row r="114" spans="1:15" ht="13">
      <c r="A114" s="4" t="s">
        <v>11898</v>
      </c>
      <c r="B114" s="4" t="s">
        <v>11899</v>
      </c>
      <c r="C114" s="4" t="s">
        <v>11900</v>
      </c>
      <c r="E114" s="4" t="s">
        <v>11901</v>
      </c>
      <c r="F114" s="4" t="s">
        <v>11903</v>
      </c>
      <c r="H114" s="4" t="e">
        <v>#N/A</v>
      </c>
      <c r="K114" s="4" t="e">
        <v>#N/A</v>
      </c>
      <c r="N114" s="4" t="s">
        <v>11904</v>
      </c>
      <c r="O114" s="4" t="s">
        <v>11905</v>
      </c>
    </row>
    <row r="115" spans="1:15" ht="13">
      <c r="A115" s="4" t="s">
        <v>11906</v>
      </c>
      <c r="B115" s="4" t="e">
        <v>#N/A</v>
      </c>
      <c r="E115" s="4" t="e">
        <v>#N/A</v>
      </c>
      <c r="H115" s="4" t="s">
        <v>11907</v>
      </c>
      <c r="I115" s="4" t="s">
        <v>11908</v>
      </c>
      <c r="K115" s="4" t="e">
        <v>#N/A</v>
      </c>
      <c r="N115" s="4" t="e">
        <v>#N/A</v>
      </c>
    </row>
    <row r="116" spans="1:15" ht="13">
      <c r="A116" s="4" t="s">
        <v>11909</v>
      </c>
      <c r="B116" s="4" t="s">
        <v>11910</v>
      </c>
      <c r="C116" s="4" t="s">
        <v>11911</v>
      </c>
      <c r="E116" s="4" t="e">
        <v>#N/A</v>
      </c>
      <c r="H116" s="4" t="s">
        <v>11912</v>
      </c>
      <c r="I116" s="4" t="s">
        <v>11913</v>
      </c>
      <c r="K116" s="4" t="s">
        <v>11914</v>
      </c>
      <c r="L116" s="4" t="s">
        <v>11915</v>
      </c>
      <c r="N116" s="4" t="e">
        <v>#N/A</v>
      </c>
    </row>
    <row r="117" spans="1:15" ht="13">
      <c r="A117" s="4" t="s">
        <v>11916</v>
      </c>
      <c r="B117" s="4" t="e">
        <v>#N/A</v>
      </c>
      <c r="E117" s="4" t="s">
        <v>11917</v>
      </c>
      <c r="F117" s="4" t="s">
        <v>11918</v>
      </c>
      <c r="H117" s="4" t="s">
        <v>11919</v>
      </c>
      <c r="I117" s="4" t="s">
        <v>11920</v>
      </c>
      <c r="K117" s="4" t="e">
        <v>#N/A</v>
      </c>
      <c r="N117" s="4" t="s">
        <v>11921</v>
      </c>
      <c r="O117" s="4" t="s">
        <v>11922</v>
      </c>
    </row>
    <row r="118" spans="1:15" ht="13">
      <c r="A118" s="4" t="s">
        <v>11923</v>
      </c>
      <c r="B118" s="4" t="e">
        <v>#N/A</v>
      </c>
      <c r="E118" s="4" t="e">
        <v>#N/A</v>
      </c>
      <c r="H118" s="4" t="s">
        <v>11924</v>
      </c>
      <c r="I118" s="4" t="s">
        <v>11925</v>
      </c>
      <c r="K118" s="4" t="s">
        <v>11926</v>
      </c>
      <c r="L118" s="4" t="s">
        <v>11927</v>
      </c>
      <c r="N118" s="4" t="s">
        <v>11928</v>
      </c>
      <c r="O118" s="4" t="s">
        <v>11929</v>
      </c>
    </row>
    <row r="119" spans="1:15" ht="13">
      <c r="A119" s="4" t="s">
        <v>11930</v>
      </c>
      <c r="B119" s="4" t="s">
        <v>11931</v>
      </c>
      <c r="C119" s="4" t="s">
        <v>11932</v>
      </c>
      <c r="E119" s="4"/>
      <c r="H119" s="4" t="e">
        <v>#N/A</v>
      </c>
      <c r="K119" s="4" t="s">
        <v>11934</v>
      </c>
      <c r="L119" s="4" t="s">
        <v>11935</v>
      </c>
      <c r="N119" s="4" t="s">
        <v>11936</v>
      </c>
      <c r="O119" s="4" t="s">
        <v>11937</v>
      </c>
    </row>
    <row r="120" spans="1:15" ht="13">
      <c r="A120" s="4" t="s">
        <v>11938</v>
      </c>
      <c r="B120" s="4" t="e">
        <v>#N/A</v>
      </c>
      <c r="E120" s="4" t="e">
        <v>#N/A</v>
      </c>
      <c r="H120" s="4" t="e">
        <v>#N/A</v>
      </c>
      <c r="K120" s="4" t="e">
        <v>#N/A</v>
      </c>
      <c r="N120" s="4" t="s">
        <v>11939</v>
      </c>
      <c r="O120" s="4" t="s">
        <v>11940</v>
      </c>
    </row>
    <row r="121" spans="1:15" ht="13">
      <c r="A121" s="4" t="s">
        <v>11941</v>
      </c>
      <c r="B121" s="4" t="e">
        <v>#N/A</v>
      </c>
      <c r="E121" s="4" t="e">
        <v>#N/A</v>
      </c>
      <c r="H121" s="4" t="s">
        <v>11942</v>
      </c>
      <c r="I121" s="4" t="s">
        <v>11943</v>
      </c>
      <c r="K121" s="4" t="e">
        <v>#N/A</v>
      </c>
      <c r="N121" s="4" t="s">
        <v>11944</v>
      </c>
      <c r="O121" s="4" t="s">
        <v>11945</v>
      </c>
    </row>
    <row r="122" spans="1:15" ht="13">
      <c r="A122" s="4" t="s">
        <v>11946</v>
      </c>
      <c r="B122" s="4" t="s">
        <v>11947</v>
      </c>
      <c r="C122" s="4" t="s">
        <v>11948</v>
      </c>
      <c r="E122" s="4" t="s">
        <v>11949</v>
      </c>
      <c r="F122" s="4" t="s">
        <v>11950</v>
      </c>
      <c r="H122" s="4" t="e">
        <v>#N/A</v>
      </c>
      <c r="K122" s="4" t="e">
        <v>#N/A</v>
      </c>
      <c r="N122" s="4" t="s">
        <v>11951</v>
      </c>
      <c r="O122" s="4" t="s">
        <v>11952</v>
      </c>
    </row>
    <row r="123" spans="1:15" ht="13">
      <c r="A123" s="4" t="s">
        <v>11953</v>
      </c>
      <c r="B123" s="4" t="s">
        <v>11954</v>
      </c>
      <c r="C123" s="4" t="s">
        <v>11955</v>
      </c>
      <c r="E123" s="4" t="s">
        <v>11956</v>
      </c>
      <c r="F123" s="4" t="s">
        <v>11957</v>
      </c>
      <c r="H123" s="4" t="s">
        <v>11958</v>
      </c>
      <c r="I123" s="4" t="s">
        <v>11959</v>
      </c>
      <c r="K123" s="4" t="s">
        <v>11960</v>
      </c>
      <c r="L123" s="4" t="s">
        <v>11961</v>
      </c>
      <c r="N123" s="4" t="s">
        <v>11962</v>
      </c>
      <c r="O123" s="4" t="s">
        <v>11963</v>
      </c>
    </row>
    <row r="124" spans="1:15" ht="13">
      <c r="A124" s="4" t="s">
        <v>11964</v>
      </c>
      <c r="B124" s="4" t="s">
        <v>11965</v>
      </c>
      <c r="C124" s="4" t="s">
        <v>11966</v>
      </c>
      <c r="E124" s="4" t="s">
        <v>11967</v>
      </c>
      <c r="F124" s="4" t="s">
        <v>11968</v>
      </c>
      <c r="H124" s="4" t="e">
        <v>#N/A</v>
      </c>
      <c r="K124" s="4" t="s">
        <v>11969</v>
      </c>
      <c r="L124" s="4" t="s">
        <v>11970</v>
      </c>
      <c r="N124" s="4" t="s">
        <v>11971</v>
      </c>
      <c r="O124" s="4" t="s">
        <v>11972</v>
      </c>
    </row>
    <row r="125" spans="1:15" ht="13">
      <c r="A125" s="4" t="s">
        <v>11973</v>
      </c>
      <c r="B125" s="4" t="s">
        <v>11974</v>
      </c>
      <c r="C125" s="4" t="s">
        <v>11975</v>
      </c>
      <c r="E125" s="4" t="s">
        <v>11976</v>
      </c>
      <c r="F125" s="4" t="s">
        <v>11977</v>
      </c>
      <c r="H125" s="4" t="s">
        <v>11978</v>
      </c>
      <c r="I125" s="4" t="s">
        <v>11980</v>
      </c>
      <c r="K125" s="4" t="s">
        <v>11981</v>
      </c>
      <c r="L125" s="4" t="s">
        <v>11982</v>
      </c>
      <c r="N125" s="4" t="s">
        <v>11983</v>
      </c>
      <c r="O125" s="4" t="s">
        <v>11984</v>
      </c>
    </row>
    <row r="126" spans="1:15" ht="13">
      <c r="A126" s="4" t="s">
        <v>11985</v>
      </c>
      <c r="B126" s="4" t="s">
        <v>11986</v>
      </c>
      <c r="C126" s="4" t="s">
        <v>11987</v>
      </c>
      <c r="E126" s="4" t="s">
        <v>11988</v>
      </c>
      <c r="F126" s="4" t="s">
        <v>11989</v>
      </c>
      <c r="H126" s="4" t="e">
        <v>#N/A</v>
      </c>
      <c r="K126" s="4" t="e">
        <v>#N/A</v>
      </c>
      <c r="N126" s="4" t="s">
        <v>11990</v>
      </c>
      <c r="O126" s="4" t="s">
        <v>11991</v>
      </c>
    </row>
    <row r="127" spans="1:15" ht="13">
      <c r="A127" s="4" t="s">
        <v>11992</v>
      </c>
      <c r="B127" s="4" t="s">
        <v>11993</v>
      </c>
      <c r="C127" s="4" t="s">
        <v>11994</v>
      </c>
      <c r="E127" s="4" t="s">
        <v>11995</v>
      </c>
      <c r="F127" s="4" t="s">
        <v>11996</v>
      </c>
      <c r="H127" s="4" t="s">
        <v>11997</v>
      </c>
      <c r="I127" s="4" t="s">
        <v>11998</v>
      </c>
      <c r="K127" s="4" t="s">
        <v>11999</v>
      </c>
      <c r="L127" s="4" t="s">
        <v>12000</v>
      </c>
      <c r="N127" s="4" t="s">
        <v>12001</v>
      </c>
      <c r="O127" s="4" t="s">
        <v>12002</v>
      </c>
    </row>
    <row r="128" spans="1:15" ht="13">
      <c r="A128" s="4" t="s">
        <v>12003</v>
      </c>
      <c r="B128" s="4" t="e">
        <v>#N/A</v>
      </c>
      <c r="E128" s="4" t="s">
        <v>12004</v>
      </c>
      <c r="F128" s="4" t="s">
        <v>12005</v>
      </c>
      <c r="H128" s="4" t="e">
        <v>#N/A</v>
      </c>
      <c r="K128" s="4" t="s">
        <v>12006</v>
      </c>
      <c r="L128" s="4" t="s">
        <v>12007</v>
      </c>
      <c r="N128" s="4" t="e">
        <v>#N/A</v>
      </c>
    </row>
    <row r="129" spans="1:15" ht="13">
      <c r="A129" s="4" t="s">
        <v>12008</v>
      </c>
      <c r="B129" s="4" t="s">
        <v>12009</v>
      </c>
      <c r="C129" s="4" t="s">
        <v>12010</v>
      </c>
      <c r="E129" s="4" t="s">
        <v>12011</v>
      </c>
      <c r="F129" s="4" t="s">
        <v>12012</v>
      </c>
      <c r="H129" s="4" t="s">
        <v>12013</v>
      </c>
      <c r="I129" s="4" t="s">
        <v>12014</v>
      </c>
      <c r="K129" s="4" t="e">
        <v>#N/A</v>
      </c>
      <c r="N129" s="4" t="s">
        <v>12016</v>
      </c>
      <c r="O129" s="4" t="s">
        <v>12017</v>
      </c>
    </row>
    <row r="130" spans="1:15" ht="13">
      <c r="A130" s="4" t="s">
        <v>12018</v>
      </c>
      <c r="B130" s="4" t="s">
        <v>12019</v>
      </c>
      <c r="C130" s="4" t="s">
        <v>12020</v>
      </c>
      <c r="E130" s="4" t="s">
        <v>12021</v>
      </c>
      <c r="F130" s="4" t="s">
        <v>12022</v>
      </c>
      <c r="H130" s="4" t="e">
        <v>#N/A</v>
      </c>
      <c r="K130" s="4" t="e">
        <v>#N/A</v>
      </c>
      <c r="N130" s="4" t="s">
        <v>12023</v>
      </c>
      <c r="O130" s="4" t="s">
        <v>12024</v>
      </c>
    </row>
    <row r="131" spans="1:15" ht="13">
      <c r="A131" s="4" t="s">
        <v>12025</v>
      </c>
      <c r="B131" s="4" t="s">
        <v>12026</v>
      </c>
      <c r="C131" s="4" t="s">
        <v>12027</v>
      </c>
      <c r="E131" s="4" t="s">
        <v>12028</v>
      </c>
      <c r="F131" s="4" t="s">
        <v>12029</v>
      </c>
      <c r="H131" s="4" t="s">
        <v>12030</v>
      </c>
      <c r="I131" s="4" t="s">
        <v>12031</v>
      </c>
      <c r="K131" s="4" t="e">
        <v>#N/A</v>
      </c>
      <c r="N131" s="4" t="s">
        <v>12032</v>
      </c>
      <c r="O131" s="4" t="s">
        <v>12033</v>
      </c>
    </row>
    <row r="132" spans="1:15" ht="13">
      <c r="A132" s="4" t="s">
        <v>12034</v>
      </c>
      <c r="B132" s="4" t="e">
        <v>#N/A</v>
      </c>
      <c r="E132" s="4" t="s">
        <v>12035</v>
      </c>
      <c r="F132" s="4" t="s">
        <v>12036</v>
      </c>
      <c r="H132" s="4" t="s">
        <v>12037</v>
      </c>
      <c r="I132" s="4" t="s">
        <v>12038</v>
      </c>
      <c r="K132" s="4" t="s">
        <v>12039</v>
      </c>
      <c r="L132" s="4" t="s">
        <v>12040</v>
      </c>
      <c r="N132" s="4" t="s">
        <v>12041</v>
      </c>
      <c r="O132" s="4" t="s">
        <v>12042</v>
      </c>
    </row>
    <row r="133" spans="1:15" ht="13">
      <c r="A133" s="4" t="s">
        <v>12043</v>
      </c>
      <c r="B133" s="4" t="e">
        <v>#N/A</v>
      </c>
      <c r="E133" s="4" t="s">
        <v>12044</v>
      </c>
      <c r="F133" s="4" t="s">
        <v>12045</v>
      </c>
      <c r="H133" s="4" t="e">
        <v>#N/A</v>
      </c>
      <c r="K133" s="4" t="s">
        <v>12046</v>
      </c>
      <c r="L133" s="4" t="s">
        <v>12047</v>
      </c>
      <c r="N133" s="4" t="s">
        <v>12048</v>
      </c>
      <c r="O133" s="4" t="s">
        <v>12049</v>
      </c>
    </row>
    <row r="134" spans="1:15" ht="13">
      <c r="A134" s="4" t="s">
        <v>12050</v>
      </c>
      <c r="B134" s="4" t="s">
        <v>12051</v>
      </c>
      <c r="C134" s="4" t="s">
        <v>12052</v>
      </c>
      <c r="E134" s="4" t="s">
        <v>12053</v>
      </c>
      <c r="F134" s="4" t="s">
        <v>12054</v>
      </c>
      <c r="H134" s="4" t="s">
        <v>12055</v>
      </c>
      <c r="I134" s="4" t="s">
        <v>12056</v>
      </c>
      <c r="K134" s="4" t="s">
        <v>12057</v>
      </c>
      <c r="L134" s="4" t="s">
        <v>12058</v>
      </c>
      <c r="N134" s="4" t="s">
        <v>12059</v>
      </c>
      <c r="O134" s="4" t="s">
        <v>12060</v>
      </c>
    </row>
    <row r="135" spans="1:15" ht="13">
      <c r="A135" s="4" t="s">
        <v>12061</v>
      </c>
      <c r="B135" s="4" t="s">
        <v>12062</v>
      </c>
      <c r="C135" s="4" t="s">
        <v>12063</v>
      </c>
      <c r="E135" s="4" t="s">
        <v>12064</v>
      </c>
      <c r="F135" s="4" t="s">
        <v>12065</v>
      </c>
      <c r="H135" s="4" t="s">
        <v>12066</v>
      </c>
      <c r="I135" s="4" t="s">
        <v>12067</v>
      </c>
      <c r="K135" s="4" t="s">
        <v>12068</v>
      </c>
      <c r="L135" s="4" t="s">
        <v>12069</v>
      </c>
      <c r="N135" s="4" t="s">
        <v>12070</v>
      </c>
      <c r="O135" s="4" t="s">
        <v>12071</v>
      </c>
    </row>
    <row r="136" spans="1:15" ht="13">
      <c r="A136" s="4" t="s">
        <v>12073</v>
      </c>
      <c r="B136" s="4" t="e">
        <v>#N/A</v>
      </c>
      <c r="E136" s="4" t="s">
        <v>12074</v>
      </c>
      <c r="F136" s="4" t="s">
        <v>12075</v>
      </c>
      <c r="H136" s="4" t="s">
        <v>12076</v>
      </c>
      <c r="I136" s="4" t="s">
        <v>12077</v>
      </c>
      <c r="K136" s="4" t="s">
        <v>12078</v>
      </c>
      <c r="L136" s="4" t="s">
        <v>12079</v>
      </c>
      <c r="N136" s="4" t="s">
        <v>12080</v>
      </c>
      <c r="O136" s="4" t="s">
        <v>12081</v>
      </c>
    </row>
    <row r="137" spans="1:15" ht="13">
      <c r="A137" s="4" t="s">
        <v>12082</v>
      </c>
      <c r="B137" s="4" t="e">
        <v>#N/A</v>
      </c>
      <c r="E137" s="4" t="e">
        <v>#N/A</v>
      </c>
      <c r="H137" s="4" t="s">
        <v>12083</v>
      </c>
      <c r="I137" s="4" t="s">
        <v>12084</v>
      </c>
      <c r="K137" s="4" t="e">
        <v>#N/A</v>
      </c>
      <c r="N137" s="4" t="e">
        <v>#N/A</v>
      </c>
    </row>
    <row r="138" spans="1:15" ht="13">
      <c r="A138" s="4" t="s">
        <v>12085</v>
      </c>
      <c r="B138" s="4" t="e">
        <v>#N/A</v>
      </c>
      <c r="E138" s="4" t="s">
        <v>12086</v>
      </c>
      <c r="F138" s="4" t="s">
        <v>12087</v>
      </c>
      <c r="H138" s="4" t="s">
        <v>12088</v>
      </c>
      <c r="I138" s="4" t="s">
        <v>12089</v>
      </c>
      <c r="K138" s="4" t="s">
        <v>12090</v>
      </c>
      <c r="L138" s="4" t="s">
        <v>12091</v>
      </c>
      <c r="N138" s="4" t="s">
        <v>12092</v>
      </c>
      <c r="O138" s="4" t="s">
        <v>12093</v>
      </c>
    </row>
    <row r="139" spans="1:15" ht="13">
      <c r="A139" s="4" t="s">
        <v>12094</v>
      </c>
      <c r="B139" s="4" t="s">
        <v>12095</v>
      </c>
      <c r="C139" s="4" t="s">
        <v>12096</v>
      </c>
      <c r="E139" s="4" t="e">
        <v>#N/A</v>
      </c>
      <c r="H139" s="4" t="s">
        <v>12097</v>
      </c>
      <c r="I139" s="4" t="s">
        <v>12098</v>
      </c>
      <c r="K139" s="4" t="e">
        <v>#N/A</v>
      </c>
      <c r="N139" s="4" t="s">
        <v>12099</v>
      </c>
      <c r="O139" s="4" t="s">
        <v>12100</v>
      </c>
    </row>
    <row r="140" spans="1:15" ht="13">
      <c r="A140" s="4" t="s">
        <v>12101</v>
      </c>
      <c r="B140" s="4" t="s">
        <v>12102</v>
      </c>
      <c r="C140" s="4" t="s">
        <v>12103</v>
      </c>
      <c r="E140" s="4" t="e">
        <v>#N/A</v>
      </c>
      <c r="H140" s="4" t="s">
        <v>12104</v>
      </c>
      <c r="I140" s="4" t="s">
        <v>12105</v>
      </c>
      <c r="K140" s="4" t="e">
        <v>#N/A</v>
      </c>
      <c r="N140" s="4" t="s">
        <v>12106</v>
      </c>
      <c r="O140" s="4" t="s">
        <v>12107</v>
      </c>
    </row>
    <row r="141" spans="1:15" ht="13">
      <c r="A141" s="4" t="s">
        <v>12108</v>
      </c>
      <c r="B141" s="4" t="e">
        <v>#N/A</v>
      </c>
      <c r="E141" s="4" t="s">
        <v>12109</v>
      </c>
      <c r="F141" s="4" t="s">
        <v>12110</v>
      </c>
      <c r="H141" s="4" t="e">
        <v>#N/A</v>
      </c>
      <c r="K141" s="4" t="e">
        <v>#N/A</v>
      </c>
      <c r="N141" s="4" t="s">
        <v>12111</v>
      </c>
      <c r="O141" s="4" t="s">
        <v>12112</v>
      </c>
    </row>
    <row r="142" spans="1:15" ht="13">
      <c r="A142" s="4" t="s">
        <v>12113</v>
      </c>
      <c r="B142" s="4" t="s">
        <v>12114</v>
      </c>
      <c r="C142" s="4" t="s">
        <v>12115</v>
      </c>
      <c r="E142" s="4" t="s">
        <v>12116</v>
      </c>
      <c r="F142" s="4" t="s">
        <v>12118</v>
      </c>
      <c r="H142" s="4" t="s">
        <v>12119</v>
      </c>
      <c r="I142" s="4" t="s">
        <v>12120</v>
      </c>
      <c r="K142" s="4" t="s">
        <v>12121</v>
      </c>
      <c r="L142" s="4" t="s">
        <v>12122</v>
      </c>
      <c r="N142" s="4" t="s">
        <v>12123</v>
      </c>
      <c r="O142" s="4" t="s">
        <v>12124</v>
      </c>
    </row>
    <row r="143" spans="1:15" ht="13">
      <c r="A143" s="4" t="s">
        <v>12125</v>
      </c>
      <c r="B143" s="4" t="e">
        <v>#N/A</v>
      </c>
      <c r="E143" s="4" t="s">
        <v>12126</v>
      </c>
      <c r="F143" s="4" t="s">
        <v>12127</v>
      </c>
      <c r="H143" s="4" t="e">
        <v>#N/A</v>
      </c>
      <c r="K143" s="4" t="s">
        <v>12128</v>
      </c>
      <c r="L143" s="4" t="s">
        <v>12129</v>
      </c>
      <c r="N143" s="4" t="e">
        <v>#N/A</v>
      </c>
    </row>
    <row r="144" spans="1:15" ht="13">
      <c r="A144" s="4" t="s">
        <v>12130</v>
      </c>
      <c r="B144" s="4" t="s">
        <v>12131</v>
      </c>
      <c r="C144" s="4" t="s">
        <v>12132</v>
      </c>
      <c r="E144" s="4" t="s">
        <v>12133</v>
      </c>
      <c r="F144" s="4" t="s">
        <v>12134</v>
      </c>
      <c r="H144" s="4" t="s">
        <v>12135</v>
      </c>
      <c r="I144" s="4" t="s">
        <v>12136</v>
      </c>
      <c r="K144" s="4" t="s">
        <v>12137</v>
      </c>
      <c r="L144" s="4" t="s">
        <v>12138</v>
      </c>
      <c r="N144" s="4" t="e">
        <v>#N/A</v>
      </c>
    </row>
    <row r="145" spans="1:15" ht="13">
      <c r="A145" s="4" t="s">
        <v>12139</v>
      </c>
      <c r="B145" s="4" t="s">
        <v>12140</v>
      </c>
      <c r="C145" s="4" t="s">
        <v>12141</v>
      </c>
      <c r="E145" s="4" t="e">
        <v>#N/A</v>
      </c>
      <c r="H145" s="4" t="s">
        <v>12142</v>
      </c>
      <c r="I145" s="4" t="s">
        <v>12143</v>
      </c>
      <c r="K145" s="4" t="s">
        <v>12144</v>
      </c>
      <c r="L145" s="4" t="s">
        <v>12145</v>
      </c>
      <c r="N145" s="4" t="e">
        <v>#N/A</v>
      </c>
    </row>
    <row r="146" spans="1:15" ht="13">
      <c r="A146" s="4" t="s">
        <v>12146</v>
      </c>
      <c r="B146" s="4" t="s">
        <v>12147</v>
      </c>
      <c r="C146" s="4" t="s">
        <v>12148</v>
      </c>
      <c r="E146" s="4" t="s">
        <v>12149</v>
      </c>
      <c r="F146" s="4" t="s">
        <v>12150</v>
      </c>
      <c r="H146" s="4" t="s">
        <v>12151</v>
      </c>
      <c r="I146" s="4" t="s">
        <v>12152</v>
      </c>
      <c r="K146" s="4" t="s">
        <v>12153</v>
      </c>
      <c r="L146" s="4" t="s">
        <v>12154</v>
      </c>
      <c r="N146" s="4" t="s">
        <v>12155</v>
      </c>
      <c r="O146" s="4" t="s">
        <v>12156</v>
      </c>
    </row>
    <row r="147" spans="1:15" ht="13">
      <c r="A147" s="4" t="s">
        <v>12157</v>
      </c>
      <c r="B147" s="4" t="s">
        <v>12158</v>
      </c>
      <c r="C147" s="4" t="s">
        <v>12159</v>
      </c>
      <c r="E147" s="4" t="s">
        <v>12160</v>
      </c>
      <c r="F147" s="4" t="s">
        <v>12162</v>
      </c>
      <c r="H147" s="4" t="s">
        <v>12163</v>
      </c>
      <c r="I147" s="4" t="s">
        <v>12164</v>
      </c>
      <c r="K147" s="4" t="s">
        <v>12165</v>
      </c>
      <c r="L147" s="4" t="s">
        <v>12166</v>
      </c>
      <c r="N147" s="4" t="s">
        <v>12167</v>
      </c>
      <c r="O147" s="4" t="s">
        <v>12168</v>
      </c>
    </row>
    <row r="148" spans="1:15" ht="13">
      <c r="A148" s="4" t="s">
        <v>12169</v>
      </c>
      <c r="B148" s="4" t="s">
        <v>12170</v>
      </c>
      <c r="C148" s="4" t="s">
        <v>12171</v>
      </c>
      <c r="E148" s="4" t="s">
        <v>12172</v>
      </c>
      <c r="F148" s="4" t="s">
        <v>12173</v>
      </c>
      <c r="H148" s="4" t="e">
        <v>#N/A</v>
      </c>
      <c r="K148" s="4" t="s">
        <v>12174</v>
      </c>
      <c r="L148" s="4" t="s">
        <v>12175</v>
      </c>
      <c r="N148" s="4" t="e">
        <v>#N/A</v>
      </c>
    </row>
    <row r="149" spans="1:15" ht="13">
      <c r="A149" s="4" t="s">
        <v>12176</v>
      </c>
      <c r="B149" s="4" t="e">
        <v>#N/A</v>
      </c>
      <c r="E149" s="4" t="e">
        <v>#N/A</v>
      </c>
      <c r="H149" s="4" t="s">
        <v>12177</v>
      </c>
      <c r="I149" s="4" t="s">
        <v>12178</v>
      </c>
      <c r="K149" s="4" t="e">
        <v>#N/A</v>
      </c>
      <c r="N149" s="4" t="s">
        <v>12179</v>
      </c>
      <c r="O149" s="4" t="s">
        <v>12180</v>
      </c>
    </row>
    <row r="150" spans="1:15" ht="13">
      <c r="A150" s="4" t="s">
        <v>12181</v>
      </c>
      <c r="B150" s="4" t="s">
        <v>12182</v>
      </c>
      <c r="C150" s="4" t="s">
        <v>12183</v>
      </c>
      <c r="E150" s="4" t="s">
        <v>12184</v>
      </c>
      <c r="F150" s="4" t="s">
        <v>12185</v>
      </c>
      <c r="H150" s="4" t="e">
        <v>#N/A</v>
      </c>
      <c r="K150" s="4" t="s">
        <v>12186</v>
      </c>
      <c r="L150" s="4" t="s">
        <v>12187</v>
      </c>
      <c r="N150" s="4" t="s">
        <v>12188</v>
      </c>
      <c r="O150" s="4" t="s">
        <v>12189</v>
      </c>
    </row>
    <row r="151" spans="1:15" ht="13">
      <c r="A151" s="4" t="s">
        <v>12190</v>
      </c>
      <c r="B151" s="4" t="s">
        <v>12191</v>
      </c>
      <c r="C151" s="4" t="s">
        <v>12192</v>
      </c>
      <c r="E151" s="4" t="s">
        <v>12193</v>
      </c>
      <c r="F151" s="4" t="s">
        <v>12194</v>
      </c>
      <c r="H151" s="4" t="s">
        <v>12195</v>
      </c>
      <c r="I151" s="4" t="s">
        <v>135</v>
      </c>
      <c r="J151" s="4" t="s">
        <v>12196</v>
      </c>
      <c r="K151" s="4" t="e">
        <v>#N/A</v>
      </c>
      <c r="N151" s="4" t="s">
        <v>12197</v>
      </c>
      <c r="O151" s="4" t="s">
        <v>12198</v>
      </c>
    </row>
    <row r="152" spans="1:15" ht="13">
      <c r="A152" s="4" t="s">
        <v>12199</v>
      </c>
      <c r="B152" s="4" t="e">
        <v>#N/A</v>
      </c>
      <c r="E152" s="4" t="s">
        <v>12200</v>
      </c>
      <c r="F152" s="4" t="s">
        <v>12201</v>
      </c>
      <c r="H152" s="4" t="s">
        <v>12202</v>
      </c>
      <c r="I152" s="4" t="s">
        <v>12203</v>
      </c>
      <c r="K152" s="4" t="s">
        <v>12204</v>
      </c>
      <c r="L152" s="4" t="s">
        <v>12205</v>
      </c>
      <c r="N152" s="4" t="s">
        <v>12206</v>
      </c>
      <c r="O152" s="4" t="s">
        <v>12207</v>
      </c>
    </row>
    <row r="153" spans="1:15" ht="13">
      <c r="A153" s="4" t="s">
        <v>12208</v>
      </c>
      <c r="B153" s="4" t="s">
        <v>12209</v>
      </c>
      <c r="C153" s="4" t="s">
        <v>12210</v>
      </c>
      <c r="E153" s="4" t="s">
        <v>12211</v>
      </c>
      <c r="F153" s="4" t="s">
        <v>12212</v>
      </c>
      <c r="H153" s="4" t="s">
        <v>12213</v>
      </c>
      <c r="I153" s="4" t="s">
        <v>12214</v>
      </c>
      <c r="K153" s="4" t="e">
        <v>#N/A</v>
      </c>
      <c r="N153" s="4" t="s">
        <v>12215</v>
      </c>
      <c r="O153" s="4" t="s">
        <v>12217</v>
      </c>
    </row>
    <row r="154" spans="1:15" ht="13">
      <c r="A154" s="4" t="s">
        <v>12218</v>
      </c>
      <c r="B154" s="4" t="s">
        <v>12219</v>
      </c>
      <c r="C154" s="4" t="s">
        <v>12220</v>
      </c>
      <c r="E154" s="4" t="e">
        <v>#N/A</v>
      </c>
      <c r="H154" s="4" t="s">
        <v>12221</v>
      </c>
      <c r="I154" s="4" t="s">
        <v>12222</v>
      </c>
      <c r="K154" s="4" t="s">
        <v>12223</v>
      </c>
      <c r="L154" s="4" t="s">
        <v>12224</v>
      </c>
      <c r="N154" s="4" t="s">
        <v>12225</v>
      </c>
      <c r="O154" s="4" t="s">
        <v>12226</v>
      </c>
    </row>
    <row r="155" spans="1:15" ht="13">
      <c r="A155" s="4" t="s">
        <v>12227</v>
      </c>
      <c r="B155" s="4" t="s">
        <v>12228</v>
      </c>
      <c r="C155" s="4" t="s">
        <v>12229</v>
      </c>
      <c r="E155" s="4" t="s">
        <v>12230</v>
      </c>
      <c r="F155" s="4" t="s">
        <v>12231</v>
      </c>
      <c r="H155" s="4" t="e">
        <v>#N/A</v>
      </c>
      <c r="K155" s="4" t="s">
        <v>12232</v>
      </c>
      <c r="L155" s="4" t="s">
        <v>12233</v>
      </c>
      <c r="N155" s="4" t="s">
        <v>12234</v>
      </c>
      <c r="O155" s="4" t="s">
        <v>12235</v>
      </c>
    </row>
    <row r="156" spans="1:15" ht="13">
      <c r="A156" s="4" t="s">
        <v>12236</v>
      </c>
      <c r="B156" s="4" t="s">
        <v>12237</v>
      </c>
      <c r="C156" s="4" t="s">
        <v>12238</v>
      </c>
      <c r="E156" s="4" t="s">
        <v>12239</v>
      </c>
      <c r="F156" s="4" t="s">
        <v>12240</v>
      </c>
      <c r="H156" s="4" t="s">
        <v>12241</v>
      </c>
      <c r="I156" s="4" t="s">
        <v>12242</v>
      </c>
      <c r="K156" s="4" t="e">
        <v>#N/A</v>
      </c>
      <c r="N156" s="4" t="s">
        <v>12243</v>
      </c>
      <c r="O156" s="4" t="s">
        <v>12244</v>
      </c>
    </row>
    <row r="157" spans="1:15" ht="13">
      <c r="A157" s="4" t="s">
        <v>12245</v>
      </c>
      <c r="B157" s="4" t="e">
        <v>#N/A</v>
      </c>
      <c r="E157" s="4" t="e">
        <v>#N/A</v>
      </c>
      <c r="H157" s="4" t="e">
        <v>#N/A</v>
      </c>
      <c r="K157" s="4" t="s">
        <v>12246</v>
      </c>
      <c r="L157" s="4" t="s">
        <v>12247</v>
      </c>
      <c r="N157" s="4" t="s">
        <v>12248</v>
      </c>
      <c r="O157" s="4" t="s">
        <v>12249</v>
      </c>
    </row>
    <row r="158" spans="1:15" ht="13">
      <c r="A158" s="4" t="s">
        <v>12250</v>
      </c>
      <c r="B158" s="4" t="s">
        <v>12251</v>
      </c>
      <c r="C158" s="4" t="s">
        <v>12252</v>
      </c>
      <c r="E158" s="4" t="s">
        <v>12253</v>
      </c>
      <c r="F158" s="4" t="s">
        <v>12254</v>
      </c>
      <c r="H158" s="4" t="s">
        <v>12255</v>
      </c>
      <c r="I158" s="4" t="s">
        <v>12256</v>
      </c>
      <c r="K158" s="4" t="e">
        <v>#N/A</v>
      </c>
      <c r="N158" s="4" t="s">
        <v>12257</v>
      </c>
      <c r="O158" s="4" t="s">
        <v>12258</v>
      </c>
    </row>
    <row r="159" spans="1:15" ht="13">
      <c r="A159" s="4" t="s">
        <v>12259</v>
      </c>
      <c r="B159" s="4" t="s">
        <v>12260</v>
      </c>
      <c r="C159" s="4" t="s">
        <v>12261</v>
      </c>
      <c r="E159" s="4" t="s">
        <v>12262</v>
      </c>
      <c r="F159" s="4" t="s">
        <v>12263</v>
      </c>
      <c r="H159" s="4" t="e">
        <v>#N/A</v>
      </c>
      <c r="K159" s="4" t="s">
        <v>12264</v>
      </c>
      <c r="L159" s="4" t="s">
        <v>12265</v>
      </c>
      <c r="N159" s="4" t="s">
        <v>12266</v>
      </c>
      <c r="O159" s="4" t="s">
        <v>12267</v>
      </c>
    </row>
    <row r="160" spans="1:15" ht="13">
      <c r="A160" s="4" t="s">
        <v>12268</v>
      </c>
      <c r="B160" s="4" t="s">
        <v>12269</v>
      </c>
      <c r="C160" s="4" t="s">
        <v>12270</v>
      </c>
      <c r="E160" s="4" t="s">
        <v>12271</v>
      </c>
      <c r="F160" s="4" t="s">
        <v>12272</v>
      </c>
      <c r="H160" s="4" t="s">
        <v>12273</v>
      </c>
      <c r="I160" s="4" t="s">
        <v>12275</v>
      </c>
      <c r="K160" s="4" t="s">
        <v>12276</v>
      </c>
      <c r="L160" s="4" t="s">
        <v>12277</v>
      </c>
      <c r="N160" s="4" t="s">
        <v>12278</v>
      </c>
      <c r="O160" s="4" t="s">
        <v>12279</v>
      </c>
    </row>
    <row r="161" spans="1:15" ht="13">
      <c r="A161" s="4" t="s">
        <v>12280</v>
      </c>
      <c r="B161" s="4" t="e">
        <v>#N/A</v>
      </c>
      <c r="E161" s="4" t="e">
        <v>#N/A</v>
      </c>
      <c r="H161" s="4" t="s">
        <v>12281</v>
      </c>
      <c r="I161" s="4" t="s">
        <v>12282</v>
      </c>
      <c r="K161" s="4" t="e">
        <v>#N/A</v>
      </c>
      <c r="N161" s="4" t="s">
        <v>12283</v>
      </c>
      <c r="O161" s="4" t="s">
        <v>12284</v>
      </c>
    </row>
    <row r="162" spans="1:15" ht="13">
      <c r="A162" s="4" t="s">
        <v>12286</v>
      </c>
      <c r="B162" s="4" t="s">
        <v>12287</v>
      </c>
      <c r="C162" s="4" t="s">
        <v>12288</v>
      </c>
      <c r="E162" s="4" t="s">
        <v>12289</v>
      </c>
      <c r="F162" s="4" t="s">
        <v>12290</v>
      </c>
      <c r="H162" s="4" t="e">
        <v>#N/A</v>
      </c>
      <c r="K162" s="4" t="e">
        <v>#N/A</v>
      </c>
      <c r="N162" s="4" t="e">
        <v>#N/A</v>
      </c>
    </row>
    <row r="163" spans="1:15" ht="13">
      <c r="A163" s="4" t="s">
        <v>12291</v>
      </c>
      <c r="B163" s="4" t="s">
        <v>12292</v>
      </c>
      <c r="C163" s="4" t="s">
        <v>12293</v>
      </c>
      <c r="E163" s="4" t="e">
        <v>#N/A</v>
      </c>
      <c r="H163" s="4" t="s">
        <v>12294</v>
      </c>
      <c r="I163" s="4" t="s">
        <v>12295</v>
      </c>
      <c r="K163" s="4" t="e">
        <v>#N/A</v>
      </c>
      <c r="N163" s="4" t="s">
        <v>12296</v>
      </c>
      <c r="O163" s="4" t="s">
        <v>12297</v>
      </c>
    </row>
    <row r="164" spans="1:15" ht="13">
      <c r="A164" s="4" t="s">
        <v>12298</v>
      </c>
      <c r="B164" s="4" t="e">
        <v>#N/A</v>
      </c>
      <c r="E164" s="4" t="s">
        <v>12299</v>
      </c>
      <c r="F164" s="4" t="s">
        <v>12300</v>
      </c>
      <c r="H164" s="4" t="s">
        <v>12301</v>
      </c>
      <c r="I164" s="4" t="s">
        <v>12302</v>
      </c>
      <c r="K164" s="4" t="s">
        <v>12303</v>
      </c>
      <c r="L164" s="4" t="s">
        <v>12304</v>
      </c>
      <c r="N164" s="4" t="s">
        <v>12305</v>
      </c>
      <c r="O164" s="4" t="s">
        <v>12306</v>
      </c>
    </row>
    <row r="165" spans="1:15" ht="13">
      <c r="A165" s="4" t="s">
        <v>12307</v>
      </c>
      <c r="B165" s="4" t="e">
        <v>#N/A</v>
      </c>
      <c r="E165" s="4" t="s">
        <v>12308</v>
      </c>
      <c r="F165" s="4" t="s">
        <v>12309</v>
      </c>
      <c r="H165" s="4" t="e">
        <v>#N/A</v>
      </c>
      <c r="K165" s="4" t="e">
        <v>#N/A</v>
      </c>
      <c r="N165" s="4" t="s">
        <v>12310</v>
      </c>
      <c r="O165" s="4" t="s">
        <v>12311</v>
      </c>
    </row>
    <row r="166" spans="1:15" ht="13">
      <c r="A166" s="4" t="s">
        <v>12312</v>
      </c>
      <c r="B166" s="4" t="e">
        <v>#N/A</v>
      </c>
      <c r="E166" s="4" t="e">
        <v>#N/A</v>
      </c>
      <c r="H166" s="4" t="e">
        <v>#N/A</v>
      </c>
      <c r="K166" s="4" t="s">
        <v>12313</v>
      </c>
      <c r="L166" s="4" t="s">
        <v>12314</v>
      </c>
      <c r="N166" s="4" t="s">
        <v>12315</v>
      </c>
      <c r="O166" s="4" t="s">
        <v>12316</v>
      </c>
    </row>
    <row r="167" spans="1:15" ht="13">
      <c r="A167" s="4" t="s">
        <v>12317</v>
      </c>
      <c r="B167" s="4" t="e">
        <v>#N/A</v>
      </c>
      <c r="E167" s="4" t="e">
        <v>#N/A</v>
      </c>
      <c r="H167" s="4" t="e">
        <v>#N/A</v>
      </c>
      <c r="K167" s="4" t="s">
        <v>12318</v>
      </c>
      <c r="L167" s="4" t="s">
        <v>135</v>
      </c>
      <c r="M167" s="4" t="s">
        <v>12319</v>
      </c>
      <c r="N167" s="4" t="s">
        <v>12320</v>
      </c>
      <c r="O167" s="4" t="s">
        <v>12321</v>
      </c>
    </row>
    <row r="168" spans="1:15" ht="13">
      <c r="A168" s="4" t="s">
        <v>12322</v>
      </c>
      <c r="B168" s="4" t="s">
        <v>12323</v>
      </c>
      <c r="C168" s="4" t="s">
        <v>12324</v>
      </c>
      <c r="E168" s="4" t="s">
        <v>12325</v>
      </c>
      <c r="F168" s="4" t="s">
        <v>12326</v>
      </c>
      <c r="H168" s="4" t="e">
        <v>#N/A</v>
      </c>
      <c r="K168" s="4" t="e">
        <v>#N/A</v>
      </c>
      <c r="N168" s="4" t="e">
        <v>#N/A</v>
      </c>
    </row>
    <row r="169" spans="1:15" ht="13">
      <c r="A169" s="4" t="s">
        <v>12327</v>
      </c>
      <c r="B169" s="4" t="e">
        <v>#N/A</v>
      </c>
      <c r="E169" s="4" t="e">
        <v>#N/A</v>
      </c>
      <c r="H169" s="4" t="s">
        <v>12328</v>
      </c>
      <c r="I169" s="4" t="s">
        <v>12329</v>
      </c>
      <c r="K169" s="4" t="s">
        <v>12330</v>
      </c>
      <c r="L169" s="4" t="s">
        <v>12331</v>
      </c>
      <c r="N169" s="4" t="s">
        <v>12332</v>
      </c>
      <c r="O169" s="4" t="s">
        <v>12333</v>
      </c>
    </row>
    <row r="170" spans="1:15" ht="13">
      <c r="A170" s="4" t="s">
        <v>12334</v>
      </c>
      <c r="B170" s="4" t="s">
        <v>12335</v>
      </c>
      <c r="C170" s="4" t="s">
        <v>12336</v>
      </c>
      <c r="E170" s="4" t="s">
        <v>12337</v>
      </c>
      <c r="F170" s="4" t="s">
        <v>12338</v>
      </c>
      <c r="H170" s="4" t="e">
        <v>#N/A</v>
      </c>
      <c r="K170" s="4" t="s">
        <v>12339</v>
      </c>
      <c r="L170" s="4" t="s">
        <v>12341</v>
      </c>
      <c r="N170" s="4" t="s">
        <v>12342</v>
      </c>
      <c r="O170" s="4" t="s">
        <v>12343</v>
      </c>
    </row>
    <row r="171" spans="1:15" ht="13">
      <c r="A171" s="4" t="s">
        <v>12344</v>
      </c>
      <c r="B171" s="4" t="s">
        <v>12345</v>
      </c>
      <c r="C171" s="4" t="s">
        <v>12346</v>
      </c>
      <c r="E171" s="4" t="s">
        <v>12347</v>
      </c>
      <c r="F171" s="4" t="s">
        <v>12348</v>
      </c>
      <c r="H171" s="4" t="e">
        <v>#N/A</v>
      </c>
      <c r="K171" s="4" t="e">
        <v>#N/A</v>
      </c>
      <c r="N171" s="4" t="s">
        <v>12349</v>
      </c>
      <c r="O171" s="4" t="s">
        <v>12350</v>
      </c>
    </row>
    <row r="172" spans="1:15" ht="13">
      <c r="A172" s="4" t="s">
        <v>12351</v>
      </c>
      <c r="B172" s="4" t="s">
        <v>12352</v>
      </c>
      <c r="C172" s="4" t="s">
        <v>12353</v>
      </c>
      <c r="E172" s="4" t="s">
        <v>12354</v>
      </c>
      <c r="F172" s="4" t="s">
        <v>12355</v>
      </c>
      <c r="H172" s="4" t="s">
        <v>12356</v>
      </c>
      <c r="I172" s="4" t="s">
        <v>12357</v>
      </c>
      <c r="K172" s="4" t="e">
        <v>#N/A</v>
      </c>
      <c r="N172" s="4" t="s">
        <v>12358</v>
      </c>
      <c r="O172" s="4" t="s">
        <v>12359</v>
      </c>
    </row>
    <row r="173" spans="1:15" ht="13">
      <c r="A173" s="4" t="s">
        <v>12360</v>
      </c>
      <c r="B173" s="4" t="e">
        <v>#N/A</v>
      </c>
      <c r="E173" s="4" t="s">
        <v>12361</v>
      </c>
      <c r="F173" s="4" t="s">
        <v>12362</v>
      </c>
      <c r="H173" s="4" t="s">
        <v>12363</v>
      </c>
      <c r="I173" s="4" t="s">
        <v>12364</v>
      </c>
      <c r="K173" s="4" t="e">
        <v>#N/A</v>
      </c>
      <c r="N173" s="4" t="s">
        <v>12365</v>
      </c>
      <c r="O173" s="4" t="s">
        <v>12366</v>
      </c>
    </row>
    <row r="174" spans="1:15" ht="13">
      <c r="A174" s="4" t="s">
        <v>12367</v>
      </c>
      <c r="B174" s="4" t="s">
        <v>12368</v>
      </c>
      <c r="C174" s="4" t="s">
        <v>12369</v>
      </c>
      <c r="E174" s="4" t="s">
        <v>12370</v>
      </c>
      <c r="F174" s="4" t="s">
        <v>12371</v>
      </c>
      <c r="H174" s="4" t="s">
        <v>12372</v>
      </c>
      <c r="I174" s="4" t="s">
        <v>12373</v>
      </c>
      <c r="K174" s="4" t="s">
        <v>12374</v>
      </c>
      <c r="L174" s="4" t="s">
        <v>12375</v>
      </c>
      <c r="N174" s="4" t="s">
        <v>12376</v>
      </c>
      <c r="O174" s="4" t="s">
        <v>12377</v>
      </c>
    </row>
    <row r="175" spans="1:15" ht="13">
      <c r="A175" s="4" t="s">
        <v>12378</v>
      </c>
      <c r="B175" s="4" t="s">
        <v>12379</v>
      </c>
      <c r="C175" s="4" t="s">
        <v>12380</v>
      </c>
      <c r="E175" s="4" t="e">
        <v>#N/A</v>
      </c>
      <c r="H175" s="4" t="e">
        <v>#N/A</v>
      </c>
      <c r="K175" s="4" t="s">
        <v>12381</v>
      </c>
      <c r="L175" s="4" t="s">
        <v>12382</v>
      </c>
      <c r="N175" s="4" t="e">
        <v>#N/A</v>
      </c>
    </row>
    <row r="176" spans="1:15" ht="13">
      <c r="A176" s="4" t="s">
        <v>12383</v>
      </c>
      <c r="B176" s="4" t="s">
        <v>12384</v>
      </c>
      <c r="C176" s="4" t="s">
        <v>12385</v>
      </c>
      <c r="E176" s="4" t="e">
        <v>#N/A</v>
      </c>
      <c r="H176" s="4" t="e">
        <v>#N/A</v>
      </c>
      <c r="K176" s="4" t="e">
        <v>#N/A</v>
      </c>
      <c r="N176" s="4" t="s">
        <v>12386</v>
      </c>
      <c r="O176" s="4" t="s">
        <v>12387</v>
      </c>
    </row>
    <row r="177" spans="1:15" ht="13">
      <c r="A177" s="4" t="s">
        <v>12388</v>
      </c>
      <c r="B177" s="4" t="s">
        <v>12389</v>
      </c>
      <c r="C177" s="4" t="s">
        <v>12390</v>
      </c>
      <c r="E177" s="4" t="s">
        <v>12391</v>
      </c>
      <c r="F177" s="4" t="s">
        <v>12392</v>
      </c>
      <c r="H177" s="4" t="s">
        <v>12393</v>
      </c>
      <c r="I177" s="4" t="s">
        <v>12394</v>
      </c>
      <c r="K177" s="4" t="s">
        <v>12395</v>
      </c>
      <c r="L177" s="4" t="s">
        <v>12396</v>
      </c>
      <c r="N177" s="4" t="s">
        <v>12397</v>
      </c>
      <c r="O177" s="4" t="s">
        <v>12398</v>
      </c>
    </row>
    <row r="178" spans="1:15" ht="13">
      <c r="A178" s="4" t="s">
        <v>12399</v>
      </c>
      <c r="B178" s="4" t="s">
        <v>12400</v>
      </c>
      <c r="C178" s="4" t="s">
        <v>12401</v>
      </c>
      <c r="E178" s="4" t="s">
        <v>12402</v>
      </c>
      <c r="F178" s="4" t="s">
        <v>12403</v>
      </c>
      <c r="H178" s="4" t="e">
        <v>#N/A</v>
      </c>
      <c r="K178" s="4" t="e">
        <v>#N/A</v>
      </c>
      <c r="N178" s="4" t="s">
        <v>12404</v>
      </c>
      <c r="O178" s="4" t="s">
        <v>12405</v>
      </c>
    </row>
    <row r="179" spans="1:15" ht="13">
      <c r="A179" s="4" t="s">
        <v>12406</v>
      </c>
      <c r="B179" s="4" t="s">
        <v>12407</v>
      </c>
      <c r="C179" s="4" t="s">
        <v>12408</v>
      </c>
      <c r="E179" s="4" t="e">
        <v>#N/A</v>
      </c>
      <c r="H179" s="4" t="s">
        <v>12409</v>
      </c>
      <c r="I179" s="4" t="s">
        <v>12410</v>
      </c>
      <c r="K179" s="4" t="s">
        <v>12411</v>
      </c>
      <c r="L179" s="4" t="s">
        <v>12412</v>
      </c>
      <c r="N179" s="4" t="s">
        <v>12414</v>
      </c>
      <c r="O179" s="4" t="s">
        <v>12415</v>
      </c>
    </row>
    <row r="180" spans="1:15" ht="13">
      <c r="A180" s="4" t="s">
        <v>12416</v>
      </c>
      <c r="B180" s="4" t="s">
        <v>12417</v>
      </c>
      <c r="C180" s="4" t="s">
        <v>12418</v>
      </c>
      <c r="E180" s="4" t="s">
        <v>12419</v>
      </c>
      <c r="F180" s="4" t="s">
        <v>12420</v>
      </c>
      <c r="H180" s="4" t="s">
        <v>12421</v>
      </c>
      <c r="I180" s="4" t="s">
        <v>12422</v>
      </c>
      <c r="K180" s="4" t="e">
        <v>#N/A</v>
      </c>
      <c r="N180" s="4" t="s">
        <v>12423</v>
      </c>
      <c r="O180" s="4" t="s">
        <v>12424</v>
      </c>
    </row>
    <row r="181" spans="1:15" ht="13">
      <c r="A181" s="4" t="s">
        <v>12425</v>
      </c>
      <c r="B181" s="4" t="s">
        <v>12426</v>
      </c>
      <c r="C181" s="4" t="s">
        <v>12427</v>
      </c>
      <c r="E181" s="4" t="s">
        <v>12428</v>
      </c>
      <c r="F181" s="4" t="s">
        <v>12429</v>
      </c>
      <c r="H181" s="4" t="e">
        <v>#N/A</v>
      </c>
      <c r="K181" s="4" t="s">
        <v>12430</v>
      </c>
      <c r="L181" s="4" t="s">
        <v>12431</v>
      </c>
      <c r="N181" s="4" t="s">
        <v>12432</v>
      </c>
      <c r="O181" s="4" t="s">
        <v>12433</v>
      </c>
    </row>
    <row r="182" spans="1:15" ht="13">
      <c r="A182" s="4" t="s">
        <v>12434</v>
      </c>
      <c r="B182" s="4" t="s">
        <v>12435</v>
      </c>
      <c r="C182" s="4" t="s">
        <v>12436</v>
      </c>
      <c r="E182" s="4" t="s">
        <v>12437</v>
      </c>
      <c r="F182" s="4" t="s">
        <v>12438</v>
      </c>
      <c r="H182" s="4" t="e">
        <v>#N/A</v>
      </c>
      <c r="K182" s="4" t="s">
        <v>12439</v>
      </c>
      <c r="L182" s="4" t="s">
        <v>12440</v>
      </c>
      <c r="N182" s="4" t="s">
        <v>12441</v>
      </c>
      <c r="O182" s="4" t="s">
        <v>12442</v>
      </c>
    </row>
    <row r="183" spans="1:15" ht="13">
      <c r="A183" s="4" t="s">
        <v>12443</v>
      </c>
      <c r="B183" s="4" t="s">
        <v>12444</v>
      </c>
      <c r="C183" s="4" t="s">
        <v>12445</v>
      </c>
      <c r="E183" s="4" t="s">
        <v>12446</v>
      </c>
      <c r="F183" s="4" t="s">
        <v>12447</v>
      </c>
      <c r="H183" s="4" t="s">
        <v>12448</v>
      </c>
      <c r="I183" s="4" t="s">
        <v>12449</v>
      </c>
      <c r="K183" s="4" t="e">
        <v>#N/A</v>
      </c>
      <c r="N183" s="4" t="s">
        <v>12450</v>
      </c>
      <c r="O183" s="4" t="s">
        <v>12451</v>
      </c>
    </row>
    <row r="184" spans="1:15" ht="13">
      <c r="A184" s="4" t="s">
        <v>12452</v>
      </c>
      <c r="B184" s="4" t="s">
        <v>12453</v>
      </c>
      <c r="C184" s="4" t="s">
        <v>12454</v>
      </c>
      <c r="E184" s="4" t="s">
        <v>12455</v>
      </c>
      <c r="F184" s="4" t="s">
        <v>12456</v>
      </c>
      <c r="H184" s="4" t="e">
        <v>#N/A</v>
      </c>
      <c r="K184" s="4" t="s">
        <v>12457</v>
      </c>
      <c r="L184" s="4" t="s">
        <v>12458</v>
      </c>
      <c r="N184" s="4" t="e">
        <v>#N/A</v>
      </c>
    </row>
    <row r="185" spans="1:15" ht="13">
      <c r="A185" s="4" t="s">
        <v>12459</v>
      </c>
      <c r="B185" s="4" t="s">
        <v>12460</v>
      </c>
      <c r="C185" s="4" t="s">
        <v>12461</v>
      </c>
      <c r="E185" s="4" t="s">
        <v>12462</v>
      </c>
      <c r="F185" s="4" t="s">
        <v>12463</v>
      </c>
      <c r="H185" s="4" t="s">
        <v>12464</v>
      </c>
      <c r="I185" s="4" t="s">
        <v>12465</v>
      </c>
      <c r="K185" s="4" t="s">
        <v>12466</v>
      </c>
      <c r="L185" s="4" t="s">
        <v>12467</v>
      </c>
      <c r="N185" s="4" t="s">
        <v>12468</v>
      </c>
      <c r="O185" s="4" t="s">
        <v>12469</v>
      </c>
    </row>
    <row r="186" spans="1:15" ht="13">
      <c r="A186" s="4" t="s">
        <v>12470</v>
      </c>
      <c r="B186" s="4" t="s">
        <v>12471</v>
      </c>
      <c r="C186" s="4" t="s">
        <v>12472</v>
      </c>
      <c r="E186" s="4" t="s">
        <v>12473</v>
      </c>
      <c r="F186" s="4" t="s">
        <v>12474</v>
      </c>
      <c r="H186" s="4" t="s">
        <v>12475</v>
      </c>
      <c r="I186" s="4" t="s">
        <v>12476</v>
      </c>
      <c r="K186" s="4" t="s">
        <v>12477</v>
      </c>
      <c r="L186" s="4" t="s">
        <v>12478</v>
      </c>
      <c r="N186" s="4" t="s">
        <v>12479</v>
      </c>
      <c r="O186" s="4" t="s">
        <v>12480</v>
      </c>
    </row>
    <row r="187" spans="1:15" ht="13">
      <c r="A187" s="4" t="s">
        <v>12481</v>
      </c>
      <c r="B187" s="4" t="e">
        <v>#N/A</v>
      </c>
      <c r="E187" s="4" t="s">
        <v>12483</v>
      </c>
      <c r="F187" s="4" t="s">
        <v>12484</v>
      </c>
      <c r="H187" s="4" t="s">
        <v>12485</v>
      </c>
      <c r="I187" s="4" t="s">
        <v>12486</v>
      </c>
      <c r="K187" s="4" t="s">
        <v>12487</v>
      </c>
      <c r="L187" s="4" t="s">
        <v>12488</v>
      </c>
      <c r="N187" s="4" t="s">
        <v>12489</v>
      </c>
      <c r="O187" s="4" t="s">
        <v>12490</v>
      </c>
    </row>
    <row r="188" spans="1:15" ht="13">
      <c r="A188" s="4" t="s">
        <v>12491</v>
      </c>
      <c r="B188" s="4" t="s">
        <v>12492</v>
      </c>
      <c r="C188" s="4" t="s">
        <v>12493</v>
      </c>
      <c r="E188" s="4" t="s">
        <v>12494</v>
      </c>
      <c r="F188" s="4" t="s">
        <v>12495</v>
      </c>
      <c r="H188" s="4" t="s">
        <v>12496</v>
      </c>
      <c r="I188" s="4" t="s">
        <v>12497</v>
      </c>
      <c r="K188" s="4" t="s">
        <v>12498</v>
      </c>
      <c r="L188" s="4" t="s">
        <v>12499</v>
      </c>
      <c r="N188" s="4" t="s">
        <v>12500</v>
      </c>
      <c r="O188" s="4" t="s">
        <v>12501</v>
      </c>
    </row>
    <row r="189" spans="1:15" ht="13">
      <c r="A189" s="4" t="s">
        <v>12502</v>
      </c>
      <c r="B189" s="4" t="s">
        <v>12503</v>
      </c>
      <c r="C189" s="4" t="s">
        <v>12504</v>
      </c>
      <c r="E189" s="4" t="e">
        <v>#N/A</v>
      </c>
      <c r="H189" s="4" t="s">
        <v>12505</v>
      </c>
      <c r="I189" s="4" t="s">
        <v>12506</v>
      </c>
      <c r="K189" s="4" t="s">
        <v>12507</v>
      </c>
      <c r="L189" s="4" t="s">
        <v>12508</v>
      </c>
      <c r="N189" s="4" t="s">
        <v>12509</v>
      </c>
      <c r="O189" s="4" t="s">
        <v>12510</v>
      </c>
    </row>
    <row r="190" spans="1:15" ht="13">
      <c r="A190" s="4" t="s">
        <v>12511</v>
      </c>
      <c r="B190" s="4" t="s">
        <v>12512</v>
      </c>
      <c r="C190" s="4" t="s">
        <v>12513</v>
      </c>
      <c r="E190" s="4" t="s">
        <v>12514</v>
      </c>
      <c r="F190" s="4" t="s">
        <v>12515</v>
      </c>
      <c r="H190" s="4" t="s">
        <v>12516</v>
      </c>
      <c r="I190" s="4" t="s">
        <v>12517</v>
      </c>
      <c r="K190" s="4" t="s">
        <v>12518</v>
      </c>
      <c r="L190" s="4" t="s">
        <v>12519</v>
      </c>
      <c r="N190" s="4" t="s">
        <v>12520</v>
      </c>
      <c r="O190" s="4" t="s">
        <v>12521</v>
      </c>
    </row>
    <row r="191" spans="1:15" ht="13">
      <c r="A191" s="4" t="s">
        <v>12522</v>
      </c>
      <c r="B191" s="4" t="s">
        <v>12523</v>
      </c>
      <c r="C191" s="4" t="s">
        <v>12524</v>
      </c>
      <c r="E191" s="4" t="s">
        <v>12525</v>
      </c>
      <c r="F191" s="4" t="s">
        <v>12526</v>
      </c>
      <c r="H191" s="4" t="s">
        <v>12527</v>
      </c>
      <c r="I191" s="4" t="s">
        <v>12528</v>
      </c>
      <c r="K191" s="4" t="s">
        <v>12529</v>
      </c>
      <c r="L191" s="4" t="s">
        <v>12530</v>
      </c>
      <c r="N191" s="4" t="s">
        <v>12531</v>
      </c>
      <c r="O191" s="4" t="s">
        <v>12532</v>
      </c>
    </row>
    <row r="192" spans="1:15" ht="13">
      <c r="A192" s="4" t="s">
        <v>12533</v>
      </c>
      <c r="B192" s="4" t="s">
        <v>12534</v>
      </c>
      <c r="C192" s="4" t="s">
        <v>12535</v>
      </c>
      <c r="E192" s="4" t="s">
        <v>12536</v>
      </c>
      <c r="F192" s="4" t="s">
        <v>12537</v>
      </c>
      <c r="H192" s="4" t="s">
        <v>12538</v>
      </c>
      <c r="I192" s="4" t="s">
        <v>12539</v>
      </c>
      <c r="K192" s="4" t="s">
        <v>12540</v>
      </c>
      <c r="L192" s="4" t="s">
        <v>12541</v>
      </c>
      <c r="N192" s="4" t="e">
        <v>#N/A</v>
      </c>
    </row>
    <row r="193" spans="1:15" ht="13">
      <c r="A193" s="4" t="s">
        <v>12542</v>
      </c>
      <c r="B193" s="4" t="s">
        <v>12543</v>
      </c>
      <c r="C193" s="4" t="s">
        <v>12544</v>
      </c>
      <c r="E193" s="4" t="s">
        <v>12545</v>
      </c>
      <c r="F193" s="4" t="s">
        <v>12546</v>
      </c>
      <c r="H193" s="4" t="e">
        <v>#N/A</v>
      </c>
      <c r="K193" s="4" t="e">
        <v>#N/A</v>
      </c>
      <c r="N193" s="4" t="s">
        <v>12547</v>
      </c>
      <c r="O193" s="4" t="s">
        <v>12548</v>
      </c>
    </row>
    <row r="194" spans="1:15" ht="13">
      <c r="A194" s="4" t="s">
        <v>12549</v>
      </c>
      <c r="B194" s="4" t="s">
        <v>12550</v>
      </c>
      <c r="C194" s="4" t="s">
        <v>12551</v>
      </c>
      <c r="E194" s="4" t="s">
        <v>12552</v>
      </c>
      <c r="F194" s="4" t="s">
        <v>12553</v>
      </c>
      <c r="H194" s="4" t="s">
        <v>12554</v>
      </c>
      <c r="I194" s="4" t="s">
        <v>12555</v>
      </c>
      <c r="K194" s="4" t="s">
        <v>12556</v>
      </c>
      <c r="L194" s="4" t="s">
        <v>12557</v>
      </c>
      <c r="N194" s="4" t="e">
        <v>#N/A</v>
      </c>
    </row>
    <row r="195" spans="1:15" ht="13">
      <c r="A195" s="4" t="s">
        <v>12558</v>
      </c>
      <c r="B195" s="4" t="s">
        <v>12559</v>
      </c>
      <c r="C195" s="4" t="s">
        <v>12560</v>
      </c>
      <c r="E195" s="4" t="s">
        <v>12561</v>
      </c>
      <c r="F195" s="4" t="s">
        <v>12562</v>
      </c>
      <c r="H195" s="4" t="e">
        <v>#N/A</v>
      </c>
      <c r="K195" s="4" t="s">
        <v>12563</v>
      </c>
      <c r="L195" s="4" t="s">
        <v>12564</v>
      </c>
      <c r="N195" s="4" t="e">
        <v>#N/A</v>
      </c>
    </row>
    <row r="196" spans="1:15" ht="13">
      <c r="A196" s="4" t="s">
        <v>12565</v>
      </c>
      <c r="B196" s="4" t="s">
        <v>12566</v>
      </c>
      <c r="C196" s="4" t="s">
        <v>12567</v>
      </c>
      <c r="E196" s="4" t="s">
        <v>12568</v>
      </c>
      <c r="F196" s="4" t="s">
        <v>12569</v>
      </c>
      <c r="H196" s="4" t="s">
        <v>12570</v>
      </c>
      <c r="I196" s="4" t="s">
        <v>12571</v>
      </c>
      <c r="K196" s="4" t="s">
        <v>12572</v>
      </c>
      <c r="L196" s="4" t="s">
        <v>12574</v>
      </c>
      <c r="N196" s="4" t="s">
        <v>12575</v>
      </c>
      <c r="O196" s="4" t="s">
        <v>12576</v>
      </c>
    </row>
    <row r="197" spans="1:15" ht="13">
      <c r="A197" s="4" t="s">
        <v>12577</v>
      </c>
      <c r="B197" s="4" t="s">
        <v>12578</v>
      </c>
      <c r="C197" s="4" t="s">
        <v>12579</v>
      </c>
      <c r="E197" s="4" t="s">
        <v>12580</v>
      </c>
      <c r="F197" s="4" t="s">
        <v>12581</v>
      </c>
      <c r="H197" s="4" t="s">
        <v>12582</v>
      </c>
      <c r="I197" s="4" t="s">
        <v>12583</v>
      </c>
      <c r="K197" s="4" t="e">
        <v>#N/A</v>
      </c>
      <c r="N197" s="4" t="e">
        <v>#N/A</v>
      </c>
    </row>
    <row r="198" spans="1:15" ht="13">
      <c r="A198" s="4" t="s">
        <v>12584</v>
      </c>
      <c r="B198" s="4" t="s">
        <v>12585</v>
      </c>
      <c r="C198" s="4" t="s">
        <v>12586</v>
      </c>
      <c r="E198" s="4" t="s">
        <v>12587</v>
      </c>
      <c r="F198" s="4" t="s">
        <v>12588</v>
      </c>
      <c r="H198" s="4" t="e">
        <v>#N/A</v>
      </c>
      <c r="K198" s="4" t="s">
        <v>12589</v>
      </c>
      <c r="L198" s="4" t="s">
        <v>12590</v>
      </c>
      <c r="N198" s="4" t="e">
        <v>#N/A</v>
      </c>
    </row>
    <row r="199" spans="1:15" ht="13">
      <c r="A199" s="4" t="s">
        <v>12591</v>
      </c>
      <c r="B199" s="4" t="s">
        <v>12592</v>
      </c>
      <c r="C199" s="4" t="s">
        <v>12593</v>
      </c>
      <c r="E199" s="4" t="s">
        <v>12594</v>
      </c>
      <c r="F199" s="4" t="s">
        <v>12595</v>
      </c>
      <c r="H199" s="4" t="s">
        <v>12596</v>
      </c>
      <c r="I199" s="4" t="s">
        <v>12597</v>
      </c>
      <c r="K199" s="4" t="s">
        <v>12598</v>
      </c>
      <c r="L199" s="4" t="s">
        <v>12599</v>
      </c>
      <c r="N199" s="4" t="e">
        <v>#N/A</v>
      </c>
    </row>
    <row r="200" spans="1:15" ht="13">
      <c r="A200" s="4" t="s">
        <v>12600</v>
      </c>
      <c r="B200" s="4" t="s">
        <v>12601</v>
      </c>
      <c r="C200" s="4" t="s">
        <v>12602</v>
      </c>
      <c r="E200" s="4" t="e">
        <v>#N/A</v>
      </c>
      <c r="H200" s="4" t="s">
        <v>12603</v>
      </c>
      <c r="I200" s="4" t="s">
        <v>12604</v>
      </c>
      <c r="K200" s="4" t="s">
        <v>12605</v>
      </c>
      <c r="L200" s="4" t="s">
        <v>12606</v>
      </c>
      <c r="N200" s="4" t="s">
        <v>12607</v>
      </c>
      <c r="O200" s="4" t="s">
        <v>12608</v>
      </c>
    </row>
    <row r="201" spans="1:15" ht="13">
      <c r="A201" s="4" t="s">
        <v>12609</v>
      </c>
      <c r="B201" s="4" t="s">
        <v>12610</v>
      </c>
      <c r="C201" s="4" t="s">
        <v>12611</v>
      </c>
      <c r="E201" s="4" t="s">
        <v>12612</v>
      </c>
      <c r="F201" s="4" t="s">
        <v>12613</v>
      </c>
      <c r="H201" s="4" t="s">
        <v>12614</v>
      </c>
      <c r="I201" s="4" t="s">
        <v>12615</v>
      </c>
      <c r="K201" s="4" t="e">
        <v>#N/A</v>
      </c>
      <c r="N201" s="4" t="s">
        <v>12616</v>
      </c>
      <c r="O201" s="4" t="s">
        <v>12617</v>
      </c>
    </row>
    <row r="202" spans="1:15" ht="13">
      <c r="A202" s="4" t="s">
        <v>12618</v>
      </c>
      <c r="B202" s="4" t="s">
        <v>12619</v>
      </c>
      <c r="C202" s="4" t="s">
        <v>12620</v>
      </c>
      <c r="E202" s="4" t="e">
        <v>#N/A</v>
      </c>
      <c r="H202" s="4" t="s">
        <v>12621</v>
      </c>
      <c r="I202" s="4" t="s">
        <v>12622</v>
      </c>
      <c r="K202" s="4" t="s">
        <v>12623</v>
      </c>
      <c r="L202" s="4" t="s">
        <v>12624</v>
      </c>
      <c r="N202" s="4" t="e">
        <v>#N/A</v>
      </c>
    </row>
    <row r="203" spans="1:15" ht="13">
      <c r="A203" s="4" t="s">
        <v>12625</v>
      </c>
      <c r="B203" s="4" t="s">
        <v>12627</v>
      </c>
      <c r="C203" s="4" t="s">
        <v>12628</v>
      </c>
      <c r="E203" s="4" t="e">
        <v>#N/A</v>
      </c>
      <c r="H203" s="4" t="s">
        <v>12629</v>
      </c>
      <c r="I203" s="4" t="s">
        <v>12630</v>
      </c>
      <c r="K203" s="4" t="s">
        <v>12631</v>
      </c>
      <c r="L203" s="4" t="s">
        <v>12632</v>
      </c>
      <c r="N203" s="4" t="e">
        <v>#N/A</v>
      </c>
    </row>
    <row r="204" spans="1:15" ht="13">
      <c r="A204" s="4" t="s">
        <v>12633</v>
      </c>
      <c r="B204" s="4" t="e">
        <v>#N/A</v>
      </c>
      <c r="E204" s="4" t="e">
        <v>#N/A</v>
      </c>
      <c r="H204" s="4" t="s">
        <v>12634</v>
      </c>
      <c r="I204" s="4" t="s">
        <v>12635</v>
      </c>
      <c r="K204" s="4" t="s">
        <v>12636</v>
      </c>
      <c r="L204" s="4" t="s">
        <v>12637</v>
      </c>
      <c r="N204" s="4" t="e">
        <v>#N/A</v>
      </c>
    </row>
    <row r="205" spans="1:15" ht="13">
      <c r="A205" s="4" t="s">
        <v>12638</v>
      </c>
      <c r="B205" s="4" t="e">
        <v>#N/A</v>
      </c>
      <c r="E205" s="4" t="e">
        <v>#N/A</v>
      </c>
      <c r="H205" s="4" t="e">
        <v>#N/A</v>
      </c>
      <c r="K205" s="4" t="e">
        <v>#N/A</v>
      </c>
      <c r="N205" s="4" t="s">
        <v>12639</v>
      </c>
      <c r="O205" s="4" t="s">
        <v>12640</v>
      </c>
    </row>
    <row r="206" spans="1:15" ht="13">
      <c r="A206" s="4" t="s">
        <v>12641</v>
      </c>
      <c r="B206" s="4" t="s">
        <v>12642</v>
      </c>
      <c r="C206" s="4" t="s">
        <v>12643</v>
      </c>
      <c r="E206" s="4" t="e">
        <v>#N/A</v>
      </c>
      <c r="H206" s="4" t="s">
        <v>12644</v>
      </c>
      <c r="I206" s="4" t="s">
        <v>12645</v>
      </c>
      <c r="K206" s="4" t="s">
        <v>12646</v>
      </c>
      <c r="L206" s="4" t="s">
        <v>12647</v>
      </c>
      <c r="N206" s="4" t="s">
        <v>12648</v>
      </c>
      <c r="O206" s="4" t="s">
        <v>12649</v>
      </c>
    </row>
    <row r="207" spans="1:15" ht="13">
      <c r="A207" s="4" t="s">
        <v>12650</v>
      </c>
      <c r="B207" s="4" t="s">
        <v>12651</v>
      </c>
      <c r="C207" s="4" t="s">
        <v>12652</v>
      </c>
      <c r="E207" s="4" t="e">
        <v>#N/A</v>
      </c>
      <c r="H207" s="4" t="s">
        <v>12653</v>
      </c>
      <c r="I207" s="4" t="s">
        <v>12654</v>
      </c>
      <c r="K207" s="4" t="s">
        <v>12655</v>
      </c>
      <c r="L207" s="4" t="s">
        <v>12656</v>
      </c>
      <c r="N207" s="4" t="s">
        <v>12657</v>
      </c>
      <c r="O207" s="4" t="s">
        <v>12658</v>
      </c>
    </row>
    <row r="208" spans="1:15" ht="13">
      <c r="A208" s="4" t="s">
        <v>12659</v>
      </c>
      <c r="B208" s="4" t="s">
        <v>12660</v>
      </c>
      <c r="C208" s="4" t="s">
        <v>12661</v>
      </c>
      <c r="E208" s="4" t="s">
        <v>12662</v>
      </c>
      <c r="F208" s="4" t="s">
        <v>135</v>
      </c>
      <c r="G208" s="4" t="s">
        <v>12663</v>
      </c>
      <c r="H208" s="4" t="s">
        <v>12664</v>
      </c>
      <c r="I208" s="4" t="s">
        <v>12665</v>
      </c>
      <c r="K208" s="4" t="e">
        <v>#N/A</v>
      </c>
      <c r="N208" s="4" t="s">
        <v>12666</v>
      </c>
      <c r="O208" s="4" t="s">
        <v>12667</v>
      </c>
    </row>
    <row r="209" spans="1:15" ht="13">
      <c r="A209" s="4" t="s">
        <v>12668</v>
      </c>
      <c r="B209" s="4" t="e">
        <v>#N/A</v>
      </c>
      <c r="E209" s="4" t="s">
        <v>12669</v>
      </c>
      <c r="F209" s="4" t="s">
        <v>12670</v>
      </c>
      <c r="H209" s="4" t="s">
        <v>12671</v>
      </c>
      <c r="I209" s="4" t="s">
        <v>12672</v>
      </c>
      <c r="K209" s="4" t="s">
        <v>12673</v>
      </c>
      <c r="L209" s="4" t="s">
        <v>12674</v>
      </c>
      <c r="N209" s="4" t="s">
        <v>12675</v>
      </c>
      <c r="O209" s="4" t="s">
        <v>12676</v>
      </c>
    </row>
    <row r="210" spans="1:15" ht="13">
      <c r="A210" s="4" t="s">
        <v>12677</v>
      </c>
      <c r="B210" s="4" t="s">
        <v>12678</v>
      </c>
      <c r="C210" s="4" t="s">
        <v>12679</v>
      </c>
      <c r="E210" s="4" t="s">
        <v>12680</v>
      </c>
      <c r="F210" s="4" t="s">
        <v>12681</v>
      </c>
      <c r="H210" s="4" t="s">
        <v>12682</v>
      </c>
      <c r="I210" s="4" t="s">
        <v>12683</v>
      </c>
      <c r="K210" s="4" t="s">
        <v>12684</v>
      </c>
      <c r="L210" s="4" t="s">
        <v>12685</v>
      </c>
      <c r="N210" s="4" t="s">
        <v>12687</v>
      </c>
      <c r="O210" s="4" t="s">
        <v>12688</v>
      </c>
    </row>
    <row r="211" spans="1:15" ht="13">
      <c r="A211" s="4" t="s">
        <v>12689</v>
      </c>
      <c r="B211" s="4" t="e">
        <v>#N/A</v>
      </c>
      <c r="E211" s="4" t="e">
        <v>#N/A</v>
      </c>
      <c r="H211" s="4" t="s">
        <v>12690</v>
      </c>
      <c r="I211" s="4" t="s">
        <v>12691</v>
      </c>
      <c r="K211" s="4" t="s">
        <v>12692</v>
      </c>
      <c r="L211" s="4" t="s">
        <v>12693</v>
      </c>
      <c r="N211" s="4" t="s">
        <v>12694</v>
      </c>
      <c r="O211" s="4" t="s">
        <v>12695</v>
      </c>
    </row>
    <row r="212" spans="1:15" ht="13">
      <c r="A212" s="4" t="s">
        <v>12696</v>
      </c>
      <c r="B212" s="4" t="s">
        <v>12697</v>
      </c>
      <c r="C212" s="4" t="s">
        <v>12698</v>
      </c>
      <c r="E212" s="4" t="s">
        <v>12699</v>
      </c>
      <c r="F212" s="4" t="s">
        <v>12700</v>
      </c>
      <c r="H212" s="4" t="s">
        <v>12701</v>
      </c>
      <c r="I212" s="4" t="s">
        <v>12702</v>
      </c>
      <c r="K212" s="4" t="s">
        <v>12703</v>
      </c>
      <c r="L212" s="4" t="s">
        <v>12704</v>
      </c>
      <c r="N212" s="4" t="s">
        <v>12705</v>
      </c>
      <c r="O212" s="4" t="s">
        <v>12706</v>
      </c>
    </row>
    <row r="213" spans="1:15" ht="13">
      <c r="A213" s="4" t="s">
        <v>12707</v>
      </c>
      <c r="B213" s="4" t="s">
        <v>12708</v>
      </c>
      <c r="C213" s="4" t="s">
        <v>12709</v>
      </c>
      <c r="E213" s="4" t="s">
        <v>12710</v>
      </c>
      <c r="F213" s="4" t="s">
        <v>12711</v>
      </c>
      <c r="H213" s="4" t="s">
        <v>12712</v>
      </c>
      <c r="I213" s="4" t="s">
        <v>12713</v>
      </c>
      <c r="K213" s="4" t="s">
        <v>12714</v>
      </c>
      <c r="L213" s="4" t="s">
        <v>12715</v>
      </c>
      <c r="N213" s="4" t="s">
        <v>12716</v>
      </c>
      <c r="O213" s="4" t="s">
        <v>12717</v>
      </c>
    </row>
    <row r="214" spans="1:15" ht="13">
      <c r="A214" s="4" t="s">
        <v>12718</v>
      </c>
      <c r="B214" s="4" t="s">
        <v>12719</v>
      </c>
      <c r="C214" s="4" t="s">
        <v>12720</v>
      </c>
      <c r="E214" s="4" t="s">
        <v>12721</v>
      </c>
      <c r="F214" s="4" t="s">
        <v>12722</v>
      </c>
      <c r="H214" s="4" t="s">
        <v>12723</v>
      </c>
      <c r="I214" s="4" t="s">
        <v>12724</v>
      </c>
      <c r="K214" s="4" t="e">
        <v>#N/A</v>
      </c>
      <c r="N214" s="4" t="s">
        <v>12725</v>
      </c>
      <c r="O214" s="4" t="s">
        <v>12726</v>
      </c>
    </row>
    <row r="215" spans="1:15" ht="13">
      <c r="A215" s="4" t="s">
        <v>12727</v>
      </c>
      <c r="B215" s="4" t="e">
        <v>#N/A</v>
      </c>
      <c r="E215" s="4" t="s">
        <v>12728</v>
      </c>
      <c r="F215" s="4" t="s">
        <v>12729</v>
      </c>
      <c r="H215" s="4" t="s">
        <v>12730</v>
      </c>
      <c r="I215" s="4" t="s">
        <v>12731</v>
      </c>
      <c r="K215" s="4" t="s">
        <v>12732</v>
      </c>
      <c r="L215" s="4" t="s">
        <v>12733</v>
      </c>
      <c r="N215" s="4" t="s">
        <v>12734</v>
      </c>
      <c r="O215" s="4" t="s">
        <v>12735</v>
      </c>
    </row>
    <row r="216" spans="1:15" ht="13">
      <c r="A216" s="4" t="s">
        <v>12736</v>
      </c>
      <c r="B216" s="4" t="s">
        <v>12737</v>
      </c>
      <c r="C216" s="4" t="s">
        <v>12738</v>
      </c>
      <c r="E216" s="4" t="e">
        <v>#N/A</v>
      </c>
      <c r="H216" s="4" t="e">
        <v>#N/A</v>
      </c>
      <c r="K216" s="4" t="s">
        <v>12739</v>
      </c>
      <c r="L216" s="4" t="s">
        <v>12740</v>
      </c>
      <c r="N216" s="4" t="e">
        <v>#N/A</v>
      </c>
    </row>
    <row r="217" spans="1:15" ht="13">
      <c r="A217" s="4" t="s">
        <v>12741</v>
      </c>
      <c r="B217" s="4" t="s">
        <v>12742</v>
      </c>
      <c r="C217" s="4" t="s">
        <v>12743</v>
      </c>
      <c r="E217" s="4" t="s">
        <v>12744</v>
      </c>
      <c r="F217" s="4" t="s">
        <v>12745</v>
      </c>
      <c r="H217" s="4" t="s">
        <v>12746</v>
      </c>
      <c r="I217" s="4" t="s">
        <v>12747</v>
      </c>
      <c r="K217" s="4" t="s">
        <v>12748</v>
      </c>
      <c r="L217" s="4" t="s">
        <v>12749</v>
      </c>
      <c r="N217" s="4" t="s">
        <v>12750</v>
      </c>
      <c r="O217" s="4" t="s">
        <v>12751</v>
      </c>
    </row>
    <row r="218" spans="1:15" ht="13">
      <c r="A218" s="4" t="s">
        <v>12752</v>
      </c>
      <c r="B218" s="4" t="e">
        <v>#N/A</v>
      </c>
      <c r="E218" s="4" t="e">
        <v>#N/A</v>
      </c>
      <c r="H218" s="4" t="e">
        <v>#N/A</v>
      </c>
      <c r="K218" s="4" t="e">
        <v>#N/A</v>
      </c>
      <c r="N218" s="4" t="s">
        <v>12753</v>
      </c>
      <c r="O218" s="4" t="s">
        <v>12754</v>
      </c>
    </row>
    <row r="219" spans="1:15" ht="13">
      <c r="A219" s="4" t="s">
        <v>12755</v>
      </c>
      <c r="B219" s="4" t="s">
        <v>12756</v>
      </c>
      <c r="C219" s="4" t="s">
        <v>12757</v>
      </c>
      <c r="E219" s="4" t="s">
        <v>12758</v>
      </c>
      <c r="F219" s="4" t="s">
        <v>12760</v>
      </c>
      <c r="H219" s="4" t="s">
        <v>12761</v>
      </c>
      <c r="I219" s="4" t="s">
        <v>12762</v>
      </c>
      <c r="K219" s="4" t="e">
        <v>#N/A</v>
      </c>
      <c r="N219" s="4" t="s">
        <v>12763</v>
      </c>
      <c r="O219" s="4" t="s">
        <v>12764</v>
      </c>
    </row>
    <row r="220" spans="1:15" ht="13">
      <c r="A220" s="4" t="s">
        <v>12765</v>
      </c>
      <c r="B220" s="4" t="s">
        <v>12766</v>
      </c>
      <c r="C220" s="4" t="s">
        <v>12767</v>
      </c>
      <c r="E220" s="4" t="s">
        <v>12768</v>
      </c>
      <c r="F220" s="4" t="s">
        <v>12769</v>
      </c>
      <c r="H220" s="4" t="e">
        <v>#N/A</v>
      </c>
      <c r="K220" s="4" t="e">
        <v>#N/A</v>
      </c>
      <c r="N220" s="4" t="s">
        <v>12770</v>
      </c>
      <c r="O220" s="4" t="s">
        <v>12771</v>
      </c>
    </row>
    <row r="221" spans="1:15" ht="13">
      <c r="A221" s="4" t="s">
        <v>12772</v>
      </c>
      <c r="B221" s="4" t="s">
        <v>12773</v>
      </c>
      <c r="C221" s="4" t="s">
        <v>12774</v>
      </c>
      <c r="E221" s="4" t="e">
        <v>#N/A</v>
      </c>
      <c r="H221" s="4" t="e">
        <v>#N/A</v>
      </c>
      <c r="K221" s="4" t="s">
        <v>12775</v>
      </c>
      <c r="L221" s="4" t="s">
        <v>12776</v>
      </c>
      <c r="N221" s="4" t="s">
        <v>12777</v>
      </c>
      <c r="O221" s="4" t="s">
        <v>12778</v>
      </c>
    </row>
    <row r="222" spans="1:15" ht="13">
      <c r="A222" s="4" t="s">
        <v>12779</v>
      </c>
      <c r="B222" s="4" t="s">
        <v>12780</v>
      </c>
      <c r="C222" s="4" t="s">
        <v>12781</v>
      </c>
      <c r="E222" s="4" t="s">
        <v>12782</v>
      </c>
      <c r="F222" s="4" t="s">
        <v>12783</v>
      </c>
      <c r="H222" s="4" t="s">
        <v>12784</v>
      </c>
      <c r="I222" s="4" t="s">
        <v>12785</v>
      </c>
      <c r="K222" s="4" t="s">
        <v>12786</v>
      </c>
      <c r="L222" s="4" t="s">
        <v>12787</v>
      </c>
      <c r="N222" s="4" t="e">
        <v>#N/A</v>
      </c>
    </row>
    <row r="223" spans="1:15" ht="13">
      <c r="A223" s="4" t="s">
        <v>12788</v>
      </c>
      <c r="B223" s="4" t="s">
        <v>12789</v>
      </c>
      <c r="C223" s="4" t="s">
        <v>12790</v>
      </c>
      <c r="E223" s="4" t="s">
        <v>12791</v>
      </c>
      <c r="F223" s="4" t="s">
        <v>12792</v>
      </c>
      <c r="H223" s="4" t="s">
        <v>12793</v>
      </c>
      <c r="I223" s="4" t="s">
        <v>12794</v>
      </c>
      <c r="K223" s="4" t="e">
        <v>#N/A</v>
      </c>
      <c r="N223" s="4" t="s">
        <v>12795</v>
      </c>
      <c r="O223" s="4" t="s">
        <v>12796</v>
      </c>
    </row>
    <row r="224" spans="1:15" ht="13">
      <c r="A224" s="4" t="s">
        <v>12797</v>
      </c>
      <c r="B224" s="4" t="s">
        <v>12798</v>
      </c>
      <c r="C224" s="4" t="s">
        <v>12799</v>
      </c>
      <c r="E224" s="4" t="e">
        <v>#N/A</v>
      </c>
      <c r="H224" s="4" t="s">
        <v>12800</v>
      </c>
      <c r="I224" s="4" t="s">
        <v>12801</v>
      </c>
      <c r="K224" s="4" t="e">
        <v>#N/A</v>
      </c>
      <c r="N224" s="4" t="s">
        <v>12803</v>
      </c>
      <c r="O224" s="4" t="s">
        <v>12804</v>
      </c>
    </row>
    <row r="225" spans="1:15" ht="13">
      <c r="A225" s="4" t="s">
        <v>12805</v>
      </c>
      <c r="B225" s="4" t="e">
        <v>#N/A</v>
      </c>
      <c r="E225" s="4" t="e">
        <v>#N/A</v>
      </c>
      <c r="H225" s="4" t="s">
        <v>12806</v>
      </c>
      <c r="I225" s="4" t="s">
        <v>12807</v>
      </c>
      <c r="K225" s="4" t="s">
        <v>12808</v>
      </c>
      <c r="L225" s="4" t="s">
        <v>12809</v>
      </c>
      <c r="N225" s="4" t="e">
        <v>#N/A</v>
      </c>
    </row>
    <row r="226" spans="1:15" ht="13">
      <c r="A226" s="4" t="s">
        <v>12810</v>
      </c>
      <c r="B226" s="4" t="s">
        <v>12811</v>
      </c>
      <c r="C226" s="4" t="s">
        <v>12812</v>
      </c>
      <c r="E226" s="4" t="s">
        <v>12813</v>
      </c>
      <c r="F226" s="4" t="s">
        <v>12814</v>
      </c>
      <c r="H226" s="4" t="s">
        <v>12815</v>
      </c>
      <c r="I226" s="4" t="s">
        <v>135</v>
      </c>
      <c r="J226" s="4" t="s">
        <v>12816</v>
      </c>
      <c r="K226" s="4" t="s">
        <v>12817</v>
      </c>
      <c r="L226" s="4" t="s">
        <v>12818</v>
      </c>
      <c r="N226" s="4" t="s">
        <v>12819</v>
      </c>
      <c r="O226" s="4" t="s">
        <v>12820</v>
      </c>
    </row>
    <row r="227" spans="1:15" ht="13">
      <c r="A227" s="4" t="s">
        <v>12821</v>
      </c>
      <c r="B227" s="4" t="s">
        <v>12822</v>
      </c>
      <c r="C227" s="4" t="s">
        <v>12823</v>
      </c>
      <c r="E227" s="4" t="e">
        <v>#N/A</v>
      </c>
      <c r="H227" s="4" t="s">
        <v>12824</v>
      </c>
      <c r="I227" s="4" t="s">
        <v>12825</v>
      </c>
      <c r="K227" s="4" t="s">
        <v>12826</v>
      </c>
      <c r="L227" s="4" t="s">
        <v>12827</v>
      </c>
      <c r="N227" s="4" t="s">
        <v>12828</v>
      </c>
      <c r="O227" s="4" t="s">
        <v>12829</v>
      </c>
    </row>
    <row r="228" spans="1:15" ht="13">
      <c r="A228" s="4" t="s">
        <v>12830</v>
      </c>
      <c r="B228" s="4" t="e">
        <v>#N/A</v>
      </c>
      <c r="E228" s="4" t="s">
        <v>12831</v>
      </c>
      <c r="F228" s="4" t="s">
        <v>12832</v>
      </c>
      <c r="H228" s="4" t="e">
        <v>#N/A</v>
      </c>
      <c r="K228" s="4" t="e">
        <v>#N/A</v>
      </c>
      <c r="N228" s="4" t="s">
        <v>12833</v>
      </c>
      <c r="O228" s="4" t="s">
        <v>12834</v>
      </c>
    </row>
    <row r="229" spans="1:15" ht="13">
      <c r="A229" s="4" t="s">
        <v>12835</v>
      </c>
      <c r="B229" s="4" t="s">
        <v>12836</v>
      </c>
      <c r="C229" s="4" t="s">
        <v>12837</v>
      </c>
      <c r="E229" s="4" t="s">
        <v>12838</v>
      </c>
      <c r="F229" s="4" t="s">
        <v>12839</v>
      </c>
      <c r="H229" s="4" t="e">
        <v>#N/A</v>
      </c>
      <c r="K229" s="4" t="e">
        <v>#N/A</v>
      </c>
      <c r="N229" s="4" t="s">
        <v>12840</v>
      </c>
      <c r="O229" s="4" t="s">
        <v>12841</v>
      </c>
    </row>
    <row r="230" spans="1:15" ht="13">
      <c r="A230" s="4" t="s">
        <v>12842</v>
      </c>
      <c r="B230" s="4" t="e">
        <v>#N/A</v>
      </c>
      <c r="E230" s="4" t="e">
        <v>#N/A</v>
      </c>
      <c r="H230" s="4" t="s">
        <v>12843</v>
      </c>
      <c r="I230" s="4" t="s">
        <v>12844</v>
      </c>
      <c r="K230" s="4" t="s">
        <v>12845</v>
      </c>
      <c r="L230" s="4" t="s">
        <v>12846</v>
      </c>
      <c r="N230" s="4" t="s">
        <v>12847</v>
      </c>
      <c r="O230" s="4" t="s">
        <v>12848</v>
      </c>
    </row>
    <row r="231" spans="1:15" ht="13">
      <c r="A231" s="4" t="s">
        <v>12849</v>
      </c>
      <c r="B231" s="4" t="s">
        <v>12850</v>
      </c>
      <c r="C231" s="4" t="s">
        <v>12851</v>
      </c>
      <c r="E231" s="4" t="s">
        <v>12852</v>
      </c>
      <c r="F231" s="4" t="s">
        <v>12853</v>
      </c>
      <c r="H231" s="4" t="s">
        <v>12854</v>
      </c>
      <c r="I231" s="4" t="s">
        <v>12855</v>
      </c>
      <c r="K231" s="4" t="s">
        <v>12856</v>
      </c>
      <c r="L231" s="4" t="s">
        <v>12857</v>
      </c>
      <c r="N231" s="4" t="s">
        <v>12858</v>
      </c>
      <c r="O231" s="4" t="s">
        <v>12859</v>
      </c>
    </row>
    <row r="232" spans="1:15" ht="13">
      <c r="A232" s="4" t="s">
        <v>12860</v>
      </c>
      <c r="B232" s="4" t="s">
        <v>12861</v>
      </c>
      <c r="C232" s="4" t="s">
        <v>12862</v>
      </c>
      <c r="E232" s="4" t="e">
        <v>#N/A</v>
      </c>
      <c r="H232" s="4" t="s">
        <v>12863</v>
      </c>
      <c r="I232" s="4" t="s">
        <v>12864</v>
      </c>
      <c r="K232" s="4" t="s">
        <v>12865</v>
      </c>
      <c r="L232" s="4" t="s">
        <v>12866</v>
      </c>
      <c r="N232" s="4" t="s">
        <v>12867</v>
      </c>
      <c r="O232" s="4" t="s">
        <v>12868</v>
      </c>
    </row>
    <row r="233" spans="1:15" ht="13">
      <c r="A233" s="4" t="s">
        <v>12869</v>
      </c>
      <c r="B233" s="4" t="e">
        <v>#N/A</v>
      </c>
      <c r="E233" s="4" t="s">
        <v>12870</v>
      </c>
      <c r="F233" s="4" t="s">
        <v>12871</v>
      </c>
      <c r="H233" s="4" t="s">
        <v>12872</v>
      </c>
      <c r="I233" s="4" t="s">
        <v>12873</v>
      </c>
      <c r="K233" s="4" t="s">
        <v>12874</v>
      </c>
      <c r="L233" s="4" t="s">
        <v>12876</v>
      </c>
      <c r="N233" s="4" t="s">
        <v>12877</v>
      </c>
      <c r="O233" s="4" t="s">
        <v>12878</v>
      </c>
    </row>
    <row r="234" spans="1:15" ht="13">
      <c r="A234" s="4" t="s">
        <v>12879</v>
      </c>
      <c r="B234" s="4" t="e">
        <v>#N/A</v>
      </c>
      <c r="E234" s="4" t="s">
        <v>12880</v>
      </c>
      <c r="F234" s="4" t="s">
        <v>135</v>
      </c>
      <c r="G234" s="4" t="s">
        <v>12881</v>
      </c>
      <c r="H234" s="4" t="s">
        <v>12882</v>
      </c>
      <c r="I234" s="4" t="s">
        <v>12883</v>
      </c>
      <c r="K234" s="4" t="s">
        <v>12884</v>
      </c>
      <c r="L234" s="4" t="s">
        <v>12885</v>
      </c>
      <c r="N234" s="4" t="s">
        <v>12886</v>
      </c>
      <c r="O234" s="4" t="s">
        <v>12887</v>
      </c>
    </row>
    <row r="235" spans="1:15" ht="13">
      <c r="A235" s="4" t="s">
        <v>12888</v>
      </c>
      <c r="B235" s="4" t="e">
        <v>#N/A</v>
      </c>
      <c r="E235" s="4" t="e">
        <v>#N/A</v>
      </c>
      <c r="H235" s="4" t="s">
        <v>12889</v>
      </c>
      <c r="I235" s="4" t="s">
        <v>12890</v>
      </c>
      <c r="K235" s="4" t="s">
        <v>12891</v>
      </c>
      <c r="L235" s="4" t="s">
        <v>12892</v>
      </c>
      <c r="N235" s="4" t="s">
        <v>12893</v>
      </c>
      <c r="O235" s="4" t="s">
        <v>12894</v>
      </c>
    </row>
    <row r="236" spans="1:15" ht="13">
      <c r="A236" s="4" t="s">
        <v>12895</v>
      </c>
      <c r="B236" s="4" t="s">
        <v>12896</v>
      </c>
      <c r="C236" s="4" t="s">
        <v>12897</v>
      </c>
      <c r="E236" s="4" t="s">
        <v>12898</v>
      </c>
      <c r="F236" s="4" t="s">
        <v>12899</v>
      </c>
      <c r="H236" s="4" t="s">
        <v>12900</v>
      </c>
      <c r="I236" s="4" t="s">
        <v>12901</v>
      </c>
      <c r="K236" s="4" t="s">
        <v>12902</v>
      </c>
      <c r="L236" s="4" t="s">
        <v>12903</v>
      </c>
      <c r="N236" s="4" t="s">
        <v>12904</v>
      </c>
      <c r="O236" s="4" t="s">
        <v>12905</v>
      </c>
    </row>
    <row r="237" spans="1:15" ht="13">
      <c r="A237" s="4" t="s">
        <v>12906</v>
      </c>
      <c r="B237" s="4" t="s">
        <v>12907</v>
      </c>
      <c r="C237" s="4" t="s">
        <v>12908</v>
      </c>
      <c r="E237" s="4" t="s">
        <v>12909</v>
      </c>
      <c r="F237" s="4" t="s">
        <v>12910</v>
      </c>
      <c r="H237" s="4" t="s">
        <v>12911</v>
      </c>
      <c r="I237" s="4" t="s">
        <v>12912</v>
      </c>
      <c r="K237" s="4" t="e">
        <v>#N/A</v>
      </c>
      <c r="N237" s="4" t="s">
        <v>12913</v>
      </c>
      <c r="O237" s="4" t="s">
        <v>12914</v>
      </c>
    </row>
    <row r="238" spans="1:15" ht="13">
      <c r="A238" s="4" t="s">
        <v>12915</v>
      </c>
      <c r="B238" s="4" t="s">
        <v>12916</v>
      </c>
      <c r="C238" s="4" t="s">
        <v>12917</v>
      </c>
      <c r="E238" s="4" t="e">
        <v>#N/A</v>
      </c>
      <c r="H238" s="4" t="e">
        <v>#N/A</v>
      </c>
      <c r="K238" s="4" t="s">
        <v>12918</v>
      </c>
      <c r="L238" s="4" t="s">
        <v>12919</v>
      </c>
      <c r="N238" s="4" t="e">
        <v>#N/A</v>
      </c>
    </row>
    <row r="239" spans="1:15" ht="13">
      <c r="A239" s="4" t="s">
        <v>12920</v>
      </c>
      <c r="B239" s="4" t="e">
        <v>#N/A</v>
      </c>
      <c r="E239" s="4" t="s">
        <v>12921</v>
      </c>
      <c r="F239" s="4" t="s">
        <v>12922</v>
      </c>
      <c r="H239" s="4" t="s">
        <v>12923</v>
      </c>
      <c r="I239" s="4" t="s">
        <v>12924</v>
      </c>
      <c r="K239" s="4" t="s">
        <v>12925</v>
      </c>
      <c r="L239" s="4" t="s">
        <v>12926</v>
      </c>
      <c r="N239" s="4" t="s">
        <v>12927</v>
      </c>
      <c r="O239" s="4" t="s">
        <v>12928</v>
      </c>
    </row>
    <row r="240" spans="1:15" ht="13">
      <c r="A240" s="4" t="s">
        <v>12929</v>
      </c>
      <c r="B240" s="4" t="e">
        <v>#N/A</v>
      </c>
      <c r="E240" s="4" t="s">
        <v>12930</v>
      </c>
      <c r="F240" s="4" t="s">
        <v>12931</v>
      </c>
      <c r="H240" s="4" t="s">
        <v>12932</v>
      </c>
      <c r="I240" s="4" t="s">
        <v>12933</v>
      </c>
      <c r="K240" s="4" t="s">
        <v>12934</v>
      </c>
      <c r="L240" s="4" t="s">
        <v>12935</v>
      </c>
      <c r="N240" s="4" t="s">
        <v>12936</v>
      </c>
      <c r="O240" s="4" t="s">
        <v>12937</v>
      </c>
    </row>
    <row r="241" spans="1:15" ht="13">
      <c r="A241" s="4" t="s">
        <v>12938</v>
      </c>
      <c r="B241" s="4" t="s">
        <v>12939</v>
      </c>
      <c r="C241" s="4" t="s">
        <v>12940</v>
      </c>
      <c r="E241" s="4" t="s">
        <v>12942</v>
      </c>
      <c r="F241" s="4" t="s">
        <v>12943</v>
      </c>
      <c r="H241" s="4" t="s">
        <v>12944</v>
      </c>
      <c r="I241" s="4" t="s">
        <v>12945</v>
      </c>
      <c r="K241" s="4" t="s">
        <v>12946</v>
      </c>
      <c r="L241" s="4" t="s">
        <v>12947</v>
      </c>
      <c r="N241" s="4" t="s">
        <v>12948</v>
      </c>
      <c r="O241" s="4" t="s">
        <v>12949</v>
      </c>
    </row>
    <row r="242" spans="1:15" ht="13">
      <c r="A242" s="4" t="s">
        <v>12950</v>
      </c>
      <c r="B242" s="4" t="s">
        <v>12951</v>
      </c>
      <c r="C242" s="4" t="s">
        <v>135</v>
      </c>
      <c r="D242" s="4" t="s">
        <v>12952</v>
      </c>
      <c r="E242" s="4" t="s">
        <v>12953</v>
      </c>
      <c r="F242" s="4" t="s">
        <v>12954</v>
      </c>
      <c r="H242" s="4" t="s">
        <v>12955</v>
      </c>
      <c r="I242" s="4" t="s">
        <v>12956</v>
      </c>
      <c r="K242" s="4" t="s">
        <v>12957</v>
      </c>
      <c r="L242" s="4" t="s">
        <v>12958</v>
      </c>
      <c r="N242" s="4" t="s">
        <v>12959</v>
      </c>
      <c r="O242" s="4" t="s">
        <v>12960</v>
      </c>
    </row>
    <row r="243" spans="1:15" ht="13">
      <c r="A243" s="4" t="s">
        <v>12961</v>
      </c>
      <c r="B243" s="4" t="s">
        <v>12962</v>
      </c>
      <c r="C243" s="4" t="s">
        <v>12963</v>
      </c>
      <c r="E243" s="4" t="s">
        <v>12964</v>
      </c>
      <c r="F243" s="4" t="s">
        <v>12965</v>
      </c>
      <c r="H243" s="4" t="s">
        <v>12966</v>
      </c>
      <c r="I243" s="4" t="s">
        <v>12967</v>
      </c>
      <c r="K243" s="4" t="e">
        <v>#N/A</v>
      </c>
      <c r="N243" s="4" t="s">
        <v>12968</v>
      </c>
      <c r="O243" s="4" t="s">
        <v>12969</v>
      </c>
    </row>
    <row r="244" spans="1:15" ht="13">
      <c r="A244" s="4" t="s">
        <v>12970</v>
      </c>
      <c r="B244" s="4" t="e">
        <v>#N/A</v>
      </c>
      <c r="E244" s="4" t="s">
        <v>12971</v>
      </c>
      <c r="F244" s="4" t="s">
        <v>12972</v>
      </c>
      <c r="H244" s="4" t="e">
        <v>#N/A</v>
      </c>
      <c r="K244" s="4" t="s">
        <v>12973</v>
      </c>
      <c r="L244" s="4" t="s">
        <v>12974</v>
      </c>
      <c r="N244" s="4" t="e">
        <v>#N/A</v>
      </c>
    </row>
    <row r="245" spans="1:15" ht="13">
      <c r="A245" s="4" t="s">
        <v>12975</v>
      </c>
      <c r="B245" s="4" t="e">
        <v>#N/A</v>
      </c>
      <c r="E245" s="4" t="s">
        <v>12976</v>
      </c>
      <c r="F245" s="4" t="s">
        <v>12977</v>
      </c>
      <c r="H245" s="4" t="s">
        <v>12978</v>
      </c>
      <c r="I245" s="4" t="s">
        <v>12979</v>
      </c>
      <c r="K245" s="4" t="s">
        <v>12980</v>
      </c>
      <c r="L245" s="4" t="s">
        <v>12981</v>
      </c>
      <c r="N245" s="4" t="s">
        <v>12982</v>
      </c>
      <c r="O245" s="4" t="s">
        <v>12983</v>
      </c>
    </row>
    <row r="246" spans="1:15" ht="13">
      <c r="A246" s="4" t="s">
        <v>12984</v>
      </c>
      <c r="B246" s="4" t="e">
        <v>#N/A</v>
      </c>
      <c r="E246" s="4" t="s">
        <v>12985</v>
      </c>
      <c r="F246" s="4" t="s">
        <v>12986</v>
      </c>
      <c r="H246" s="4" t="s">
        <v>12987</v>
      </c>
      <c r="I246" s="4" t="s">
        <v>12988</v>
      </c>
      <c r="K246" s="4" t="s">
        <v>12989</v>
      </c>
      <c r="L246" s="4" t="s">
        <v>135</v>
      </c>
      <c r="M246" s="4" t="s">
        <v>12990</v>
      </c>
      <c r="N246" s="4" t="s">
        <v>12991</v>
      </c>
      <c r="O246" s="4" t="s">
        <v>12992</v>
      </c>
    </row>
    <row r="247" spans="1:15" ht="13">
      <c r="A247" s="4" t="s">
        <v>12993</v>
      </c>
      <c r="B247" s="4" t="e">
        <v>#N/A</v>
      </c>
      <c r="E247" s="4" t="s">
        <v>12994</v>
      </c>
      <c r="F247" s="4" t="s">
        <v>12995</v>
      </c>
      <c r="H247" s="4" t="s">
        <v>12996</v>
      </c>
      <c r="I247" s="4" t="s">
        <v>12997</v>
      </c>
      <c r="K247" s="4" t="s">
        <v>12998</v>
      </c>
      <c r="L247" s="4" t="s">
        <v>12999</v>
      </c>
      <c r="N247" s="4" t="s">
        <v>13000</v>
      </c>
      <c r="O247" s="4" t="s">
        <v>13002</v>
      </c>
    </row>
    <row r="248" spans="1:15" ht="13">
      <c r="A248" s="4" t="s">
        <v>13003</v>
      </c>
      <c r="B248" s="4" t="s">
        <v>13004</v>
      </c>
      <c r="C248" s="4" t="s">
        <v>13005</v>
      </c>
      <c r="E248" s="4" t="s">
        <v>13006</v>
      </c>
      <c r="F248" s="4" t="s">
        <v>13007</v>
      </c>
      <c r="H248" s="4" t="s">
        <v>13008</v>
      </c>
      <c r="I248" s="4" t="s">
        <v>13009</v>
      </c>
      <c r="K248" s="4" t="s">
        <v>13010</v>
      </c>
      <c r="L248" s="4" t="s">
        <v>13011</v>
      </c>
      <c r="N248" s="4" t="s">
        <v>13012</v>
      </c>
      <c r="O248" s="4" t="s">
        <v>13013</v>
      </c>
    </row>
    <row r="249" spans="1:15" ht="13">
      <c r="A249" s="4" t="s">
        <v>13014</v>
      </c>
      <c r="B249" s="4" t="s">
        <v>13015</v>
      </c>
      <c r="C249" s="4" t="s">
        <v>13016</v>
      </c>
      <c r="E249" s="4" t="s">
        <v>13017</v>
      </c>
      <c r="F249" s="4" t="s">
        <v>13018</v>
      </c>
      <c r="H249" s="4" t="s">
        <v>13019</v>
      </c>
      <c r="I249" s="4" t="s">
        <v>13020</v>
      </c>
      <c r="K249" s="4" t="s">
        <v>13021</v>
      </c>
      <c r="L249" s="4" t="s">
        <v>13022</v>
      </c>
      <c r="N249" s="4" t="s">
        <v>13023</v>
      </c>
      <c r="O249" s="4" t="s">
        <v>13024</v>
      </c>
    </row>
    <row r="250" spans="1:15" ht="13">
      <c r="A250" s="4" t="s">
        <v>13025</v>
      </c>
      <c r="B250" s="4"/>
      <c r="E250" s="4" t="s">
        <v>13026</v>
      </c>
      <c r="F250" s="4" t="s">
        <v>13027</v>
      </c>
      <c r="H250" s="4" t="s">
        <v>13028</v>
      </c>
      <c r="I250" s="4" t="s">
        <v>13029</v>
      </c>
      <c r="K250" s="4" t="s">
        <v>13030</v>
      </c>
      <c r="L250" s="4" t="s">
        <v>13031</v>
      </c>
      <c r="N250" s="4" t="s">
        <v>13032</v>
      </c>
      <c r="O250" s="4" t="s">
        <v>13033</v>
      </c>
    </row>
    <row r="251" spans="1:15" ht="13">
      <c r="A251" s="4" t="s">
        <v>13034</v>
      </c>
      <c r="B251" s="4" t="s">
        <v>13035</v>
      </c>
      <c r="C251" s="4" t="s">
        <v>13036</v>
      </c>
      <c r="E251" s="4" t="s">
        <v>13037</v>
      </c>
      <c r="F251" s="4" t="s">
        <v>13038</v>
      </c>
      <c r="H251" s="4" t="s">
        <v>13039</v>
      </c>
      <c r="I251" s="4" t="s">
        <v>13040</v>
      </c>
      <c r="K251" s="4" t="s">
        <v>13041</v>
      </c>
      <c r="L251" s="4" t="s">
        <v>13042</v>
      </c>
      <c r="N251" s="4" t="s">
        <v>13043</v>
      </c>
      <c r="O251" s="4" t="s">
        <v>13044</v>
      </c>
    </row>
    <row r="252" spans="1:15" ht="13">
      <c r="A252" s="4" t="s">
        <v>13045</v>
      </c>
      <c r="B252" s="4" t="s">
        <v>13046</v>
      </c>
      <c r="C252" s="4" t="s">
        <v>13047</v>
      </c>
      <c r="E252" s="4" t="s">
        <v>13048</v>
      </c>
      <c r="F252" s="4" t="s">
        <v>13049</v>
      </c>
      <c r="H252" s="4" t="s">
        <v>13050</v>
      </c>
      <c r="I252" s="4" t="s">
        <v>13051</v>
      </c>
      <c r="K252" s="4" t="s">
        <v>13052</v>
      </c>
      <c r="L252" s="4" t="s">
        <v>13053</v>
      </c>
      <c r="N252" s="4" t="s">
        <v>13054</v>
      </c>
      <c r="O252" s="4" t="s">
        <v>13055</v>
      </c>
    </row>
    <row r="253" spans="1:15" ht="13">
      <c r="A253" s="4" t="s">
        <v>13056</v>
      </c>
      <c r="B253" s="4" t="s">
        <v>13057</v>
      </c>
      <c r="C253" s="4" t="s">
        <v>13058</v>
      </c>
      <c r="E253" s="4" t="s">
        <v>13059</v>
      </c>
      <c r="F253" s="4" t="s">
        <v>13060</v>
      </c>
      <c r="H253" s="4" t="e">
        <v>#N/A</v>
      </c>
      <c r="K253" s="4" t="s">
        <v>13061</v>
      </c>
      <c r="L253" s="4" t="s">
        <v>13062</v>
      </c>
      <c r="N253" s="4" t="s">
        <v>13063</v>
      </c>
      <c r="O253" s="4" t="s">
        <v>13064</v>
      </c>
    </row>
    <row r="254" spans="1:15" ht="13">
      <c r="A254" s="4" t="s">
        <v>13065</v>
      </c>
      <c r="B254" s="4" t="s">
        <v>13066</v>
      </c>
      <c r="C254" s="4" t="s">
        <v>13067</v>
      </c>
      <c r="E254" s="4" t="s">
        <v>13068</v>
      </c>
      <c r="F254" s="4" t="s">
        <v>13069</v>
      </c>
      <c r="H254" s="4" t="e">
        <v>#N/A</v>
      </c>
      <c r="K254" s="4" t="s">
        <v>13070</v>
      </c>
      <c r="L254" s="4" t="s">
        <v>13071</v>
      </c>
      <c r="N254" s="4" t="e">
        <v>#N/A</v>
      </c>
    </row>
    <row r="255" spans="1:15" ht="13">
      <c r="A255" s="4" t="s">
        <v>13072</v>
      </c>
      <c r="B255" s="4" t="s">
        <v>13073</v>
      </c>
      <c r="C255" s="4" t="s">
        <v>13074</v>
      </c>
      <c r="E255" s="4" t="s">
        <v>13075</v>
      </c>
      <c r="F255" s="4" t="s">
        <v>13076</v>
      </c>
      <c r="H255" s="4" t="e">
        <v>#N/A</v>
      </c>
      <c r="K255" s="4" t="e">
        <v>#N/A</v>
      </c>
      <c r="N255" s="4" t="s">
        <v>13077</v>
      </c>
      <c r="O255" s="4" t="s">
        <v>13078</v>
      </c>
    </row>
    <row r="256" spans="1:15" ht="13">
      <c r="A256" s="4" t="s">
        <v>13079</v>
      </c>
      <c r="B256" s="4" t="s">
        <v>13080</v>
      </c>
      <c r="C256" s="4" t="s">
        <v>13081</v>
      </c>
      <c r="E256" s="4" t="s">
        <v>13082</v>
      </c>
      <c r="F256" s="4" t="s">
        <v>13083</v>
      </c>
      <c r="H256" s="4" t="s">
        <v>13084</v>
      </c>
      <c r="I256" s="4" t="s">
        <v>13085</v>
      </c>
      <c r="K256" s="4" t="s">
        <v>13086</v>
      </c>
      <c r="L256" s="4" t="s">
        <v>13087</v>
      </c>
      <c r="N256" s="4" t="s">
        <v>13088</v>
      </c>
      <c r="O256" s="4" t="s">
        <v>13089</v>
      </c>
    </row>
    <row r="257" spans="1:16" ht="13">
      <c r="A257" s="4" t="s">
        <v>13090</v>
      </c>
      <c r="B257" s="4" t="s">
        <v>13091</v>
      </c>
      <c r="C257" s="4" t="s">
        <v>13092</v>
      </c>
      <c r="E257" s="4" t="e">
        <v>#N/A</v>
      </c>
      <c r="H257" s="4" t="s">
        <v>13093</v>
      </c>
      <c r="I257" s="4" t="s">
        <v>13094</v>
      </c>
      <c r="K257" s="4" t="e">
        <v>#N/A</v>
      </c>
      <c r="N257" s="4" t="s">
        <v>13096</v>
      </c>
      <c r="O257" s="4" t="s">
        <v>13097</v>
      </c>
    </row>
    <row r="258" spans="1:16" ht="13">
      <c r="A258" s="4" t="s">
        <v>13098</v>
      </c>
      <c r="B258" s="4" t="s">
        <v>13099</v>
      </c>
      <c r="C258" s="4" t="s">
        <v>13100</v>
      </c>
      <c r="E258" s="4" t="s">
        <v>13101</v>
      </c>
      <c r="F258" s="4" t="s">
        <v>13102</v>
      </c>
      <c r="H258" s="4" t="s">
        <v>13103</v>
      </c>
      <c r="I258" s="4" t="s">
        <v>13104</v>
      </c>
      <c r="K258" s="4" t="s">
        <v>13105</v>
      </c>
      <c r="L258" s="4" t="s">
        <v>13106</v>
      </c>
      <c r="N258" s="4" t="s">
        <v>13107</v>
      </c>
      <c r="O258" s="4" t="s">
        <v>13108</v>
      </c>
    </row>
    <row r="259" spans="1:16" ht="13">
      <c r="A259" s="4" t="s">
        <v>13109</v>
      </c>
      <c r="B259" s="4" t="s">
        <v>13110</v>
      </c>
      <c r="C259" s="4" t="s">
        <v>13111</v>
      </c>
      <c r="E259" s="4" t="e">
        <v>#N/A</v>
      </c>
      <c r="H259" s="4" t="s">
        <v>13112</v>
      </c>
      <c r="I259" s="4" t="s">
        <v>13113</v>
      </c>
      <c r="K259" s="4" t="e">
        <v>#N/A</v>
      </c>
      <c r="N259" s="4" t="s">
        <v>13114</v>
      </c>
      <c r="O259" s="4" t="s">
        <v>13115</v>
      </c>
    </row>
    <row r="260" spans="1:16" ht="13">
      <c r="A260" s="4" t="s">
        <v>13116</v>
      </c>
      <c r="B260" s="4" t="e">
        <v>#N/A</v>
      </c>
      <c r="E260" s="4" t="s">
        <v>13117</v>
      </c>
      <c r="F260" s="4" t="s">
        <v>13118</v>
      </c>
      <c r="H260" s="4" t="s">
        <v>13119</v>
      </c>
      <c r="I260" s="4" t="s">
        <v>13120</v>
      </c>
      <c r="K260" s="4" t="s">
        <v>13121</v>
      </c>
      <c r="L260" s="4" t="s">
        <v>13122</v>
      </c>
      <c r="N260" s="4" t="s">
        <v>13123</v>
      </c>
      <c r="O260" s="4" t="s">
        <v>13124</v>
      </c>
    </row>
    <row r="261" spans="1:16" ht="13">
      <c r="A261" s="4" t="s">
        <v>13125</v>
      </c>
      <c r="B261" s="4" t="e">
        <v>#N/A</v>
      </c>
      <c r="E261" s="4" t="s">
        <v>13126</v>
      </c>
      <c r="F261" s="4" t="s">
        <v>13127</v>
      </c>
      <c r="H261" s="4" t="s">
        <v>13128</v>
      </c>
      <c r="I261" s="4" t="s">
        <v>13129</v>
      </c>
      <c r="K261" s="4" t="s">
        <v>13130</v>
      </c>
      <c r="L261" s="4" t="s">
        <v>13131</v>
      </c>
      <c r="N261" s="4" t="s">
        <v>13132</v>
      </c>
      <c r="O261" s="4" t="s">
        <v>13133</v>
      </c>
    </row>
    <row r="262" spans="1:16" ht="13">
      <c r="A262" s="4" t="s">
        <v>13134</v>
      </c>
      <c r="B262" s="4" t="s">
        <v>13135</v>
      </c>
      <c r="C262" s="4" t="s">
        <v>13136</v>
      </c>
      <c r="E262" s="4" t="s">
        <v>13137</v>
      </c>
      <c r="F262" s="4" t="s">
        <v>13138</v>
      </c>
      <c r="H262" s="4" t="s">
        <v>13139</v>
      </c>
      <c r="I262" s="4" t="s">
        <v>13140</v>
      </c>
      <c r="K262" s="4" t="s">
        <v>13141</v>
      </c>
      <c r="L262" s="4" t="s">
        <v>13142</v>
      </c>
      <c r="N262" s="4" t="s">
        <v>13143</v>
      </c>
      <c r="O262" s="4" t="s">
        <v>13144</v>
      </c>
    </row>
    <row r="263" spans="1:16" ht="13">
      <c r="A263" s="4" t="s">
        <v>13145</v>
      </c>
      <c r="B263" s="4" t="e">
        <v>#N/A</v>
      </c>
      <c r="E263" s="4" t="s">
        <v>13146</v>
      </c>
      <c r="F263" s="4" t="s">
        <v>13147</v>
      </c>
      <c r="H263" s="4" t="e">
        <v>#N/A</v>
      </c>
      <c r="K263" s="4" t="s">
        <v>13148</v>
      </c>
      <c r="L263" s="4" t="s">
        <v>13149</v>
      </c>
      <c r="N263" s="4" t="s">
        <v>13150</v>
      </c>
      <c r="O263" s="4" t="s">
        <v>135</v>
      </c>
      <c r="P263" s="4" t="s">
        <v>13151</v>
      </c>
    </row>
    <row r="264" spans="1:16" ht="13">
      <c r="A264" s="4" t="s">
        <v>13152</v>
      </c>
      <c r="B264" s="4" t="s">
        <v>13153</v>
      </c>
      <c r="C264" s="4" t="s">
        <v>13154</v>
      </c>
      <c r="E264" s="4" t="s">
        <v>13155</v>
      </c>
      <c r="F264" s="4" t="s">
        <v>13156</v>
      </c>
      <c r="H264" s="4" t="s">
        <v>13157</v>
      </c>
      <c r="I264" s="4" t="s">
        <v>13158</v>
      </c>
      <c r="K264" s="4" t="s">
        <v>13159</v>
      </c>
      <c r="L264" s="4" t="s">
        <v>13160</v>
      </c>
      <c r="N264" s="4" t="s">
        <v>13161</v>
      </c>
      <c r="O264" s="4" t="s">
        <v>13162</v>
      </c>
    </row>
    <row r="265" spans="1:16" ht="13">
      <c r="A265" s="4" t="s">
        <v>13164</v>
      </c>
      <c r="B265" s="4" t="e">
        <v>#N/A</v>
      </c>
      <c r="E265" s="4" t="s">
        <v>13165</v>
      </c>
      <c r="F265" s="4" t="s">
        <v>13166</v>
      </c>
      <c r="H265" s="4" t="s">
        <v>13167</v>
      </c>
      <c r="I265" s="4" t="s">
        <v>13168</v>
      </c>
      <c r="K265" s="4" t="s">
        <v>13169</v>
      </c>
      <c r="L265" s="4" t="s">
        <v>13170</v>
      </c>
      <c r="N265" s="4" t="s">
        <v>13171</v>
      </c>
      <c r="O265" s="4" t="s">
        <v>13172</v>
      </c>
    </row>
    <row r="266" spans="1:16" ht="13">
      <c r="A266" s="4" t="s">
        <v>13173</v>
      </c>
      <c r="B266" s="4" t="s">
        <v>13174</v>
      </c>
      <c r="C266" s="4" t="s">
        <v>13175</v>
      </c>
      <c r="E266" s="4" t="s">
        <v>13176</v>
      </c>
      <c r="F266" s="4" t="s">
        <v>13177</v>
      </c>
      <c r="H266" s="4" t="s">
        <v>13178</v>
      </c>
      <c r="I266" s="4" t="s">
        <v>135</v>
      </c>
      <c r="J266" s="4" t="s">
        <v>13179</v>
      </c>
      <c r="K266" s="4" t="s">
        <v>13180</v>
      </c>
      <c r="L266" s="4" t="s">
        <v>13181</v>
      </c>
      <c r="N266" s="4" t="s">
        <v>13182</v>
      </c>
      <c r="O266" s="4" t="s">
        <v>13183</v>
      </c>
    </row>
    <row r="267" spans="1:16" ht="13">
      <c r="A267" s="4" t="s">
        <v>13184</v>
      </c>
      <c r="B267" s="4" t="s">
        <v>13185</v>
      </c>
      <c r="C267" s="4" t="s">
        <v>13186</v>
      </c>
      <c r="E267" s="4" t="e">
        <v>#N/A</v>
      </c>
      <c r="H267" s="4" t="s">
        <v>13187</v>
      </c>
      <c r="I267" s="4" t="s">
        <v>13188</v>
      </c>
      <c r="K267" s="4" t="e">
        <v>#N/A</v>
      </c>
      <c r="N267" s="4" t="e">
        <v>#N/A</v>
      </c>
    </row>
    <row r="268" spans="1:16" ht="13">
      <c r="A268" s="4" t="s">
        <v>13189</v>
      </c>
      <c r="B268" s="4" t="s">
        <v>13190</v>
      </c>
      <c r="C268" s="4" t="s">
        <v>13191</v>
      </c>
      <c r="E268" s="4" t="s">
        <v>13192</v>
      </c>
      <c r="F268" s="4" t="s">
        <v>13193</v>
      </c>
      <c r="H268" s="4" t="s">
        <v>13194</v>
      </c>
      <c r="I268" s="4" t="s">
        <v>13195</v>
      </c>
      <c r="K268" s="4" t="e">
        <v>#N/A</v>
      </c>
      <c r="N268" s="4" t="e">
        <v>#N/A</v>
      </c>
    </row>
    <row r="269" spans="1:16" ht="13">
      <c r="A269" s="4" t="s">
        <v>13196</v>
      </c>
      <c r="B269" s="4" t="e">
        <v>#N/A</v>
      </c>
      <c r="E269" s="4" t="s">
        <v>13197</v>
      </c>
      <c r="F269" s="4" t="s">
        <v>13198</v>
      </c>
      <c r="H269" s="4" t="e">
        <v>#N/A</v>
      </c>
      <c r="K269" s="4" t="s">
        <v>13199</v>
      </c>
      <c r="L269" s="4" t="s">
        <v>13200</v>
      </c>
      <c r="N269" s="4" t="s">
        <v>13201</v>
      </c>
      <c r="O269" s="4" t="s">
        <v>13202</v>
      </c>
    </row>
    <row r="270" spans="1:16" ht="13">
      <c r="A270" s="4" t="s">
        <v>13203</v>
      </c>
      <c r="B270" s="4" t="s">
        <v>13204</v>
      </c>
      <c r="C270" s="4" t="s">
        <v>13205</v>
      </c>
      <c r="E270" s="4" t="s">
        <v>13206</v>
      </c>
      <c r="F270" s="4" t="s">
        <v>13207</v>
      </c>
      <c r="H270" s="4" t="s">
        <v>13208</v>
      </c>
      <c r="I270" s="4" t="s">
        <v>13209</v>
      </c>
      <c r="K270" s="4" t="s">
        <v>13210</v>
      </c>
      <c r="L270" s="4" t="s">
        <v>13211</v>
      </c>
      <c r="N270" s="4" t="s">
        <v>13212</v>
      </c>
      <c r="O270" s="4" t="s">
        <v>13213</v>
      </c>
    </row>
    <row r="271" spans="1:16" ht="13">
      <c r="A271" s="4" t="s">
        <v>13214</v>
      </c>
      <c r="B271" s="4" t="s">
        <v>13215</v>
      </c>
      <c r="C271" s="4" t="s">
        <v>13216</v>
      </c>
      <c r="E271" s="4" t="s">
        <v>13217</v>
      </c>
      <c r="F271" s="4" t="s">
        <v>13218</v>
      </c>
      <c r="H271" s="4" t="e">
        <v>#N/A</v>
      </c>
      <c r="K271" s="4" t="s">
        <v>13219</v>
      </c>
      <c r="L271" s="4" t="s">
        <v>13220</v>
      </c>
      <c r="N271" s="4" t="s">
        <v>13221</v>
      </c>
      <c r="O271" s="4" t="s">
        <v>13222</v>
      </c>
    </row>
    <row r="272" spans="1:16" ht="13">
      <c r="A272" s="4" t="s">
        <v>13223</v>
      </c>
      <c r="B272" s="4" t="s">
        <v>13224</v>
      </c>
      <c r="C272" s="4" t="s">
        <v>13225</v>
      </c>
      <c r="E272" s="4" t="e">
        <v>#N/A</v>
      </c>
      <c r="H272" s="4" t="s">
        <v>13226</v>
      </c>
      <c r="I272" s="4" t="s">
        <v>13227</v>
      </c>
      <c r="K272" s="4" t="e">
        <v>#N/A</v>
      </c>
      <c r="N272" s="4" t="s">
        <v>13228</v>
      </c>
      <c r="O272" s="4" t="s">
        <v>13229</v>
      </c>
    </row>
    <row r="273" spans="1:15" ht="13">
      <c r="A273" s="4" t="s">
        <v>13230</v>
      </c>
      <c r="B273" s="4" t="e">
        <v>#N/A</v>
      </c>
      <c r="E273" s="4" t="e">
        <v>#N/A</v>
      </c>
      <c r="H273" s="4" t="s">
        <v>13231</v>
      </c>
      <c r="I273" s="4" t="s">
        <v>13232</v>
      </c>
      <c r="K273" s="4" t="s">
        <v>13233</v>
      </c>
      <c r="L273" s="4" t="s">
        <v>13234</v>
      </c>
      <c r="N273" s="4" t="s">
        <v>13235</v>
      </c>
      <c r="O273" s="4" t="s">
        <v>13236</v>
      </c>
    </row>
    <row r="274" spans="1:15" ht="13">
      <c r="A274" s="4" t="s">
        <v>13237</v>
      </c>
      <c r="B274" s="4" t="s">
        <v>13238</v>
      </c>
      <c r="C274" s="4" t="s">
        <v>13239</v>
      </c>
      <c r="E274" s="4" t="s">
        <v>13240</v>
      </c>
      <c r="F274" s="4" t="s">
        <v>13241</v>
      </c>
      <c r="H274" s="4" t="e">
        <v>#N/A</v>
      </c>
      <c r="K274" s="4" t="s">
        <v>13242</v>
      </c>
      <c r="L274" s="4" t="s">
        <v>13243</v>
      </c>
      <c r="N274" s="4" t="e">
        <v>#N/A</v>
      </c>
    </row>
    <row r="275" spans="1:15" ht="13">
      <c r="A275" s="4" t="s">
        <v>13245</v>
      </c>
      <c r="B275" s="4" t="s">
        <v>13246</v>
      </c>
      <c r="C275" s="4" t="s">
        <v>13247</v>
      </c>
      <c r="E275" s="4" t="s">
        <v>13248</v>
      </c>
      <c r="F275" s="4" t="s">
        <v>13249</v>
      </c>
      <c r="H275" s="4" t="s">
        <v>13250</v>
      </c>
      <c r="I275" s="4" t="s">
        <v>13251</v>
      </c>
      <c r="K275" s="4" t="s">
        <v>13252</v>
      </c>
      <c r="L275" s="4" t="s">
        <v>13253</v>
      </c>
      <c r="N275" s="4" t="s">
        <v>13254</v>
      </c>
      <c r="O275" s="4" t="s">
        <v>13255</v>
      </c>
    </row>
    <row r="276" spans="1:15" ht="13">
      <c r="A276" s="4" t="s">
        <v>13256</v>
      </c>
      <c r="B276" s="4" t="e">
        <v>#N/A</v>
      </c>
      <c r="E276" s="4" t="s">
        <v>13257</v>
      </c>
      <c r="F276" s="4" t="s">
        <v>13258</v>
      </c>
      <c r="H276" s="4" t="e">
        <v>#N/A</v>
      </c>
      <c r="K276" s="4" t="s">
        <v>13259</v>
      </c>
      <c r="L276" s="4" t="s">
        <v>13260</v>
      </c>
      <c r="N276" s="4" t="s">
        <v>13261</v>
      </c>
      <c r="O276" s="4" t="s">
        <v>13262</v>
      </c>
    </row>
    <row r="277" spans="1:15" ht="13">
      <c r="A277" s="4" t="s">
        <v>13263</v>
      </c>
      <c r="B277" s="4" t="s">
        <v>13264</v>
      </c>
      <c r="C277" s="4" t="s">
        <v>13265</v>
      </c>
      <c r="E277" s="4" t="s">
        <v>13266</v>
      </c>
      <c r="F277" s="4" t="s">
        <v>13267</v>
      </c>
      <c r="H277" s="4" t="s">
        <v>13268</v>
      </c>
      <c r="I277" s="4" t="s">
        <v>13269</v>
      </c>
      <c r="K277" s="4" t="s">
        <v>13270</v>
      </c>
      <c r="L277" s="4" t="s">
        <v>13271</v>
      </c>
      <c r="N277" s="4" t="e">
        <v>#N/A</v>
      </c>
    </row>
    <row r="278" spans="1:15" ht="13">
      <c r="A278" s="4" t="s">
        <v>13272</v>
      </c>
      <c r="B278" s="4" t="s">
        <v>13273</v>
      </c>
      <c r="C278" s="4" t="s">
        <v>13274</v>
      </c>
      <c r="E278" s="4" t="s">
        <v>13275</v>
      </c>
      <c r="F278" s="4" t="s">
        <v>13276</v>
      </c>
      <c r="H278" s="4" t="e">
        <v>#N/A</v>
      </c>
      <c r="K278" s="4" t="s">
        <v>13277</v>
      </c>
      <c r="L278" s="4" t="s">
        <v>13278</v>
      </c>
      <c r="N278" s="4" t="s">
        <v>13279</v>
      </c>
      <c r="O278" s="4" t="s">
        <v>13280</v>
      </c>
    </row>
    <row r="279" spans="1:15" ht="13">
      <c r="A279" s="4" t="s">
        <v>13281</v>
      </c>
      <c r="B279" s="4" t="s">
        <v>13282</v>
      </c>
      <c r="C279" s="4" t="s">
        <v>13283</v>
      </c>
      <c r="E279" s="4" t="s">
        <v>13284</v>
      </c>
      <c r="F279" s="4" t="s">
        <v>13285</v>
      </c>
      <c r="H279" s="4" t="s">
        <v>13286</v>
      </c>
      <c r="I279" s="4" t="s">
        <v>13287</v>
      </c>
      <c r="K279" s="4" t="e">
        <v>#N/A</v>
      </c>
      <c r="N279" s="4" t="s">
        <v>13288</v>
      </c>
      <c r="O279" s="4" t="s">
        <v>13289</v>
      </c>
    </row>
    <row r="280" spans="1:15" ht="13">
      <c r="A280" s="4" t="s">
        <v>13290</v>
      </c>
      <c r="B280" s="4" t="s">
        <v>13291</v>
      </c>
      <c r="C280" s="4" t="s">
        <v>13292</v>
      </c>
      <c r="E280" s="4" t="s">
        <v>13293</v>
      </c>
      <c r="F280" s="4" t="s">
        <v>13294</v>
      </c>
      <c r="H280" s="4" t="s">
        <v>13295</v>
      </c>
      <c r="I280" s="4" t="s">
        <v>13296</v>
      </c>
      <c r="K280" s="4" t="e">
        <v>#N/A</v>
      </c>
      <c r="N280" s="4" t="s">
        <v>13297</v>
      </c>
      <c r="O280" s="4" t="s">
        <v>13298</v>
      </c>
    </row>
    <row r="281" spans="1:15" ht="13">
      <c r="A281" s="4" t="s">
        <v>13299</v>
      </c>
      <c r="B281" s="4" t="e">
        <v>#N/A</v>
      </c>
      <c r="E281" s="4" t="s">
        <v>13300</v>
      </c>
      <c r="F281" s="4" t="s">
        <v>13301</v>
      </c>
      <c r="H281" s="4" t="s">
        <v>13302</v>
      </c>
      <c r="I281" s="4" t="s">
        <v>13303</v>
      </c>
      <c r="K281" s="4" t="e">
        <v>#N/A</v>
      </c>
      <c r="N281" s="4" t="s">
        <v>13304</v>
      </c>
      <c r="O281" s="4" t="s">
        <v>13305</v>
      </c>
    </row>
    <row r="282" spans="1:15" ht="13">
      <c r="A282" s="4" t="s">
        <v>13306</v>
      </c>
      <c r="B282" s="4" t="s">
        <v>13307</v>
      </c>
      <c r="C282" s="4" t="s">
        <v>13308</v>
      </c>
      <c r="E282" s="4" t="s">
        <v>13309</v>
      </c>
      <c r="F282" s="4" t="s">
        <v>13310</v>
      </c>
      <c r="H282" s="4" t="e">
        <v>#N/A</v>
      </c>
      <c r="K282" s="4" t="s">
        <v>13311</v>
      </c>
      <c r="L282" s="4" t="s">
        <v>13312</v>
      </c>
      <c r="N282" s="4" t="s">
        <v>13313</v>
      </c>
      <c r="O282" s="4" t="s">
        <v>13314</v>
      </c>
    </row>
    <row r="283" spans="1:15" ht="13">
      <c r="A283" s="4" t="s">
        <v>13315</v>
      </c>
      <c r="B283" s="4"/>
      <c r="E283" s="4" t="s">
        <v>13317</v>
      </c>
      <c r="F283" s="4" t="s">
        <v>13318</v>
      </c>
      <c r="H283" s="4" t="s">
        <v>13319</v>
      </c>
      <c r="I283" s="4" t="s">
        <v>13320</v>
      </c>
      <c r="K283" s="4" t="s">
        <v>13321</v>
      </c>
      <c r="L283" s="4" t="s">
        <v>13322</v>
      </c>
      <c r="N283" s="4" t="s">
        <v>13323</v>
      </c>
      <c r="O283" s="4" t="s">
        <v>13324</v>
      </c>
    </row>
    <row r="284" spans="1:15" ht="13">
      <c r="A284" s="4" t="s">
        <v>13325</v>
      </c>
      <c r="B284" s="4" t="s">
        <v>13326</v>
      </c>
      <c r="C284" s="4" t="s">
        <v>135</v>
      </c>
      <c r="D284" s="4" t="s">
        <v>13327</v>
      </c>
      <c r="E284" s="4" t="e">
        <v>#N/A</v>
      </c>
      <c r="H284" s="4" t="e">
        <v>#N/A</v>
      </c>
      <c r="K284" s="4" t="s">
        <v>13328</v>
      </c>
      <c r="L284" s="4" t="s">
        <v>13329</v>
      </c>
      <c r="N284" s="4" t="s">
        <v>13330</v>
      </c>
      <c r="O284" s="4" t="s">
        <v>13331</v>
      </c>
    </row>
    <row r="285" spans="1:15" ht="13">
      <c r="A285" s="4" t="s">
        <v>13332</v>
      </c>
      <c r="B285" s="4" t="s">
        <v>13333</v>
      </c>
      <c r="C285" s="4" t="s">
        <v>13334</v>
      </c>
      <c r="E285" s="4" t="s">
        <v>13335</v>
      </c>
      <c r="F285" s="4" t="s">
        <v>13336</v>
      </c>
      <c r="H285" s="4" t="s">
        <v>13337</v>
      </c>
      <c r="I285" s="4" t="s">
        <v>13338</v>
      </c>
      <c r="K285" s="4" t="s">
        <v>13339</v>
      </c>
      <c r="L285" s="4" t="s">
        <v>13340</v>
      </c>
      <c r="N285" s="4" t="e">
        <v>#N/A</v>
      </c>
    </row>
    <row r="286" spans="1:15" ht="13">
      <c r="A286" s="4" t="s">
        <v>13341</v>
      </c>
      <c r="B286" s="4" t="e">
        <v>#N/A</v>
      </c>
      <c r="E286" s="4" t="s">
        <v>13342</v>
      </c>
      <c r="F286" s="4" t="s">
        <v>13343</v>
      </c>
      <c r="H286" s="4" t="e">
        <v>#N/A</v>
      </c>
      <c r="K286" s="4" t="s">
        <v>13344</v>
      </c>
      <c r="L286" s="4" t="s">
        <v>13345</v>
      </c>
      <c r="N286" s="4" t="s">
        <v>13346</v>
      </c>
      <c r="O286" s="4" t="s">
        <v>13347</v>
      </c>
    </row>
    <row r="287" spans="1:15" ht="13">
      <c r="A287" s="4" t="s">
        <v>13348</v>
      </c>
      <c r="B287" s="4" t="s">
        <v>13349</v>
      </c>
      <c r="C287" s="4" t="s">
        <v>13350</v>
      </c>
      <c r="E287" s="4" t="s">
        <v>13351</v>
      </c>
      <c r="F287" s="4" t="s">
        <v>13352</v>
      </c>
      <c r="H287" s="4" t="e">
        <v>#N/A</v>
      </c>
      <c r="K287" s="4" t="e">
        <v>#N/A</v>
      </c>
      <c r="N287" s="4" t="e">
        <v>#N/A</v>
      </c>
    </row>
    <row r="288" spans="1:15" ht="13">
      <c r="A288" s="4" t="s">
        <v>13353</v>
      </c>
      <c r="B288" s="4" t="s">
        <v>13354</v>
      </c>
      <c r="C288" s="4" t="s">
        <v>13355</v>
      </c>
      <c r="E288" s="4" t="s">
        <v>13356</v>
      </c>
      <c r="F288" s="4" t="s">
        <v>13357</v>
      </c>
      <c r="H288" s="4" t="e">
        <v>#N/A</v>
      </c>
      <c r="K288" s="4" t="s">
        <v>13358</v>
      </c>
      <c r="L288" s="4" t="s">
        <v>13359</v>
      </c>
      <c r="N288" s="4" t="e">
        <v>#N/A</v>
      </c>
    </row>
    <row r="289" spans="1:15" ht="13">
      <c r="A289" s="4" t="s">
        <v>13360</v>
      </c>
      <c r="B289" s="4" t="e">
        <v>#N/A</v>
      </c>
      <c r="E289" s="4" t="s">
        <v>13361</v>
      </c>
      <c r="F289" s="4" t="s">
        <v>13362</v>
      </c>
      <c r="H289" s="4" t="s">
        <v>13363</v>
      </c>
      <c r="I289" s="4" t="s">
        <v>13364</v>
      </c>
      <c r="K289" s="4" t="s">
        <v>13365</v>
      </c>
      <c r="L289" s="4" t="s">
        <v>13366</v>
      </c>
      <c r="N289" s="4" t="s">
        <v>13367</v>
      </c>
      <c r="O289" s="4" t="s">
        <v>13368</v>
      </c>
    </row>
    <row r="290" spans="1:15" ht="13">
      <c r="A290" s="4" t="s">
        <v>13369</v>
      </c>
      <c r="B290" s="4" t="e">
        <v>#N/A</v>
      </c>
      <c r="E290" s="4" t="e">
        <v>#N/A</v>
      </c>
      <c r="H290" s="4" t="s">
        <v>13370</v>
      </c>
      <c r="I290" s="4" t="s">
        <v>13371</v>
      </c>
      <c r="K290" s="4" t="s">
        <v>13372</v>
      </c>
      <c r="L290" s="4" t="s">
        <v>13373</v>
      </c>
      <c r="N290" s="4" t="s">
        <v>13374</v>
      </c>
      <c r="O290" s="4" t="s">
        <v>13375</v>
      </c>
    </row>
    <row r="291" spans="1:15" ht="13">
      <c r="A291" s="4" t="s">
        <v>13376</v>
      </c>
      <c r="B291" s="4" t="e">
        <v>#N/A</v>
      </c>
      <c r="E291" s="4" t="s">
        <v>13377</v>
      </c>
      <c r="F291" s="4" t="s">
        <v>13378</v>
      </c>
      <c r="H291" s="4" t="e">
        <v>#N/A</v>
      </c>
      <c r="K291" s="4" t="e">
        <v>#N/A</v>
      </c>
      <c r="N291" s="4" t="s">
        <v>13379</v>
      </c>
      <c r="O291" s="4" t="s">
        <v>13380</v>
      </c>
    </row>
    <row r="292" spans="1:15" ht="13">
      <c r="A292" s="4" t="s">
        <v>13381</v>
      </c>
      <c r="B292" s="4" t="s">
        <v>13382</v>
      </c>
      <c r="C292" s="4" t="s">
        <v>13383</v>
      </c>
      <c r="E292" s="4" t="s">
        <v>13384</v>
      </c>
      <c r="F292" s="4" t="s">
        <v>13385</v>
      </c>
      <c r="H292" s="4" t="e">
        <v>#N/A</v>
      </c>
      <c r="K292" s="4" t="e">
        <v>#N/A</v>
      </c>
      <c r="N292" s="4" t="s">
        <v>13387</v>
      </c>
      <c r="O292" s="4" t="s">
        <v>13388</v>
      </c>
    </row>
    <row r="293" spans="1:15" ht="13">
      <c r="A293" s="4" t="s">
        <v>13389</v>
      </c>
      <c r="B293" s="4" t="s">
        <v>13390</v>
      </c>
      <c r="C293" s="4" t="s">
        <v>13391</v>
      </c>
      <c r="E293" s="4" t="s">
        <v>13392</v>
      </c>
      <c r="F293" s="4" t="s">
        <v>13393</v>
      </c>
      <c r="H293" s="4" t="s">
        <v>13394</v>
      </c>
      <c r="I293" s="4" t="s">
        <v>13395</v>
      </c>
      <c r="K293" s="4" t="e">
        <v>#N/A</v>
      </c>
      <c r="N293" s="4" t="s">
        <v>13396</v>
      </c>
      <c r="O293" s="4" t="s">
        <v>13397</v>
      </c>
    </row>
    <row r="294" spans="1:15" ht="13">
      <c r="A294" s="4" t="s">
        <v>13398</v>
      </c>
      <c r="B294" s="4" t="s">
        <v>13399</v>
      </c>
      <c r="C294" s="4" t="s">
        <v>13400</v>
      </c>
      <c r="E294" s="4" t="s">
        <v>13401</v>
      </c>
      <c r="F294" s="4" t="s">
        <v>13402</v>
      </c>
      <c r="H294" s="4" t="s">
        <v>13403</v>
      </c>
      <c r="I294" s="4" t="s">
        <v>13404</v>
      </c>
      <c r="K294" s="4" t="s">
        <v>13405</v>
      </c>
      <c r="L294" s="4" t="s">
        <v>13406</v>
      </c>
      <c r="N294" s="4" t="s">
        <v>13407</v>
      </c>
      <c r="O294" s="4" t="s">
        <v>13408</v>
      </c>
    </row>
    <row r="295" spans="1:15" ht="13">
      <c r="A295" s="4" t="s">
        <v>13409</v>
      </c>
      <c r="B295" s="4" t="e">
        <v>#N/A</v>
      </c>
      <c r="E295" s="4" t="s">
        <v>13410</v>
      </c>
      <c r="F295" s="4" t="s">
        <v>13411</v>
      </c>
      <c r="H295" s="4" t="s">
        <v>13412</v>
      </c>
      <c r="I295" s="4" t="s">
        <v>13413</v>
      </c>
      <c r="K295" s="4" t="e">
        <v>#N/A</v>
      </c>
      <c r="N295" s="4" t="e">
        <v>#N/A</v>
      </c>
    </row>
    <row r="296" spans="1:15" ht="13">
      <c r="A296" s="4" t="s">
        <v>13414</v>
      </c>
      <c r="B296" s="4" t="s">
        <v>13415</v>
      </c>
      <c r="C296" s="4" t="s">
        <v>13416</v>
      </c>
      <c r="E296" s="4" t="e">
        <v>#N/A</v>
      </c>
      <c r="H296" s="4" t="s">
        <v>13417</v>
      </c>
      <c r="I296" s="4" t="s">
        <v>13418</v>
      </c>
      <c r="K296" s="4" t="s">
        <v>13419</v>
      </c>
      <c r="L296" s="4" t="s">
        <v>13420</v>
      </c>
      <c r="N296" s="4" t="s">
        <v>13421</v>
      </c>
      <c r="O296" s="4" t="s">
        <v>13422</v>
      </c>
    </row>
    <row r="297" spans="1:15" ht="13">
      <c r="A297" s="4" t="s">
        <v>13423</v>
      </c>
      <c r="B297" s="4" t="s">
        <v>13424</v>
      </c>
      <c r="C297" s="4" t="s">
        <v>13425</v>
      </c>
      <c r="E297" s="4" t="e">
        <v>#N/A</v>
      </c>
      <c r="H297" s="4" t="s">
        <v>13426</v>
      </c>
      <c r="I297" s="4" t="s">
        <v>13427</v>
      </c>
      <c r="K297" s="4" t="s">
        <v>13428</v>
      </c>
      <c r="L297" s="4" t="s">
        <v>13429</v>
      </c>
      <c r="N297" s="4" t="s">
        <v>13430</v>
      </c>
      <c r="O297" s="4" t="s">
        <v>13431</v>
      </c>
    </row>
    <row r="298" spans="1:15" ht="13">
      <c r="A298" s="4" t="s">
        <v>13432</v>
      </c>
      <c r="B298" s="4" t="s">
        <v>13433</v>
      </c>
      <c r="C298" s="4" t="s">
        <v>13434</v>
      </c>
      <c r="E298" s="4" t="e">
        <v>#N/A</v>
      </c>
      <c r="H298" s="4" t="s">
        <v>13435</v>
      </c>
      <c r="I298" s="4" t="s">
        <v>13436</v>
      </c>
      <c r="K298" s="4" t="e">
        <v>#N/A</v>
      </c>
      <c r="N298" s="4" t="s">
        <v>13437</v>
      </c>
      <c r="O298" s="4" t="s">
        <v>13438</v>
      </c>
    </row>
    <row r="299" spans="1:15" ht="13">
      <c r="A299" s="4" t="s">
        <v>13439</v>
      </c>
      <c r="B299" s="4" t="s">
        <v>13440</v>
      </c>
      <c r="C299" s="4" t="s">
        <v>13441</v>
      </c>
      <c r="E299" s="4" t="s">
        <v>13442</v>
      </c>
      <c r="F299" s="4" t="s">
        <v>13443</v>
      </c>
      <c r="H299" s="4" t="s">
        <v>13444</v>
      </c>
      <c r="I299" s="4" t="s">
        <v>13445</v>
      </c>
      <c r="K299" s="4" t="s">
        <v>13446</v>
      </c>
      <c r="L299" s="4" t="s">
        <v>13447</v>
      </c>
      <c r="N299" s="4" t="e">
        <v>#N/A</v>
      </c>
    </row>
    <row r="300" spans="1:15" ht="13">
      <c r="A300" s="4" t="s">
        <v>13448</v>
      </c>
      <c r="B300" s="4" t="s">
        <v>13449</v>
      </c>
      <c r="C300" s="4" t="s">
        <v>13450</v>
      </c>
      <c r="E300" s="4" t="s">
        <v>13451</v>
      </c>
      <c r="F300" s="4" t="s">
        <v>13452</v>
      </c>
      <c r="H300" s="4" t="s">
        <v>13453</v>
      </c>
      <c r="I300" s="4" t="s">
        <v>13454</v>
      </c>
      <c r="K300" s="4" t="s">
        <v>13455</v>
      </c>
      <c r="L300" s="4" t="s">
        <v>13456</v>
      </c>
      <c r="N300" s="4" t="e">
        <v>#N/A</v>
      </c>
    </row>
    <row r="301" spans="1:15" ht="13">
      <c r="A301" s="4" t="s">
        <v>13457</v>
      </c>
      <c r="B301" s="4" t="s">
        <v>13458</v>
      </c>
      <c r="C301" s="4" t="s">
        <v>13459</v>
      </c>
      <c r="E301" s="4" t="s">
        <v>13460</v>
      </c>
      <c r="F301" s="4" t="s">
        <v>13461</v>
      </c>
      <c r="H301" s="4" t="e">
        <v>#N/A</v>
      </c>
      <c r="K301" s="4" t="s">
        <v>13463</v>
      </c>
      <c r="L301" s="4" t="s">
        <v>13464</v>
      </c>
      <c r="N301" s="4" t="e">
        <v>#N/A</v>
      </c>
    </row>
    <row r="302" spans="1:15" ht="13">
      <c r="A302" s="4" t="s">
        <v>13465</v>
      </c>
      <c r="B302" s="4" t="s">
        <v>13466</v>
      </c>
      <c r="C302" s="4" t="s">
        <v>13467</v>
      </c>
      <c r="E302" s="4" t="s">
        <v>13468</v>
      </c>
      <c r="F302" s="4" t="s">
        <v>13469</v>
      </c>
      <c r="H302" s="4" t="s">
        <v>13470</v>
      </c>
      <c r="I302" s="4" t="s">
        <v>13471</v>
      </c>
      <c r="K302" s="4" t="e">
        <v>#N/A</v>
      </c>
      <c r="N302" s="4" t="s">
        <v>13472</v>
      </c>
      <c r="O302" s="4" t="s">
        <v>13473</v>
      </c>
    </row>
    <row r="303" spans="1:15" ht="13">
      <c r="A303" s="4" t="s">
        <v>13474</v>
      </c>
      <c r="B303" s="4" t="e">
        <v>#N/A</v>
      </c>
      <c r="E303" s="4" t="s">
        <v>13475</v>
      </c>
      <c r="F303" s="4" t="s">
        <v>13476</v>
      </c>
      <c r="H303" s="4" t="s">
        <v>13477</v>
      </c>
      <c r="I303" s="4" t="s">
        <v>13478</v>
      </c>
      <c r="K303" s="4" t="s">
        <v>13479</v>
      </c>
      <c r="L303" s="4" t="s">
        <v>13480</v>
      </c>
      <c r="N303" s="4" t="s">
        <v>13481</v>
      </c>
      <c r="O303" s="4" t="s">
        <v>13482</v>
      </c>
    </row>
    <row r="304" spans="1:15" ht="13">
      <c r="A304" s="4" t="s">
        <v>13483</v>
      </c>
      <c r="B304" s="4" t="s">
        <v>13484</v>
      </c>
      <c r="C304" s="4" t="s">
        <v>13485</v>
      </c>
      <c r="E304" s="4" t="s">
        <v>13486</v>
      </c>
      <c r="F304" s="4" t="s">
        <v>13487</v>
      </c>
      <c r="H304" s="4" t="e">
        <v>#N/A</v>
      </c>
      <c r="K304" s="4" t="s">
        <v>13488</v>
      </c>
      <c r="L304" s="4" t="s">
        <v>13489</v>
      </c>
      <c r="N304" s="4" t="s">
        <v>13490</v>
      </c>
      <c r="O304" s="4" t="s">
        <v>13491</v>
      </c>
    </row>
    <row r="305" spans="1:24" ht="13">
      <c r="A305" s="4" t="s">
        <v>13492</v>
      </c>
      <c r="B305" s="4" t="s">
        <v>13493</v>
      </c>
      <c r="C305" s="4" t="s">
        <v>13494</v>
      </c>
      <c r="E305" s="4" t="s">
        <v>13495</v>
      </c>
      <c r="F305" s="4" t="s">
        <v>13496</v>
      </c>
      <c r="H305" s="4" t="s">
        <v>13497</v>
      </c>
      <c r="I305" s="4" t="s">
        <v>13498</v>
      </c>
      <c r="K305" s="4" t="s">
        <v>13499</v>
      </c>
      <c r="L305" s="4" t="s">
        <v>13500</v>
      </c>
      <c r="N305" s="4" t="s">
        <v>13501</v>
      </c>
      <c r="O305" s="4" t="s">
        <v>13502</v>
      </c>
    </row>
    <row r="306" spans="1:24" ht="13">
      <c r="A306" s="4" t="s">
        <v>13503</v>
      </c>
      <c r="B306" s="4" t="e">
        <v>#N/A</v>
      </c>
      <c r="E306" s="4" t="s">
        <v>13504</v>
      </c>
      <c r="F306" s="4" t="s">
        <v>13505</v>
      </c>
      <c r="H306" s="4" t="e">
        <v>#N/A</v>
      </c>
      <c r="K306" s="4" t="s">
        <v>13507</v>
      </c>
      <c r="L306" s="4" t="s">
        <v>13508</v>
      </c>
      <c r="N306" s="4" t="s">
        <v>13509</v>
      </c>
      <c r="O306" s="4" t="s">
        <v>13510</v>
      </c>
    </row>
    <row r="307" spans="1:24" ht="13">
      <c r="A307" s="4" t="s">
        <v>13511</v>
      </c>
      <c r="B307" s="4" t="s">
        <v>13512</v>
      </c>
      <c r="C307" s="4" t="s">
        <v>13513</v>
      </c>
      <c r="E307" s="4" t="s">
        <v>13514</v>
      </c>
      <c r="F307" s="4" t="s">
        <v>13515</v>
      </c>
      <c r="H307" s="4" t="e">
        <v>#N/A</v>
      </c>
      <c r="K307" s="4" t="e">
        <v>#N/A</v>
      </c>
      <c r="N307" s="4" t="e">
        <v>#N/A</v>
      </c>
    </row>
    <row r="308" spans="1:24" ht="13">
      <c r="A308" s="4" t="s">
        <v>13516</v>
      </c>
      <c r="B308" s="4" t="e">
        <v>#N/A</v>
      </c>
      <c r="E308" s="4" t="s">
        <v>13517</v>
      </c>
      <c r="F308" s="4" t="s">
        <v>13518</v>
      </c>
      <c r="H308" s="4" t="s">
        <v>13519</v>
      </c>
      <c r="I308" s="4" t="s">
        <v>13520</v>
      </c>
      <c r="K308" s="4" t="s">
        <v>13521</v>
      </c>
      <c r="L308" s="4" t="s">
        <v>13522</v>
      </c>
      <c r="N308" s="4" t="s">
        <v>13523</v>
      </c>
      <c r="O308" s="4" t="s">
        <v>13524</v>
      </c>
    </row>
    <row r="309" spans="1:24" ht="13">
      <c r="A309" s="4" t="s">
        <v>13525</v>
      </c>
      <c r="B309" s="4" t="s">
        <v>13526</v>
      </c>
      <c r="C309" s="4" t="s">
        <v>13527</v>
      </c>
      <c r="E309" s="4" t="s">
        <v>13528</v>
      </c>
      <c r="F309" s="4" t="s">
        <v>13529</v>
      </c>
      <c r="H309" s="4" t="s">
        <v>13530</v>
      </c>
      <c r="I309" s="4" t="s">
        <v>13531</v>
      </c>
      <c r="K309" s="4" t="s">
        <v>13532</v>
      </c>
      <c r="L309" s="4" t="s">
        <v>13533</v>
      </c>
      <c r="N309" s="4" t="s">
        <v>13534</v>
      </c>
      <c r="O309" s="4" t="s">
        <v>13535</v>
      </c>
    </row>
    <row r="310" spans="1:24" ht="13">
      <c r="A310" s="4" t="s">
        <v>13536</v>
      </c>
      <c r="B310" s="4" t="s">
        <v>13537</v>
      </c>
      <c r="C310" s="4" t="s">
        <v>13538</v>
      </c>
      <c r="E310" s="4" t="s">
        <v>13540</v>
      </c>
      <c r="F310" s="4" t="s">
        <v>13541</v>
      </c>
      <c r="H310" s="4" t="e">
        <v>#N/A</v>
      </c>
      <c r="K310" s="4" t="e">
        <v>#N/A</v>
      </c>
      <c r="N310" s="4" t="s">
        <v>13542</v>
      </c>
      <c r="O310" s="4" t="s">
        <v>13543</v>
      </c>
    </row>
    <row r="311" spans="1:24" ht="13">
      <c r="A311" s="4" t="s">
        <v>13544</v>
      </c>
      <c r="B311" s="4" t="s">
        <v>13545</v>
      </c>
      <c r="C311" s="4" t="s">
        <v>13546</v>
      </c>
      <c r="E311" s="4" t="s">
        <v>13547</v>
      </c>
      <c r="F311" s="4" t="s">
        <v>13548</v>
      </c>
      <c r="H311" s="4" t="s">
        <v>13549</v>
      </c>
      <c r="I311" s="4" t="s">
        <v>13550</v>
      </c>
      <c r="K311" s="4" t="s">
        <v>13551</v>
      </c>
      <c r="L311" s="4" t="s">
        <v>13552</v>
      </c>
      <c r="N311" s="4" t="s">
        <v>13553</v>
      </c>
      <c r="O311" s="4" t="s">
        <v>13554</v>
      </c>
    </row>
    <row r="312" spans="1:24" ht="13">
      <c r="A312" s="4" t="s">
        <v>13555</v>
      </c>
      <c r="B312" s="4"/>
      <c r="E312" s="4" t="e">
        <v>#N/A</v>
      </c>
      <c r="H312" s="4" t="s">
        <v>13556</v>
      </c>
      <c r="I312" s="4" t="s">
        <v>13557</v>
      </c>
      <c r="K312" s="4" t="s">
        <v>13558</v>
      </c>
      <c r="L312" s="4" t="s">
        <v>13559</v>
      </c>
      <c r="N312" s="4" t="s">
        <v>13560</v>
      </c>
      <c r="O312" s="4" t="s">
        <v>13561</v>
      </c>
    </row>
    <row r="313" spans="1:24" ht="13">
      <c r="A313" s="4" t="s">
        <v>13562</v>
      </c>
      <c r="B313" s="4" t="s">
        <v>13563</v>
      </c>
      <c r="C313" s="4" t="s">
        <v>13564</v>
      </c>
      <c r="E313" s="4" t="s">
        <v>13565</v>
      </c>
      <c r="F313" s="4" t="s">
        <v>13566</v>
      </c>
      <c r="H313" s="4" t="s">
        <v>13567</v>
      </c>
      <c r="I313" s="4" t="s">
        <v>13568</v>
      </c>
      <c r="K313" s="4" t="s">
        <v>13569</v>
      </c>
      <c r="L313" s="4" t="s">
        <v>13570</v>
      </c>
      <c r="N313" s="4" t="s">
        <v>13571</v>
      </c>
      <c r="O313" s="4" t="s">
        <v>13572</v>
      </c>
    </row>
    <row r="314" spans="1:24" ht="13">
      <c r="A314" s="4" t="s">
        <v>13573</v>
      </c>
      <c r="B314" s="4" t="s">
        <v>13574</v>
      </c>
      <c r="C314" s="4" t="s">
        <v>13575</v>
      </c>
      <c r="E314" s="4" t="s">
        <v>13576</v>
      </c>
      <c r="F314" s="4" t="s">
        <v>13577</v>
      </c>
      <c r="H314" s="4" t="s">
        <v>13578</v>
      </c>
      <c r="I314" s="4" t="s">
        <v>13579</v>
      </c>
      <c r="K314" s="4" t="e">
        <v>#N/A</v>
      </c>
      <c r="N314" s="4" t="s">
        <v>13580</v>
      </c>
      <c r="O314" s="4" t="s">
        <v>13581</v>
      </c>
    </row>
    <row r="315" spans="1:24" ht="13">
      <c r="A315" s="4" t="s">
        <v>13582</v>
      </c>
      <c r="B315" s="4" t="s">
        <v>13583</v>
      </c>
      <c r="C315" s="4" t="s">
        <v>13584</v>
      </c>
      <c r="E315" s="4" t="e">
        <v>#N/A</v>
      </c>
      <c r="H315" s="4" t="s">
        <v>13585</v>
      </c>
      <c r="I315" s="4" t="s">
        <v>13586</v>
      </c>
      <c r="K315" s="4" t="s">
        <v>13587</v>
      </c>
      <c r="L315" s="4" t="s">
        <v>13589</v>
      </c>
      <c r="N315" s="4" t="s">
        <v>13590</v>
      </c>
      <c r="O315" s="4" t="s">
        <v>13591</v>
      </c>
    </row>
    <row r="317" spans="1:24" ht="13">
      <c r="A317" s="1">
        <v>1163</v>
      </c>
      <c r="B317" s="1"/>
      <c r="C317" s="1">
        <v>231</v>
      </c>
      <c r="D317" s="1">
        <v>3</v>
      </c>
      <c r="E317" s="1"/>
      <c r="F317" s="1">
        <v>237</v>
      </c>
      <c r="G317" s="1">
        <v>4</v>
      </c>
      <c r="H317" s="1"/>
      <c r="I317" s="1">
        <v>225</v>
      </c>
      <c r="J317" s="1">
        <v>3</v>
      </c>
      <c r="K317" s="1"/>
      <c r="L317" s="1">
        <v>212</v>
      </c>
      <c r="M317" s="1">
        <v>2</v>
      </c>
      <c r="N317" s="1"/>
      <c r="O317" s="1">
        <v>246</v>
      </c>
      <c r="P317" s="1">
        <v>1</v>
      </c>
      <c r="Q317" s="1"/>
      <c r="R317" s="1"/>
      <c r="S317" s="1"/>
      <c r="T317" s="1"/>
      <c r="U317" s="1"/>
      <c r="V317" s="1"/>
      <c r="W317" s="1"/>
      <c r="X317" s="1"/>
    </row>
    <row r="319" spans="1:24" ht="13">
      <c r="A319" s="32">
        <v>0.64791086350974936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Info</vt:lpstr>
      <vt:lpstr>Mining</vt:lpstr>
      <vt:lpstr>LDN01-CG</vt:lpstr>
      <vt:lpstr>LDN02-London City</vt:lpstr>
      <vt:lpstr>Sheet12</vt:lpstr>
      <vt:lpstr>LDN03-KCRS</vt:lpstr>
      <vt:lpstr>LDN04-WaterLoo</vt:lpstr>
      <vt:lpstr>SE-GWA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Atav, Banu</cp:lastModifiedBy>
  <dcterms:modified xsi:type="dcterms:W3CDTF">2020-06-08T18:06:02Z</dcterms:modified>
</cp:coreProperties>
</file>