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Lahti - Watkinson Splits" sheetId="2" r:id="rId5"/>
    <sheet state="visible" name="Lahti - Ryf Splits" sheetId="3" r:id="rId6"/>
    <sheet state="visible" name="Lahti - Pierre Splits" sheetId="4" r:id="rId7"/>
    <sheet state="visible" name="Lahti Transitions Splits" sheetId="5" r:id="rId8"/>
    <sheet state="visible" name="Lahti - Splits of 30th first at" sheetId="6" r:id="rId9"/>
    <sheet state="visible" name="Lahti Swim Split" sheetId="7" r:id="rId10"/>
    <sheet state="visible" name="Lahti Bike splits" sheetId="8" r:id="rId11"/>
    <sheet state="visible" name="Lahti Run Splits" sheetId="9" r:id="rId12"/>
    <sheet state="visible" name="Marbella Gear Analysis" sheetId="10" r:id="rId13"/>
    <sheet state="visible" name="Marbella Estimated Swim Splits" sheetId="11" r:id="rId14"/>
    <sheet state="visible" name="Marbella Estimated Bike splits" sheetId="12" r:id="rId15"/>
    <sheet state="visible" name="Marbella Estimated Run splits" sheetId="13" r:id="rId16"/>
    <sheet state="hidden" name="Lahti Run Splits csv" sheetId="14" r:id="rId17"/>
    <sheet state="hidden" name="gpx_gap_splits" sheetId="15" r:id="rId18"/>
  </sheets>
  <definedNames>
    <definedName hidden="1" localSheetId="5" name="_xlnm._FilterDatabase">'Lahti - Splits of 30th first at'!$B$1:$L$51</definedName>
  </definedNames>
  <calcPr/>
</workbook>
</file>

<file path=xl/sharedStrings.xml><?xml version="1.0" encoding="utf-8"?>
<sst xmlns="http://schemas.openxmlformats.org/spreadsheetml/2006/main" count="3473" uniqueCount="1760">
  <si>
    <t>This sheet file contains the data for some of my analysis and presents in a more user friendly manner the split estimation for the race pacing plan</t>
  </si>
  <si>
    <t>Data used to identify Amelia's strength and weaknesses based on her Lahti race</t>
  </si>
  <si>
    <t>Data used to identify Amelia's physiological profile based on her Lahti race</t>
  </si>
  <si>
    <t>Data used for the gear  choice for Marbella IM 70.3 Championships</t>
  </si>
  <si>
    <t>Data used to define the race strategy for Marbella IM 70.3 Championships</t>
  </si>
  <si>
    <t>ipline</t>
  </si>
  <si>
    <t>Segment</t>
  </si>
  <si>
    <t>Total Time</t>
  </si>
  <si>
    <t>Time</t>
  </si>
  <si>
    <t>Speed</t>
  </si>
  <si>
    <t>Unit</t>
  </si>
  <si>
    <t>Swim</t>
  </si>
  <si>
    <t>1.9 km</t>
  </si>
  <si>
    <t>01:27 min/100m</t>
  </si>
  <si>
    <t>Transition</t>
  </si>
  <si>
    <t>-</t>
  </si>
  <si>
    <t>Bike</t>
  </si>
  <si>
    <t>14.3 km</t>
  </si>
  <si>
    <t>42.09 km/h</t>
  </si>
  <si>
    <t>28.2 km</t>
  </si>
  <si>
    <t>44.96 km/h</t>
  </si>
  <si>
    <t>39.8 km</t>
  </si>
  <si>
    <t>39.85 km/h</t>
  </si>
  <si>
    <t>49.8 km</t>
  </si>
  <si>
    <t>41.19 km/h</t>
  </si>
  <si>
    <t>60.7 km</t>
  </si>
  <si>
    <t>39.04 km/h</t>
  </si>
  <si>
    <t>71 km</t>
  </si>
  <si>
    <t>39.2 km/h</t>
  </si>
  <si>
    <t>82.5 km</t>
  </si>
  <si>
    <t>42.16 km/h</t>
  </si>
  <si>
    <t>89.5 km</t>
  </si>
  <si>
    <t>34.9 km/h</t>
  </si>
  <si>
    <t>40.72 km/h</t>
  </si>
  <si>
    <t>Run</t>
  </si>
  <si>
    <t>0.4 km</t>
  </si>
  <si>
    <t>04:27 min/km</t>
  </si>
  <si>
    <t>1.4 km</t>
  </si>
  <si>
    <t>03:43 min/km</t>
  </si>
  <si>
    <t>2.6 km</t>
  </si>
  <si>
    <t>04:15 min/km</t>
  </si>
  <si>
    <t>4 km</t>
  </si>
  <si>
    <t>03:49 min/km</t>
  </si>
  <si>
    <t>5.3 km</t>
  </si>
  <si>
    <t>03:30 min/km</t>
  </si>
  <si>
    <t>6.7 km</t>
  </si>
  <si>
    <t>03:36 min/km</t>
  </si>
  <si>
    <t>7.8 km</t>
  </si>
  <si>
    <t>03:55 min/km</t>
  </si>
  <si>
    <t>9.2 km</t>
  </si>
  <si>
    <t>03:53 min/km</t>
  </si>
  <si>
    <t>10.4 km</t>
  </si>
  <si>
    <t>03:31 min/km</t>
  </si>
  <si>
    <t>10.8 km</t>
  </si>
  <si>
    <t>04:32 min/km</t>
  </si>
  <si>
    <t>11.8 km</t>
  </si>
  <si>
    <t>03:52 min/km</t>
  </si>
  <si>
    <t>13 km</t>
  </si>
  <si>
    <t>04:23 min/km</t>
  </si>
  <si>
    <t>14.4 km</t>
  </si>
  <si>
    <t>03:54 min/km</t>
  </si>
  <si>
    <t>15.7 km</t>
  </si>
  <si>
    <t>03:35 min/km</t>
  </si>
  <si>
    <t>17.1 km</t>
  </si>
  <si>
    <t>03:34 min/km</t>
  </si>
  <si>
    <t>18.2 km</t>
  </si>
  <si>
    <t>04:00 min/km</t>
  </si>
  <si>
    <t>19.6 km</t>
  </si>
  <si>
    <t>03:59 min/km</t>
  </si>
  <si>
    <t>20.8 km</t>
  </si>
  <si>
    <t>21.1 km</t>
  </si>
  <si>
    <t>04:39 min/km</t>
  </si>
  <si>
    <t>03:51 min/km</t>
  </si>
  <si>
    <t>Total</t>
  </si>
  <si>
    <t>112.5 km</t>
  </si>
  <si>
    <t>27.72 km/h</t>
  </si>
  <si>
    <t>Discipline</t>
  </si>
  <si>
    <t>01:22 min/100m</t>
  </si>
  <si>
    <t>41.92 km/h</t>
  </si>
  <si>
    <t>45.33 km/h</t>
  </si>
  <si>
    <t>39.58 km/h</t>
  </si>
  <si>
    <t>41.14 km/h</t>
  </si>
  <si>
    <t>38.51 km/h</t>
  </si>
  <si>
    <t>39.32 km/h</t>
  </si>
  <si>
    <t>42.12 km/h</t>
  </si>
  <si>
    <t>36.05 km/h</t>
  </si>
  <si>
    <t>40.75 km/h</t>
  </si>
  <si>
    <t>04:40 min/km</t>
  </si>
  <si>
    <t>03:56 min/km</t>
  </si>
  <si>
    <t>04:28 min/km</t>
  </si>
  <si>
    <t>04:07 min/km</t>
  </si>
  <si>
    <t>03:41 min/km</t>
  </si>
  <si>
    <t>03:42 min/km</t>
  </si>
  <si>
    <t>04:03 min/km</t>
  </si>
  <si>
    <t>03:57 min/km</t>
  </si>
  <si>
    <t>03:29 min/km</t>
  </si>
  <si>
    <t>04:24 min/km</t>
  </si>
  <si>
    <t>04:26 min/km</t>
  </si>
  <si>
    <t>04:01 min/km</t>
  </si>
  <si>
    <t>03:37 min/km</t>
  </si>
  <si>
    <t>04:04 min/km</t>
  </si>
  <si>
    <t>04:36 min/km</t>
  </si>
  <si>
    <t>27.67 km/h</t>
  </si>
  <si>
    <t>01:24 min/100m</t>
  </si>
  <si>
    <t>40.47 km/h</t>
  </si>
  <si>
    <t>44.24 km/h</t>
  </si>
  <si>
    <t>38.24 km/h</t>
  </si>
  <si>
    <t>41.05 km/h</t>
  </si>
  <si>
    <t>38.4 km/h</t>
  </si>
  <si>
    <t>38.91 km/h</t>
  </si>
  <si>
    <t>41.32 km/h</t>
  </si>
  <si>
    <t>35.54 km/h</t>
  </si>
  <si>
    <t>39.99 km/h</t>
  </si>
  <si>
    <t>04:17 min/km</t>
  </si>
  <si>
    <t>04:08 min/km</t>
  </si>
  <si>
    <t>03:26 min/km</t>
  </si>
  <si>
    <t>03:25 min/km</t>
  </si>
  <si>
    <t>03:48 min/km</t>
  </si>
  <si>
    <t>03:22 min/km</t>
  </si>
  <si>
    <t>03:45 min/km</t>
  </si>
  <si>
    <t>04:13 min/km</t>
  </si>
  <si>
    <t>03:47 min/km</t>
  </si>
  <si>
    <t>03:32 min/km</t>
  </si>
  <si>
    <t>03:58 min/km</t>
  </si>
  <si>
    <t>03:27 min/km</t>
  </si>
  <si>
    <t>27.75 km/h</t>
  </si>
  <si>
    <t>T1</t>
  </si>
  <si>
    <t>Comparaison T1</t>
  </si>
  <si>
    <t>T2</t>
  </si>
  <si>
    <t>Comparaison T2</t>
  </si>
  <si>
    <t>8th</t>
  </si>
  <si>
    <t>Watkinson</t>
  </si>
  <si>
    <t>1st</t>
  </si>
  <si>
    <t>Knibb</t>
  </si>
  <si>
    <t>7th</t>
  </si>
  <si>
    <t>Pierre</t>
  </si>
  <si>
    <t>9th</t>
  </si>
  <si>
    <t>Ryf</t>
  </si>
  <si>
    <r>
      <rPr>
        <sz val="12.0"/>
        <u/>
      </rPr>
      <t>Taylor Knibb</t>
    </r>
  </si>
  <si>
    <t>FPRO</t>
  </si>
  <si>
    <t>USA</t>
  </si>
  <si>
    <r>
      <rPr>
        <sz val="12.0"/>
        <u/>
      </rPr>
      <t>Kat Matthews</t>
    </r>
  </si>
  <si>
    <t>GBR</t>
  </si>
  <si>
    <r>
      <rPr>
        <sz val="12.0"/>
        <u/>
      </rPr>
      <t>Imogen Simmonds</t>
    </r>
  </si>
  <si>
    <t>CHE</t>
  </si>
  <si>
    <r>
      <rPr>
        <sz val="12.0"/>
        <u/>
      </rPr>
      <t>Emma Pallant-Browne</t>
    </r>
  </si>
  <si>
    <r>
      <rPr>
        <sz val="12.0"/>
        <u/>
      </rPr>
      <t>Paula Findlay</t>
    </r>
  </si>
  <si>
    <t>CAN</t>
  </si>
  <si>
    <r>
      <rPr>
        <sz val="12.0"/>
        <u/>
      </rPr>
      <t>Laura Philipp</t>
    </r>
  </si>
  <si>
    <t>DEU</t>
  </si>
  <si>
    <r>
      <rPr>
        <sz val="12.0"/>
        <u/>
      </rPr>
      <t>Marjolaine Pierre</t>
    </r>
  </si>
  <si>
    <t>FRA</t>
  </si>
  <si>
    <r>
      <rPr>
        <sz val="12.0"/>
        <u/>
      </rPr>
      <t>Amelia Watkinson</t>
    </r>
  </si>
  <si>
    <t>NZL</t>
  </si>
  <si>
    <r>
      <rPr>
        <sz val="12.0"/>
        <u/>
      </rPr>
      <t>Daniela Ryf</t>
    </r>
  </si>
  <si>
    <r>
      <rPr>
        <sz val="12.0"/>
        <u/>
      </rPr>
      <t>Anne Reischmann</t>
    </r>
  </si>
  <si>
    <r>
      <rPr>
        <sz val="12.0"/>
        <u/>
      </rPr>
      <t>Tamara Jewett</t>
    </r>
  </si>
  <si>
    <r>
      <rPr>
        <sz val="12.0"/>
        <u/>
      </rPr>
      <t>Kaidi Kivioja</t>
    </r>
  </si>
  <si>
    <t>EST</t>
  </si>
  <si>
    <r>
      <rPr>
        <sz val="12.0"/>
        <u/>
      </rPr>
      <t>Ellie Salthouse</t>
    </r>
  </si>
  <si>
    <t>AUS</t>
  </si>
  <si>
    <r>
      <rPr>
        <sz val="12.0"/>
        <u/>
      </rPr>
      <t>Maja Stage Nielsen</t>
    </r>
  </si>
  <si>
    <t>DNK</t>
  </si>
  <si>
    <r>
      <rPr>
        <sz val="12.0"/>
        <u/>
      </rPr>
      <t>Giorgia Priarone</t>
    </r>
  </si>
  <si>
    <t>ITA</t>
  </si>
  <si>
    <r>
      <rPr>
        <sz val="12.0"/>
        <u/>
      </rPr>
      <t>Kate Curran</t>
    </r>
  </si>
  <si>
    <r>
      <rPr>
        <sz val="12.0"/>
        <u/>
      </rPr>
      <t>Tiina Pohjalainen</t>
    </r>
  </si>
  <si>
    <t>FIN</t>
  </si>
  <si>
    <r>
      <rPr>
        <sz val="12.0"/>
        <u/>
      </rPr>
      <t>Olivia Mitchell</t>
    </r>
  </si>
  <si>
    <t>IRL</t>
  </si>
  <si>
    <r>
      <rPr>
        <sz val="12.0"/>
        <u/>
      </rPr>
      <t>Hannah Berry</t>
    </r>
  </si>
  <si>
    <r>
      <rPr>
        <sz val="12.0"/>
        <u/>
      </rPr>
      <t>Jackie Hering</t>
    </r>
  </si>
  <si>
    <r>
      <rPr>
        <sz val="12.0"/>
        <u/>
      </rPr>
      <t>Amy Cymerman</t>
    </r>
  </si>
  <si>
    <r>
      <rPr>
        <sz val="12.0"/>
        <u/>
      </rPr>
      <t>Charlene Clavel</t>
    </r>
  </si>
  <si>
    <r>
      <rPr>
        <sz val="12.0"/>
        <u/>
      </rPr>
      <t>Alexia Bailly</t>
    </r>
  </si>
  <si>
    <r>
      <rPr>
        <sz val="12.0"/>
        <u/>
      </rPr>
      <t>Danielle Lewis</t>
    </r>
  </si>
  <si>
    <r>
      <rPr>
        <sz val="12.0"/>
        <u/>
      </rPr>
      <t>Anna Bergsten</t>
    </r>
  </si>
  <si>
    <t>SWE</t>
  </si>
  <si>
    <r>
      <rPr>
        <sz val="12.0"/>
        <u/>
      </rPr>
      <t>Laura Jansen</t>
    </r>
  </si>
  <si>
    <r>
      <rPr>
        <sz val="12.0"/>
        <u/>
      </rPr>
      <t>Lottie Lucas</t>
    </r>
  </si>
  <si>
    <t>ARE</t>
  </si>
  <si>
    <r>
      <rPr>
        <sz val="12.0"/>
        <u/>
      </rPr>
      <t>Justine Guerard</t>
    </r>
  </si>
  <si>
    <r>
      <rPr>
        <sz val="12.0"/>
        <u/>
      </rPr>
      <t>Lisa Gerss</t>
    </r>
  </si>
  <si>
    <r>
      <rPr>
        <sz val="12.0"/>
        <u/>
      </rPr>
      <t>Anne Sophie Pierre</t>
    </r>
  </si>
  <si>
    <t>F18-24</t>
  </si>
  <si>
    <r>
      <rPr>
        <sz val="12.0"/>
        <u/>
      </rPr>
      <t>Joanna Soltysiak-Vrebac</t>
    </r>
  </si>
  <si>
    <t>F30-34</t>
  </si>
  <si>
    <t>POL</t>
  </si>
  <si>
    <r>
      <rPr>
        <sz val="12.0"/>
        <u/>
      </rPr>
      <t>Emilie Morier</t>
    </r>
  </si>
  <si>
    <r>
      <rPr>
        <sz val="12.0"/>
        <u/>
      </rPr>
      <t>Rach McBride</t>
    </r>
  </si>
  <si>
    <r>
      <rPr>
        <sz val="12.0"/>
        <u/>
      </rPr>
      <t>Nikita Paskiewiez</t>
    </r>
  </si>
  <si>
    <r>
      <rPr>
        <sz val="12.0"/>
        <u/>
      </rPr>
      <t>Ai Ueda</t>
    </r>
  </si>
  <si>
    <t>JPN</t>
  </si>
  <si>
    <r>
      <rPr>
        <sz val="12.0"/>
        <u/>
      </rPr>
      <t>Katie Phipkin</t>
    </r>
  </si>
  <si>
    <r>
      <rPr>
        <sz val="12.0"/>
        <u/>
      </rPr>
      <t>Caroline Pohle</t>
    </r>
  </si>
  <si>
    <r>
      <rPr>
        <sz val="12.0"/>
        <u/>
      </rPr>
      <t>Pamella Oliveira</t>
    </r>
  </si>
  <si>
    <t>BRA</t>
  </si>
  <si>
    <r>
      <rPr>
        <sz val="12.0"/>
        <u/>
      </rPr>
      <t>Stephanie Clutterbuck</t>
    </r>
  </si>
  <si>
    <t>F25-29</t>
  </si>
  <si>
    <r>
      <rPr>
        <sz val="12.0"/>
        <u/>
      </rPr>
      <t>Megan Chapple</t>
    </r>
  </si>
  <si>
    <r>
      <rPr>
        <sz val="12.0"/>
        <u/>
      </rPr>
      <t>Deborah Eckhouse</t>
    </r>
  </si>
  <si>
    <t>F35-39</t>
  </si>
  <si>
    <r>
      <rPr>
        <sz val="12.0"/>
        <u/>
      </rPr>
      <t>Becky Woods</t>
    </r>
  </si>
  <si>
    <r>
      <rPr>
        <sz val="12.0"/>
        <u/>
      </rPr>
      <t>Michelle Krebs</t>
    </r>
  </si>
  <si>
    <r>
      <rPr>
        <sz val="12.0"/>
        <u/>
      </rPr>
      <t>Regan Hollioake</t>
    </r>
  </si>
  <si>
    <r>
      <rPr>
        <sz val="12.0"/>
        <u/>
      </rPr>
      <t>Jordan Matthews</t>
    </r>
  </si>
  <si>
    <r>
      <rPr>
        <sz val="12.0"/>
        <u/>
      </rPr>
      <t>Lena Brunkhorst</t>
    </r>
  </si>
  <si>
    <r>
      <rPr>
        <sz val="12.0"/>
        <u/>
      </rPr>
      <t>Maisa Tuliniemi</t>
    </r>
  </si>
  <si>
    <r>
      <rPr>
        <sz val="12.0"/>
        <u/>
      </rPr>
      <t>Laura Gray</t>
    </r>
  </si>
  <si>
    <r>
      <rPr>
        <sz val="12.0"/>
        <u/>
      </rPr>
      <t>Stephanie Wunderle</t>
    </r>
  </si>
  <si>
    <t>F40-44</t>
  </si>
  <si>
    <r>
      <rPr>
        <sz val="12.0"/>
        <u/>
      </rPr>
      <t>Morgane Bussard</t>
    </r>
  </si>
  <si>
    <t>Splits (km)</t>
  </si>
  <si>
    <t>Pace (min/100m)</t>
  </si>
  <si>
    <t>TP calculation</t>
  </si>
  <si>
    <t>FTP = 325 W</t>
  </si>
  <si>
    <t>Real time 02:11:13</t>
  </si>
  <si>
    <t>Interval</t>
  </si>
  <si>
    <t>Int. Time</t>
  </si>
  <si>
    <t>Int. Dist.</t>
  </si>
  <si>
    <t>Total Dist.</t>
  </si>
  <si>
    <t>Grade</t>
  </si>
  <si>
    <t>Power</t>
  </si>
  <si>
    <t>#1</t>
  </si>
  <si>
    <t>0.54 km</t>
  </si>
  <si>
    <t>34.14 km/h</t>
  </si>
  <si>
    <t>342 w</t>
  </si>
  <si>
    <t>#2</t>
  </si>
  <si>
    <t>0.12 km</t>
  </si>
  <si>
    <t>0.66 km</t>
  </si>
  <si>
    <t>38.64 km/h</t>
  </si>
  <si>
    <t>265 w</t>
  </si>
  <si>
    <t>#3</t>
  </si>
  <si>
    <t>0.89 km</t>
  </si>
  <si>
    <t>1.55 km</t>
  </si>
  <si>
    <t>-1.22 %</t>
  </si>
  <si>
    <t>44.43 km/h</t>
  </si>
  <si>
    <t>173 w</t>
  </si>
  <si>
    <t>#4</t>
  </si>
  <si>
    <t>0.62 km</t>
  </si>
  <si>
    <t>2.17 km</t>
  </si>
  <si>
    <t>-0.05 %</t>
  </si>
  <si>
    <t>44.52 km/h</t>
  </si>
  <si>
    <t>245 w</t>
  </si>
  <si>
    <t>#5</t>
  </si>
  <si>
    <t>0.24 km</t>
  </si>
  <si>
    <t>2.41 km</t>
  </si>
  <si>
    <t>35.61 km/h</t>
  </si>
  <si>
    <t>346 w</t>
  </si>
  <si>
    <t>#6</t>
  </si>
  <si>
    <t>0.30 km</t>
  </si>
  <si>
    <t>2.71 km</t>
  </si>
  <si>
    <t>-0.86 %</t>
  </si>
  <si>
    <t>38.31 km/h</t>
  </si>
  <si>
    <t>196 w</t>
  </si>
  <si>
    <t>#7</t>
  </si>
  <si>
    <t>0.42 km</t>
  </si>
  <si>
    <t>3.13 km</t>
  </si>
  <si>
    <t>42.14 km/h</t>
  </si>
  <si>
    <t>305 w</t>
  </si>
  <si>
    <t>#8</t>
  </si>
  <si>
    <t>0.48 km</t>
  </si>
  <si>
    <t>3.61 km</t>
  </si>
  <si>
    <t>-1.38 %</t>
  </si>
  <si>
    <t>44.49 km/h</t>
  </si>
  <si>
    <t>161 w</t>
  </si>
  <si>
    <t>#9</t>
  </si>
  <si>
    <t>0.27 km</t>
  </si>
  <si>
    <t>3.88 km</t>
  </si>
  <si>
    <t>-0.30 %</t>
  </si>
  <si>
    <t>45.13 km/h</t>
  </si>
  <si>
    <t>231 w</t>
  </si>
  <si>
    <t>#10</t>
  </si>
  <si>
    <t>0.31 km</t>
  </si>
  <si>
    <t>4.19 km</t>
  </si>
  <si>
    <t>43.47 km/h</t>
  </si>
  <si>
    <t>270 w</t>
  </si>
  <si>
    <t>#11</t>
  </si>
  <si>
    <t>4.61 km</t>
  </si>
  <si>
    <t>33.06 km/h</t>
  </si>
  <si>
    <t>#12</t>
  </si>
  <si>
    <t>0.38 km</t>
  </si>
  <si>
    <t>4.99 km</t>
  </si>
  <si>
    <t>37.29 km/h</t>
  </si>
  <si>
    <t>271 w</t>
  </si>
  <si>
    <t>#13</t>
  </si>
  <si>
    <t>0.39 km</t>
  </si>
  <si>
    <t>5.38 km</t>
  </si>
  <si>
    <t>29.61 km/h</t>
  </si>
  <si>
    <t>347 w</t>
  </si>
  <si>
    <t>#14</t>
  </si>
  <si>
    <t>0.29 km</t>
  </si>
  <si>
    <t>5.67 km</t>
  </si>
  <si>
    <t>-0.18 %</t>
  </si>
  <si>
    <t>35.34 km/h</t>
  </si>
  <si>
    <t>243 w</t>
  </si>
  <si>
    <t>#15</t>
  </si>
  <si>
    <t>0.57 km</t>
  </si>
  <si>
    <t>6.24 km</t>
  </si>
  <si>
    <t>39.39 km/h</t>
  </si>
  <si>
    <t>322 w</t>
  </si>
  <si>
    <t>#16</t>
  </si>
  <si>
    <t>6.36 km</t>
  </si>
  <si>
    <t>39.71 km/h</t>
  </si>
  <si>
    <t>280 w</t>
  </si>
  <si>
    <t>#17</t>
  </si>
  <si>
    <t>0.32 km</t>
  </si>
  <si>
    <t>6.68 km</t>
  </si>
  <si>
    <t>-0.26 %</t>
  </si>
  <si>
    <t>41.60 km/h</t>
  </si>
  <si>
    <t>#18</t>
  </si>
  <si>
    <t>0.64 km</t>
  </si>
  <si>
    <t>7.32 km</t>
  </si>
  <si>
    <t>-0.20 %</t>
  </si>
  <si>
    <t>43.00 km/h</t>
  </si>
  <si>
    <t>241 w</t>
  </si>
  <si>
    <t>#19</t>
  </si>
  <si>
    <t>0.97 km</t>
  </si>
  <si>
    <t>8.29 km</t>
  </si>
  <si>
    <t>-4.56 %</t>
  </si>
  <si>
    <t>51.80 km/h</t>
  </si>
  <si>
    <t>0 w</t>
  </si>
  <si>
    <t>#20</t>
  </si>
  <si>
    <t>0.56 km</t>
  </si>
  <si>
    <t>8.85 km</t>
  </si>
  <si>
    <t>-2.47 %</t>
  </si>
  <si>
    <t>49.22 km/h</t>
  </si>
  <si>
    <t>88 w</t>
  </si>
  <si>
    <t>#21</t>
  </si>
  <si>
    <t>1.66 km</t>
  </si>
  <si>
    <t>10.51 km</t>
  </si>
  <si>
    <t>-0.11 %</t>
  </si>
  <si>
    <t>44.47 km/h</t>
  </si>
  <si>
    <t>240 w</t>
  </si>
  <si>
    <t>#22</t>
  </si>
  <si>
    <t>0.67 km</t>
  </si>
  <si>
    <t>11.18 km</t>
  </si>
  <si>
    <t>43.17 km/h</t>
  </si>
  <si>
    <t>260 w</t>
  </si>
  <si>
    <t>#23</t>
  </si>
  <si>
    <t>0.63 km</t>
  </si>
  <si>
    <t>11.81 km</t>
  </si>
  <si>
    <t>43.07 km/h</t>
  </si>
  <si>
    <t>273 w</t>
  </si>
  <si>
    <t>#24</t>
  </si>
  <si>
    <t>1.85 km</t>
  </si>
  <si>
    <t>13.66 km</t>
  </si>
  <si>
    <t>42.69 km/h</t>
  </si>
  <si>
    <t>262 w</t>
  </si>
  <si>
    <t>#25</t>
  </si>
  <si>
    <t>0.28 km</t>
  </si>
  <si>
    <t>13.94 km</t>
  </si>
  <si>
    <t>-1.72 %</t>
  </si>
  <si>
    <t>44.30 km/h</t>
  </si>
  <si>
    <t>137 w</t>
  </si>
  <si>
    <t>#26</t>
  </si>
  <si>
    <t>0.87 km</t>
  </si>
  <si>
    <t>14.81 km</t>
  </si>
  <si>
    <t>42.19 km/h</t>
  </si>
  <si>
    <t>#27</t>
  </si>
  <si>
    <t>0.19 km</t>
  </si>
  <si>
    <t>15.00 km</t>
  </si>
  <si>
    <t>41.65 km/h</t>
  </si>
  <si>
    <t>300 w</t>
  </si>
  <si>
    <t>#28</t>
  </si>
  <si>
    <t>15.89 km</t>
  </si>
  <si>
    <t>-1.55 %</t>
  </si>
  <si>
    <t>45.21 km/h</t>
  </si>
  <si>
    <t>150 w</t>
  </si>
  <si>
    <t>#29</t>
  </si>
  <si>
    <t>0.45 km</t>
  </si>
  <si>
    <t>16.34 km</t>
  </si>
  <si>
    <t>-0.54 %</t>
  </si>
  <si>
    <t>45.47 km/h</t>
  </si>
  <si>
    <t>216 w</t>
  </si>
  <si>
    <t>#30</t>
  </si>
  <si>
    <t>0.68 km</t>
  </si>
  <si>
    <t>17.02 km</t>
  </si>
  <si>
    <t>0.00 %</t>
  </si>
  <si>
    <t>44.35 km/h</t>
  </si>
  <si>
    <t>247 w</t>
  </si>
  <si>
    <t>#31</t>
  </si>
  <si>
    <t>0.36 km</t>
  </si>
  <si>
    <t>17.38 km</t>
  </si>
  <si>
    <t>40.90 km/h</t>
  </si>
  <si>
    <t>#32</t>
  </si>
  <si>
    <t>17.57 km</t>
  </si>
  <si>
    <t>37.82 km/h</t>
  </si>
  <si>
    <t>#33</t>
  </si>
  <si>
    <t>1.06 km</t>
  </si>
  <si>
    <t>18.63 km</t>
  </si>
  <si>
    <t>42.37 km/h</t>
  </si>
  <si>
    <t>259 w</t>
  </si>
  <si>
    <t>#34</t>
  </si>
  <si>
    <t>0.82 km</t>
  </si>
  <si>
    <t>19.45 km</t>
  </si>
  <si>
    <t>-0.08 %</t>
  </si>
  <si>
    <t>43.18 km/h</t>
  </si>
  <si>
    <t>#35</t>
  </si>
  <si>
    <t>0.18 km</t>
  </si>
  <si>
    <t>19.63 km</t>
  </si>
  <si>
    <t>30.06 km/h</t>
  </si>
  <si>
    <t>345 w</t>
  </si>
  <si>
    <t>#36</t>
  </si>
  <si>
    <t>0.85 km</t>
  </si>
  <si>
    <t>20.48 km</t>
  </si>
  <si>
    <t>35.11 km/h</t>
  </si>
  <si>
    <t>#37</t>
  </si>
  <si>
    <t>1.08 km</t>
  </si>
  <si>
    <t>21.56 km</t>
  </si>
  <si>
    <t>44.59 km/h</t>
  </si>
  <si>
    <t>169 w</t>
  </si>
  <si>
    <t>#38</t>
  </si>
  <si>
    <t>0.77 km</t>
  </si>
  <si>
    <t>22.33 km</t>
  </si>
  <si>
    <t>-2.71 %</t>
  </si>
  <si>
    <t>46.53 km/h</t>
  </si>
  <si>
    <t>58 w</t>
  </si>
  <si>
    <t>#39</t>
  </si>
  <si>
    <t>0.11 km</t>
  </si>
  <si>
    <t>22.44 km</t>
  </si>
  <si>
    <t>-0.80 %</t>
  </si>
  <si>
    <t>46.38 km/h</t>
  </si>
  <si>
    <t>204 w</t>
  </si>
  <si>
    <t>#40</t>
  </si>
  <si>
    <t>1.07 km</t>
  </si>
  <si>
    <t>23.51 km</t>
  </si>
  <si>
    <t>#41</t>
  </si>
  <si>
    <t>1.00 km</t>
  </si>
  <si>
    <t>24.51 km</t>
  </si>
  <si>
    <t>-2.35 %</t>
  </si>
  <si>
    <t>43.69 km/h</t>
  </si>
  <si>
    <t>113 w</t>
  </si>
  <si>
    <t>#42</t>
  </si>
  <si>
    <t>0.80 km</t>
  </si>
  <si>
    <t>25.31 km</t>
  </si>
  <si>
    <t>38.49 km/h</t>
  </si>
  <si>
    <t>#43</t>
  </si>
  <si>
    <t>25.97 km</t>
  </si>
  <si>
    <t>41.25 km/h</t>
  </si>
  <si>
    <t>#44</t>
  </si>
  <si>
    <t>0.37 km</t>
  </si>
  <si>
    <t>26.34 km</t>
  </si>
  <si>
    <t>38.79 km/h</t>
  </si>
  <si>
    <t>#45</t>
  </si>
  <si>
    <t>0.47 km</t>
  </si>
  <si>
    <t>26.81 km</t>
  </si>
  <si>
    <t>-1.91 %</t>
  </si>
  <si>
    <t>42.25 km/h</t>
  </si>
  <si>
    <t>#46</t>
  </si>
  <si>
    <t>27.17 km</t>
  </si>
  <si>
    <t>43.29 km/h</t>
  </si>
  <si>
    <t>257 w</t>
  </si>
  <si>
    <t>#47</t>
  </si>
  <si>
    <t>0.51 km</t>
  </si>
  <si>
    <t>27.68 km</t>
  </si>
  <si>
    <t>43.33 km/h</t>
  </si>
  <si>
    <t>248 w</t>
  </si>
  <si>
    <t>#48</t>
  </si>
  <si>
    <t>29.34 km</t>
  </si>
  <si>
    <t>42.29 km/h</t>
  </si>
  <si>
    <t>278 w</t>
  </si>
  <si>
    <t>#49</t>
  </si>
  <si>
    <t>29.62 km</t>
  </si>
  <si>
    <t>-1.78 %</t>
  </si>
  <si>
    <t>44.06 km/h</t>
  </si>
  <si>
    <t>136 w</t>
  </si>
  <si>
    <t>#50</t>
  </si>
  <si>
    <t>0.17 km</t>
  </si>
  <si>
    <t>29.79 km</t>
  </si>
  <si>
    <t>-1.04 %</t>
  </si>
  <si>
    <t>45.23 km/h</t>
  </si>
  <si>
    <t>187 w</t>
  </si>
  <si>
    <t>#51</t>
  </si>
  <si>
    <t>0.79 km</t>
  </si>
  <si>
    <t>30.58 km</t>
  </si>
  <si>
    <t>36.87 km/h</t>
  </si>
  <si>
    <t>#52</t>
  </si>
  <si>
    <t>31.05 km</t>
  </si>
  <si>
    <t>-0.59 %</t>
  </si>
  <si>
    <t>40.61 km/h</t>
  </si>
  <si>
    <t>221 w</t>
  </si>
  <si>
    <t>#53</t>
  </si>
  <si>
    <t>31.69 km</t>
  </si>
  <si>
    <t>309 w</t>
  </si>
  <si>
    <t>#54</t>
  </si>
  <si>
    <t>0.81 km</t>
  </si>
  <si>
    <t>32.50 km</t>
  </si>
  <si>
    <t>-0.33 %</t>
  </si>
  <si>
    <t>43.77 km/h</t>
  </si>
  <si>
    <t>232 w</t>
  </si>
  <si>
    <t>#55</t>
  </si>
  <si>
    <t>1.11 km</t>
  </si>
  <si>
    <t>33.61 km</t>
  </si>
  <si>
    <t>42.91 km/h</t>
  </si>
  <si>
    <t>261 w</t>
  </si>
  <si>
    <t>#56</t>
  </si>
  <si>
    <t>0.16 km</t>
  </si>
  <si>
    <t>33.77 km</t>
  </si>
  <si>
    <t>-0.15 %</t>
  </si>
  <si>
    <t>254 w</t>
  </si>
  <si>
    <t>#57</t>
  </si>
  <si>
    <t>1.52 km</t>
  </si>
  <si>
    <t>35.29 km</t>
  </si>
  <si>
    <t>-0.95 %</t>
  </si>
  <si>
    <t>43.15 km/h</t>
  </si>
  <si>
    <t>210 w</t>
  </si>
  <si>
    <t>#58</t>
  </si>
  <si>
    <t>35.96 km</t>
  </si>
  <si>
    <t>36.00 km/h</t>
  </si>
  <si>
    <t>#59</t>
  </si>
  <si>
    <t>36.28 km</t>
  </si>
  <si>
    <t>37.46 km/h</t>
  </si>
  <si>
    <t>#60</t>
  </si>
  <si>
    <t>0.40 km</t>
  </si>
  <si>
    <t>36.68 km</t>
  </si>
  <si>
    <t>-4.05 %</t>
  </si>
  <si>
    <t>43.13 km/h</t>
  </si>
  <si>
    <t>1 w</t>
  </si>
  <si>
    <t>#61</t>
  </si>
  <si>
    <t>0.44 km</t>
  </si>
  <si>
    <t>37.12 km</t>
  </si>
  <si>
    <t>-2.37 %</t>
  </si>
  <si>
    <t>45.09 km/h</t>
  </si>
  <si>
    <t>116 w</t>
  </si>
  <si>
    <t>#62</t>
  </si>
  <si>
    <t>37.80 km</t>
  </si>
  <si>
    <t>-1.52 %</t>
  </si>
  <si>
    <t>44.90 km/h</t>
  </si>
  <si>
    <t>164 w</t>
  </si>
  <si>
    <t>#63</t>
  </si>
  <si>
    <t>38.44 km</t>
  </si>
  <si>
    <t>-0.42 %</t>
  </si>
  <si>
    <t>44.08 km/h</t>
  </si>
  <si>
    <t>227 w</t>
  </si>
  <si>
    <t>#64</t>
  </si>
  <si>
    <t>39.23 km</t>
  </si>
  <si>
    <t>43.14 km/h</t>
  </si>
  <si>
    <t>#65</t>
  </si>
  <si>
    <t>0.55 km</t>
  </si>
  <si>
    <t>39.78 km</t>
  </si>
  <si>
    <t>-0.73 %</t>
  </si>
  <si>
    <t>43.66 km/h</t>
  </si>
  <si>
    <t>213 w</t>
  </si>
  <si>
    <t>#66</t>
  </si>
  <si>
    <t>0.50 km</t>
  </si>
  <si>
    <t>40.28 km</t>
  </si>
  <si>
    <t>44.01 km/h</t>
  </si>
  <si>
    <t>#67</t>
  </si>
  <si>
    <t>0.95 km</t>
  </si>
  <si>
    <t>41.23 km</t>
  </si>
  <si>
    <t>41.94 km/h</t>
  </si>
  <si>
    <t>295 w</t>
  </si>
  <si>
    <t>#68</t>
  </si>
  <si>
    <t>1.63 km</t>
  </si>
  <si>
    <t>42.86 km</t>
  </si>
  <si>
    <t>-1.11 %</t>
  </si>
  <si>
    <t>43.25 km/h</t>
  </si>
  <si>
    <t>202 w</t>
  </si>
  <si>
    <t>#69</t>
  </si>
  <si>
    <t>0.90 km</t>
  </si>
  <si>
    <t>43.76 km</t>
  </si>
  <si>
    <t>40.32 km/h</t>
  </si>
  <si>
    <t>308 w</t>
  </si>
  <si>
    <t>#70</t>
  </si>
  <si>
    <t>43.93 km</t>
  </si>
  <si>
    <t>-2.45 %</t>
  </si>
  <si>
    <t>41.42 km/h</t>
  </si>
  <si>
    <t>114 w</t>
  </si>
  <si>
    <t>#71</t>
  </si>
  <si>
    <t>1.68 km</t>
  </si>
  <si>
    <t>45.61 km</t>
  </si>
  <si>
    <t>-0.77 %</t>
  </si>
  <si>
    <t>43.21 km/h</t>
  </si>
  <si>
    <t>220 w</t>
  </si>
  <si>
    <t>#72</t>
  </si>
  <si>
    <t>0.43 km</t>
  </si>
  <si>
    <t>46.04 km</t>
  </si>
  <si>
    <t>39.93 km/h</t>
  </si>
  <si>
    <t>292 w</t>
  </si>
  <si>
    <t>#73</t>
  </si>
  <si>
    <t>1.44 km</t>
  </si>
  <si>
    <t>47.48 km</t>
  </si>
  <si>
    <t>40.62 km/h</t>
  </si>
  <si>
    <t>#74</t>
  </si>
  <si>
    <t>0.78 km</t>
  </si>
  <si>
    <t>48.26 km</t>
  </si>
  <si>
    <t>-0.13 %</t>
  </si>
  <si>
    <t>41.36 km/h</t>
  </si>
  <si>
    <t>263 w</t>
  </si>
  <si>
    <t>#75</t>
  </si>
  <si>
    <t>48.53 km</t>
  </si>
  <si>
    <t>-0.91 %</t>
  </si>
  <si>
    <t>41.98 km/h</t>
  </si>
  <si>
    <t>#76</t>
  </si>
  <si>
    <t>48.83 km</t>
  </si>
  <si>
    <t>37.21 km/h</t>
  </si>
  <si>
    <t>#77</t>
  </si>
  <si>
    <t>48.99 km</t>
  </si>
  <si>
    <t>-0.61 %</t>
  </si>
  <si>
    <t>37.64 km/h</t>
  </si>
  <si>
    <t>#78</t>
  </si>
  <si>
    <t>0.99 km</t>
  </si>
  <si>
    <t>49.98 km</t>
  </si>
  <si>
    <t>-0.87 %</t>
  </si>
  <si>
    <t>41.47 km/h</t>
  </si>
  <si>
    <t>#79</t>
  </si>
  <si>
    <t>0.86 km</t>
  </si>
  <si>
    <t>50.84 km</t>
  </si>
  <si>
    <t>39.10 km/h</t>
  </si>
  <si>
    <t>315 w</t>
  </si>
  <si>
    <t>#80</t>
  </si>
  <si>
    <t>0.84 km</t>
  </si>
  <si>
    <t>51.68 km</t>
  </si>
  <si>
    <t>-0.88 %</t>
  </si>
  <si>
    <t>41.27 km/h</t>
  </si>
  <si>
    <t>#81</t>
  </si>
  <si>
    <t>52.05 km</t>
  </si>
  <si>
    <t>37.17 km/h</t>
  </si>
  <si>
    <t>#82</t>
  </si>
  <si>
    <t>0.26 km</t>
  </si>
  <si>
    <t>52.31 km</t>
  </si>
  <si>
    <t>37.97 km/h</t>
  </si>
  <si>
    <t>287 w</t>
  </si>
  <si>
    <t>#83</t>
  </si>
  <si>
    <t>1.38 km</t>
  </si>
  <si>
    <t>53.69 km</t>
  </si>
  <si>
    <t>40.55 km/h</t>
  </si>
  <si>
    <t>269 w</t>
  </si>
  <si>
    <t>#84</t>
  </si>
  <si>
    <t>54.37 km</t>
  </si>
  <si>
    <t>266 w</t>
  </si>
  <si>
    <t>#85</t>
  </si>
  <si>
    <t>54.87 km</t>
  </si>
  <si>
    <t>32.24 km/h</t>
  </si>
  <si>
    <t>#86</t>
  </si>
  <si>
    <t>1.81 km</t>
  </si>
  <si>
    <t>56.68 km</t>
  </si>
  <si>
    <t>39.81 km/h</t>
  </si>
  <si>
    <t>276 w</t>
  </si>
  <si>
    <t>#87</t>
  </si>
  <si>
    <t>1.15 km</t>
  </si>
  <si>
    <t>57.83 km</t>
  </si>
  <si>
    <t>-1.73 %</t>
  </si>
  <si>
    <t>42.90 km/h</t>
  </si>
  <si>
    <t>181 w</t>
  </si>
  <si>
    <t>#88</t>
  </si>
  <si>
    <t>0.35 km</t>
  </si>
  <si>
    <t>58.18 km</t>
  </si>
  <si>
    <t>-0.32 %</t>
  </si>
  <si>
    <t>43.44 km/h</t>
  </si>
  <si>
    <t>234 w</t>
  </si>
  <si>
    <t>#89</t>
  </si>
  <si>
    <t>0.49 km</t>
  </si>
  <si>
    <t>58.67 km</t>
  </si>
  <si>
    <t>42.97 km/h</t>
  </si>
  <si>
    <t>267 w</t>
  </si>
  <si>
    <t>#90</t>
  </si>
  <si>
    <t>59.24 km</t>
  </si>
  <si>
    <t>36.33 km/h</t>
  </si>
  <si>
    <t>#91</t>
  </si>
  <si>
    <t>59.41 km</t>
  </si>
  <si>
    <t>37.84 km/h</t>
  </si>
  <si>
    <t>#92</t>
  </si>
  <si>
    <t>59.73 km</t>
  </si>
  <si>
    <t>-2.97 %</t>
  </si>
  <si>
    <t>42.26 km/h</t>
  </si>
  <si>
    <t>69 w</t>
  </si>
  <si>
    <t>#93</t>
  </si>
  <si>
    <t>60.18 km</t>
  </si>
  <si>
    <t>40.15 km/h</t>
  </si>
  <si>
    <t>335 w</t>
  </si>
  <si>
    <t>#94</t>
  </si>
  <si>
    <t>0.93 km</t>
  </si>
  <si>
    <t>61.11 km</t>
  </si>
  <si>
    <t>39.75 km/h</t>
  </si>
  <si>
    <t>297 w</t>
  </si>
  <si>
    <t>#95</t>
  </si>
  <si>
    <t>0.98 km</t>
  </si>
  <si>
    <t>62.09 km</t>
  </si>
  <si>
    <t>40.20 km/h</t>
  </si>
  <si>
    <t>#96</t>
  </si>
  <si>
    <t>62.94 km</t>
  </si>
  <si>
    <t>-2.23 %</t>
  </si>
  <si>
    <t>42.66 km/h</t>
  </si>
  <si>
    <t>154 w</t>
  </si>
  <si>
    <t>#97</t>
  </si>
  <si>
    <t>63.12 km</t>
  </si>
  <si>
    <t>-3.29 %</t>
  </si>
  <si>
    <t>79 w</t>
  </si>
  <si>
    <t>#98</t>
  </si>
  <si>
    <t>0.69 km</t>
  </si>
  <si>
    <t>63.81 km</t>
  </si>
  <si>
    <t>38.68 km/h</t>
  </si>
  <si>
    <t>324 w</t>
  </si>
  <si>
    <t>#99</t>
  </si>
  <si>
    <t>64.65 km</t>
  </si>
  <si>
    <t>36.61 km/h</t>
  </si>
  <si>
    <t>#100</t>
  </si>
  <si>
    <t>65.47 km</t>
  </si>
  <si>
    <t>41.38 km/h</t>
  </si>
  <si>
    <t>252 w</t>
  </si>
  <si>
    <t>#101</t>
  </si>
  <si>
    <t>1.64 km</t>
  </si>
  <si>
    <t>67.11 km</t>
  </si>
  <si>
    <t>41.51 km/h</t>
  </si>
  <si>
    <t>272 w</t>
  </si>
  <si>
    <t>#102</t>
  </si>
  <si>
    <t>0.22 km</t>
  </si>
  <si>
    <t>67.33 km</t>
  </si>
  <si>
    <t>40.97 km/h</t>
  </si>
  <si>
    <t>303 w</t>
  </si>
  <si>
    <t>#103</t>
  </si>
  <si>
    <t>1.26 km</t>
  </si>
  <si>
    <t>68.59 km</t>
  </si>
  <si>
    <t>-1.98 %</t>
  </si>
  <si>
    <t>44.89 km/h</t>
  </si>
  <si>
    <t>127 w</t>
  </si>
  <si>
    <t>#104</t>
  </si>
  <si>
    <t>1.34 km</t>
  </si>
  <si>
    <t>69.93 km</t>
  </si>
  <si>
    <t>-2.03 %</t>
  </si>
  <si>
    <t>44.74 km/h</t>
  </si>
  <si>
    <t>141 w</t>
  </si>
  <si>
    <t>#105</t>
  </si>
  <si>
    <t>0.92 km</t>
  </si>
  <si>
    <t>70.85 km</t>
  </si>
  <si>
    <t>-0.71 %</t>
  </si>
  <si>
    <t>44.18 km/h</t>
  </si>
  <si>
    <t>212 w</t>
  </si>
  <si>
    <t>#106</t>
  </si>
  <si>
    <t>0.96 km</t>
  </si>
  <si>
    <t>71.81 km</t>
  </si>
  <si>
    <t>43.19 km/h</t>
  </si>
  <si>
    <t>#107</t>
  </si>
  <si>
    <t>72.03 km</t>
  </si>
  <si>
    <t>-0.39 %</t>
  </si>
  <si>
    <t>40.16 km/h</t>
  </si>
  <si>
    <t>246 w</t>
  </si>
  <si>
    <t>#108</t>
  </si>
  <si>
    <t>72.22 km</t>
  </si>
  <si>
    <t>-2.72 %</t>
  </si>
  <si>
    <t>#109</t>
  </si>
  <si>
    <t>72.53 km</t>
  </si>
  <si>
    <t>-3.15 %</t>
  </si>
  <si>
    <t>43.93 km/h</t>
  </si>
  <si>
    <t>85 w</t>
  </si>
  <si>
    <t>#110</t>
  </si>
  <si>
    <t>0.76 km</t>
  </si>
  <si>
    <t>73.29 km</t>
  </si>
  <si>
    <t>40.95 km/h</t>
  </si>
  <si>
    <t>277 w</t>
  </si>
  <si>
    <t>#111</t>
  </si>
  <si>
    <t>0.34 km</t>
  </si>
  <si>
    <t>73.63 km</t>
  </si>
  <si>
    <t>39.73 km/h</t>
  </si>
  <si>
    <t>291 w</t>
  </si>
  <si>
    <t>#112</t>
  </si>
  <si>
    <t>74.50 km</t>
  </si>
  <si>
    <t>37.61 km/h</t>
  </si>
  <si>
    <t>#113</t>
  </si>
  <si>
    <t>74.86 km</t>
  </si>
  <si>
    <t>-0.55 %</t>
  </si>
  <si>
    <t>39.78 km/h</t>
  </si>
  <si>
    <t>#114</t>
  </si>
  <si>
    <t>0.74 km</t>
  </si>
  <si>
    <t>75.60 km</t>
  </si>
  <si>
    <t>42.35 km/h</t>
  </si>
  <si>
    <t>#115</t>
  </si>
  <si>
    <t>75.98 km</t>
  </si>
  <si>
    <t>39.36 km/h</t>
  </si>
  <si>
    <t>327 w</t>
  </si>
  <si>
    <t>#116</t>
  </si>
  <si>
    <t>77.83 km</t>
  </si>
  <si>
    <t>-0.27 %</t>
  </si>
  <si>
    <t>41.23 km/h</t>
  </si>
  <si>
    <t>253 w</t>
  </si>
  <si>
    <t>#117</t>
  </si>
  <si>
    <t>78.46 km</t>
  </si>
  <si>
    <t>-0.56 %</t>
  </si>
  <si>
    <t>250 w</t>
  </si>
  <si>
    <t>#118</t>
  </si>
  <si>
    <t>79.12 km</t>
  </si>
  <si>
    <t>-0.19 %</t>
  </si>
  <si>
    <t>#119</t>
  </si>
  <si>
    <t>1.61 km</t>
  </si>
  <si>
    <t>80.73 km</t>
  </si>
  <si>
    <t>40.18 km/h</t>
  </si>
  <si>
    <t>279 w</t>
  </si>
  <si>
    <t>#120</t>
  </si>
  <si>
    <t>81.18 km</t>
  </si>
  <si>
    <t>38.44 km/h</t>
  </si>
  <si>
    <t>328 w</t>
  </si>
  <si>
    <t>#121</t>
  </si>
  <si>
    <t>0.15 km</t>
  </si>
  <si>
    <t>81.33 km</t>
  </si>
  <si>
    <t>33.24 km/h</t>
  </si>
  <si>
    <t>344 w</t>
  </si>
  <si>
    <t>#122</t>
  </si>
  <si>
    <t>0.88 km</t>
  </si>
  <si>
    <t>82.21 km</t>
  </si>
  <si>
    <t>27.64 km/h</t>
  </si>
  <si>
    <t>#123</t>
  </si>
  <si>
    <t>82.87 km</t>
  </si>
  <si>
    <t>37.51 km/h</t>
  </si>
  <si>
    <t>302 w</t>
  </si>
  <si>
    <t>#124</t>
  </si>
  <si>
    <t>83.18 km</t>
  </si>
  <si>
    <t>41.22 km/h</t>
  </si>
  <si>
    <t>#125</t>
  </si>
  <si>
    <t>83.35 km</t>
  </si>
  <si>
    <t>301 w</t>
  </si>
  <si>
    <t>#126</t>
  </si>
  <si>
    <t>0.61 km</t>
  </si>
  <si>
    <t>83.96 km</t>
  </si>
  <si>
    <t>-1.60 %</t>
  </si>
  <si>
    <t>163 w</t>
  </si>
  <si>
    <t>#127</t>
  </si>
  <si>
    <t>0.20 km</t>
  </si>
  <si>
    <t>84.16 km</t>
  </si>
  <si>
    <t>42.44 km/h</t>
  </si>
  <si>
    <t>296 w</t>
  </si>
  <si>
    <t>#128</t>
  </si>
  <si>
    <t>84.47 km</t>
  </si>
  <si>
    <t>-5.27 %</t>
  </si>
  <si>
    <t>46.06 km/h</t>
  </si>
  <si>
    <t>#129</t>
  </si>
  <si>
    <t>84.59 km</t>
  </si>
  <si>
    <t>-3.70 %</t>
  </si>
  <si>
    <t>48.31 km/h</t>
  </si>
  <si>
    <t>27 w</t>
  </si>
  <si>
    <t>#130</t>
  </si>
  <si>
    <t>84.78 km</t>
  </si>
  <si>
    <t>-0.70 %</t>
  </si>
  <si>
    <t>43.51 km/h</t>
  </si>
  <si>
    <t>#131</t>
  </si>
  <si>
    <t>84.89 km</t>
  </si>
  <si>
    <t>40.83 km/h</t>
  </si>
  <si>
    <t>306 w</t>
  </si>
  <si>
    <t>#132</t>
  </si>
  <si>
    <t>85.37 km</t>
  </si>
  <si>
    <t>-4.66 %</t>
  </si>
  <si>
    <t>43.84 km/h</t>
  </si>
  <si>
    <t>#133</t>
  </si>
  <si>
    <t>85.77 km</t>
  </si>
  <si>
    <t>-0.81 %</t>
  </si>
  <si>
    <t>43.78 km/h</t>
  </si>
  <si>
    <t>230 w</t>
  </si>
  <si>
    <t>#134</t>
  </si>
  <si>
    <t>1.30 km</t>
  </si>
  <si>
    <t>87.07 km</t>
  </si>
  <si>
    <t>39.30 km/h</t>
  </si>
  <si>
    <t>299 w</t>
  </si>
  <si>
    <t>#135</t>
  </si>
  <si>
    <t>0.14 km</t>
  </si>
  <si>
    <t>87.21 km</t>
  </si>
  <si>
    <t>-2.38 %</t>
  </si>
  <si>
    <t>40.37 km/h</t>
  </si>
  <si>
    <t>145 w</t>
  </si>
  <si>
    <t>#136</t>
  </si>
  <si>
    <t>87.48 km</t>
  </si>
  <si>
    <t>-3.52 %</t>
  </si>
  <si>
    <t>42.49 km/h</t>
  </si>
  <si>
    <t>55 w</t>
  </si>
  <si>
    <t>#137</t>
  </si>
  <si>
    <t>87.65 km</t>
  </si>
  <si>
    <t>-0.46 %</t>
  </si>
  <si>
    <t>42.22 km/h</t>
  </si>
  <si>
    <t>#138</t>
  </si>
  <si>
    <t>88.09 km</t>
  </si>
  <si>
    <t>40.09 km/h</t>
  </si>
  <si>
    <t>#139</t>
  </si>
  <si>
    <t>88.96 km</t>
  </si>
  <si>
    <t>38.34 km/h</t>
  </si>
  <si>
    <t>318 w</t>
  </si>
  <si>
    <t>#140</t>
  </si>
  <si>
    <t>89.13 km</t>
  </si>
  <si>
    <t>-0.49 %</t>
  </si>
  <si>
    <t>40.23 km/h</t>
  </si>
  <si>
    <t>#141</t>
  </si>
  <si>
    <t>89.60 km</t>
  </si>
  <si>
    <t>-1.81 %</t>
  </si>
  <si>
    <t>134 w</t>
  </si>
  <si>
    <t>Totals / Avg</t>
  </si>
  <si>
    <t>41.17 km/h</t>
  </si>
  <si>
    <t>250 watts</t>
  </si>
  <si>
    <t>Splits from Endurance Data</t>
  </si>
  <si>
    <t>GAP from my GAP model</t>
  </si>
  <si>
    <t>work columns</t>
  </si>
  <si>
    <t>Distance</t>
  </si>
  <si>
    <t>Distance splits (km)</t>
  </si>
  <si>
    <t>Time splits</t>
  </si>
  <si>
    <t>Pace per split</t>
  </si>
  <si>
    <t>Adjusted splits (s)</t>
  </si>
  <si>
    <t>GAP (min)</t>
  </si>
  <si>
    <t>GAP</t>
  </si>
  <si>
    <t>split_time</t>
  </si>
  <si>
    <t>km</t>
  </si>
  <si>
    <t>time_s</t>
  </si>
  <si>
    <t>elev_change_m</t>
  </si>
  <si>
    <t>grade_frac</t>
  </si>
  <si>
    <t>pace_s_per_km</t>
  </si>
  <si>
    <t>gap_pace_s_per_km</t>
  </si>
  <si>
    <t>pace_min_per_km</t>
  </si>
  <si>
    <t>gap_min_per_km</t>
  </si>
  <si>
    <t>107.0</t>
  </si>
  <si>
    <t>107</t>
  </si>
  <si>
    <t>0.0</t>
  </si>
  <si>
    <t>1.7833333333333334</t>
  </si>
  <si>
    <t>170.75038284839204</t>
  </si>
  <si>
    <t>223</t>
  </si>
  <si>
    <t>223.0</t>
  </si>
  <si>
    <t>30.599999999999994</t>
  </si>
  <si>
    <t>0.030599999999999995</t>
  </si>
  <si>
    <t>3.716666666666667</t>
  </si>
  <si>
    <t>2.8458397141398675</t>
  </si>
  <si>
    <t>271.2014134275619</t>
  </si>
  <si>
    <t>307</t>
  </si>
  <si>
    <t>307.0</t>
  </si>
  <si>
    <t>13.199999999999989</t>
  </si>
  <si>
    <t>0.013199999999999988</t>
  </si>
  <si>
    <t>5.116666666666666</t>
  </si>
  <si>
    <t>4.520023557126032</t>
  </si>
  <si>
    <t>323.84987893462466</t>
  </si>
  <si>
    <t>321</t>
  </si>
  <si>
    <t>321.0</t>
  </si>
  <si>
    <t>-2.1999999999999886</t>
  </si>
  <si>
    <t>-0.0021999999999999884</t>
  </si>
  <si>
    <t>5.35</t>
  </si>
  <si>
    <t>5.3974979822437446</t>
  </si>
  <si>
    <t>309.67450271247736</t>
  </si>
  <si>
    <t>274</t>
  </si>
  <si>
    <t>274.0</t>
  </si>
  <si>
    <t>-28.799999999999997</t>
  </si>
  <si>
    <t>-0.028799999999999996</t>
  </si>
  <si>
    <t>4.566666666666666</t>
  </si>
  <si>
    <t>5.161241711874623</t>
  </si>
  <si>
    <t>349.40036900369006</t>
  </si>
  <si>
    <t>303</t>
  </si>
  <si>
    <t>303.0</t>
  </si>
  <si>
    <t>-33.2</t>
  </si>
  <si>
    <t>-0.0332</t>
  </si>
  <si>
    <t>5.05</t>
  </si>
  <si>
    <t>5.823339483394834</t>
  </si>
  <si>
    <t>269.56702747710244</t>
  </si>
  <si>
    <t>259</t>
  </si>
  <si>
    <t>259.0</t>
  </si>
  <si>
    <t>-9.799999999999997</t>
  </si>
  <si>
    <t>-0.009799999999999998</t>
  </si>
  <si>
    <t>4.316666666666666</t>
  </si>
  <si>
    <t>4.49278379128504</t>
  </si>
  <si>
    <t>327.7866880513232</t>
  </si>
  <si>
    <t>327</t>
  </si>
  <si>
    <t>327.0</t>
  </si>
  <si>
    <t>-0.6000000000000085</t>
  </si>
  <si>
    <t>-0.0006000000000000085</t>
  </si>
  <si>
    <t>5.45</t>
  </si>
  <si>
    <t>5.463111467522054</t>
  </si>
  <si>
    <t>254.2033626901521</t>
  </si>
  <si>
    <t>254</t>
  </si>
  <si>
    <t>254.0</t>
  </si>
  <si>
    <t>-0.19999999999998863</t>
  </si>
  <si>
    <t>-0.00019999999999998863</t>
  </si>
  <si>
    <t>4.233333333333333</t>
  </si>
  <si>
    <t>4.2367227115025345</t>
  </si>
  <si>
    <t>102.63653483992469</t>
  </si>
  <si>
    <t>109</t>
  </si>
  <si>
    <t>109.0</t>
  </si>
  <si>
    <t>6.199999999999989</t>
  </si>
  <si>
    <t>0.0061999999999999885</t>
  </si>
  <si>
    <t>1.8166666666666667</t>
  </si>
  <si>
    <t>1.7106089139987448</t>
  </si>
  <si>
    <t>216.01489757914337</t>
  </si>
  <si>
    <t>232</t>
  </si>
  <si>
    <t>232.0</t>
  </si>
  <si>
    <t>7.400000000000006</t>
  </si>
  <si>
    <t>0.0074000000000000055</t>
  </si>
  <si>
    <t>3.8666666666666667</t>
  </si>
  <si>
    <t>3.600248292985723</t>
  </si>
  <si>
    <t>254.42834138486313</t>
  </si>
  <si>
    <t>316</t>
  </si>
  <si>
    <t>316.0</t>
  </si>
  <si>
    <t>24.200000000000003</t>
  </si>
  <si>
    <t>0.024200000000000003</t>
  </si>
  <si>
    <t>5.266666666666667</t>
  </si>
  <si>
    <t>4.240472356414386</t>
  </si>
  <si>
    <t>248.11463046757163</t>
  </si>
  <si>
    <t>329</t>
  </si>
  <si>
    <t>329.0</t>
  </si>
  <si>
    <t>32.60000000000001</t>
  </si>
  <si>
    <t>0.03260000000000001</t>
  </si>
  <si>
    <t>5.483333333333333</t>
  </si>
  <si>
    <t>4.135243841126194</t>
  </si>
  <si>
    <t>264.6502835538753</t>
  </si>
  <si>
    <t>280</t>
  </si>
  <si>
    <t>280.0</t>
  </si>
  <si>
    <t>5.799999999999983</t>
  </si>
  <si>
    <t>0.005799999999999983</t>
  </si>
  <si>
    <t>4.666666666666667</t>
  </si>
  <si>
    <t>4.410838059231255</t>
  </si>
  <si>
    <t>330.3336259877085</t>
  </si>
  <si>
    <t>301</t>
  </si>
  <si>
    <t>301.0</t>
  </si>
  <si>
    <t>-22.19999999999999</t>
  </si>
  <si>
    <t>-0.022199999999999987</t>
  </si>
  <si>
    <t>5.016666666666667</t>
  </si>
  <si>
    <t>5.505560433128475</t>
  </si>
  <si>
    <t>288.79686137750656</t>
  </si>
  <si>
    <t>265</t>
  </si>
  <si>
    <t>265.0</t>
  </si>
  <si>
    <t>-20.60000000000001</t>
  </si>
  <si>
    <t>-0.020600000000000007</t>
  </si>
  <si>
    <t>4.416666666666667</t>
  </si>
  <si>
    <t>4.813281022958443</t>
  </si>
  <si>
    <t>378.037803780378</t>
  </si>
  <si>
    <t>336</t>
  </si>
  <si>
    <t>336.0</t>
  </si>
  <si>
    <t>-27.799999999999997</t>
  </si>
  <si>
    <t>-0.0278</t>
  </si>
  <si>
    <t>5.6</t>
  </si>
  <si>
    <t>6.3006300630063</t>
  </si>
  <si>
    <t>254.85436893203882</t>
  </si>
  <si>
    <t>252</t>
  </si>
  <si>
    <t>252.0</t>
  </si>
  <si>
    <t>-2.799999999999997</t>
  </si>
  <si>
    <t>-0.0027999999999999974</t>
  </si>
  <si>
    <t>4.2</t>
  </si>
  <si>
    <t>4.247572815533981</t>
  </si>
  <si>
    <t>84.06725380304243</t>
  </si>
  <si>
    <t>84</t>
  </si>
  <si>
    <t>84.0</t>
  </si>
  <si>
    <t>-0.20000000000000284</t>
  </si>
  <si>
    <t>-0.00020000000000000286</t>
  </si>
  <si>
    <t>1.4</t>
  </si>
  <si>
    <t>1.4011208967173738</t>
  </si>
  <si>
    <t>Average</t>
  </si>
  <si>
    <t>Avg GAP</t>
  </si>
  <si>
    <t>3:47</t>
  </si>
  <si>
    <t>Data from the bike simulation</t>
  </si>
  <si>
    <t>Speed zone classification</t>
  </si>
  <si>
    <t>Splits time (s)</t>
  </si>
  <si>
    <t>Split speed (km/h)</t>
  </si>
  <si>
    <t>Speed zone</t>
  </si>
  <si>
    <t>Lower Bound (km/h)</t>
  </si>
  <si>
    <t>Upper Bound (km/h)</t>
  </si>
  <si>
    <t>Time in speed zone (s)</t>
  </si>
  <si>
    <t>Ratio</t>
  </si>
  <si>
    <t>seconds</t>
  </si>
  <si>
    <t>speed</t>
  </si>
  <si>
    <t>-0.58 %</t>
  </si>
  <si>
    <t>37.58 km/h</t>
  </si>
  <si>
    <t>217 w</t>
  </si>
  <si>
    <t>2.97 km</t>
  </si>
  <si>
    <t>35.46 km/h</t>
  </si>
  <si>
    <t>1.40 km</t>
  </si>
  <si>
    <t>5.01 km</t>
  </si>
  <si>
    <t>5.13 km</t>
  </si>
  <si>
    <t>37.71 km/h</t>
  </si>
  <si>
    <t>5.40 km</t>
  </si>
  <si>
    <t>21.13 km/h</t>
  </si>
  <si>
    <t>307 w</t>
  </si>
  <si>
    <t>5.88 km</t>
  </si>
  <si>
    <t>22.67 km/h</t>
  </si>
  <si>
    <t>6.73 km</t>
  </si>
  <si>
    <t>-0.03 %</t>
  </si>
  <si>
    <t>36.26 km/h</t>
  </si>
  <si>
    <t>7.52 km</t>
  </si>
  <si>
    <t>36.71 km/h</t>
  </si>
  <si>
    <t>239 w</t>
  </si>
  <si>
    <t>7.70 km</t>
  </si>
  <si>
    <t>33.34 km/h</t>
  </si>
  <si>
    <t>1.04 km</t>
  </si>
  <si>
    <t>8.74 km</t>
  </si>
  <si>
    <t>22.13 km/h</t>
  </si>
  <si>
    <t>343 w</t>
  </si>
  <si>
    <t>9.71 km</t>
  </si>
  <si>
    <t>16.22 km/h</t>
  </si>
  <si>
    <t>27.41 km/h</t>
  </si>
  <si>
    <t>1.05 km</t>
  </si>
  <si>
    <t>11.56 km</t>
  </si>
  <si>
    <t>22.50 km/h</t>
  </si>
  <si>
    <t>11.72 km</t>
  </si>
  <si>
    <t>22.78 km/h</t>
  </si>
  <si>
    <t>12.17 km</t>
  </si>
  <si>
    <t>-4.11 %</t>
  </si>
  <si>
    <t>43.82 km/h</t>
  </si>
  <si>
    <t>149 w</t>
  </si>
  <si>
    <t>13.03 km</t>
  </si>
  <si>
    <t>-0.62 %</t>
  </si>
  <si>
    <t>45.86 km/h</t>
  </si>
  <si>
    <t>13.59 km</t>
  </si>
  <si>
    <t>41.39 km/h</t>
  </si>
  <si>
    <t>13.74 km</t>
  </si>
  <si>
    <t>-5.33 %</t>
  </si>
  <si>
    <t>46.93 km/h</t>
  </si>
  <si>
    <t>115 w</t>
  </si>
  <si>
    <t>14.22 km</t>
  </si>
  <si>
    <t>26.30 km/h</t>
  </si>
  <si>
    <t>14.84 km</t>
  </si>
  <si>
    <t>31.91 km/h</t>
  </si>
  <si>
    <t>251 w</t>
  </si>
  <si>
    <t>15.10 km</t>
  </si>
  <si>
    <t>29.85 km/h</t>
  </si>
  <si>
    <t>284 w</t>
  </si>
  <si>
    <t>15.84 km</t>
  </si>
  <si>
    <t>33.86 km/h</t>
  </si>
  <si>
    <t>16.45 km</t>
  </si>
  <si>
    <t>13.15 km/h</t>
  </si>
  <si>
    <t>323 w</t>
  </si>
  <si>
    <t>16.83 km</t>
  </si>
  <si>
    <t>15.79 km/h</t>
  </si>
  <si>
    <t>316 w</t>
  </si>
  <si>
    <t>17.49 km</t>
  </si>
  <si>
    <t>31.50 km/h</t>
  </si>
  <si>
    <t>17.75 km</t>
  </si>
  <si>
    <t>10.89 km/h</t>
  </si>
  <si>
    <t>0.41 km</t>
  </si>
  <si>
    <t>18.16 km</t>
  </si>
  <si>
    <t>29.26 km/h</t>
  </si>
  <si>
    <t>19.08 km</t>
  </si>
  <si>
    <t>-5.65 %</t>
  </si>
  <si>
    <t>55.77 km/h</t>
  </si>
  <si>
    <t>109 w</t>
  </si>
  <si>
    <t>0.52 km</t>
  </si>
  <si>
    <t>19.60 km</t>
  </si>
  <si>
    <t>-0.89 %</t>
  </si>
  <si>
    <t>51.27 km/h</t>
  </si>
  <si>
    <t>207 w</t>
  </si>
  <si>
    <t>2.12 km</t>
  </si>
  <si>
    <t>21.72 km</t>
  </si>
  <si>
    <t>-2.58 %</t>
  </si>
  <si>
    <t>50.03 km/h</t>
  </si>
  <si>
    <t>178 w</t>
  </si>
  <si>
    <t>-3.57 %</t>
  </si>
  <si>
    <t>53.71 km/h</t>
  </si>
  <si>
    <t>22.69 km</t>
  </si>
  <si>
    <t>12.69 km/h</t>
  </si>
  <si>
    <t>319 w</t>
  </si>
  <si>
    <t>22.88 km</t>
  </si>
  <si>
    <t>-6.26 %</t>
  </si>
  <si>
    <t>33.88 km/h</t>
  </si>
  <si>
    <t>106 w</t>
  </si>
  <si>
    <t>1.31 km</t>
  </si>
  <si>
    <t>24.19 km</t>
  </si>
  <si>
    <t>-6.29 %</t>
  </si>
  <si>
    <t>59.38 km/h</t>
  </si>
  <si>
    <t>24.37 km</t>
  </si>
  <si>
    <t>60.91 km/h</t>
  </si>
  <si>
    <t>121 w</t>
  </si>
  <si>
    <t>0.59 km</t>
  </si>
  <si>
    <t>24.96 km</t>
  </si>
  <si>
    <t>39.92 km/h</t>
  </si>
  <si>
    <t>25.07 km</t>
  </si>
  <si>
    <t>31.74 km/h</t>
  </si>
  <si>
    <t>274 w</t>
  </si>
  <si>
    <t>0.13 km</t>
  </si>
  <si>
    <t>25.20 km</t>
  </si>
  <si>
    <t>-19.47 %</t>
  </si>
  <si>
    <t>51.70 km/h</t>
  </si>
  <si>
    <t>25.69 km</t>
  </si>
  <si>
    <t>-8.63 %</t>
  </si>
  <si>
    <t>69.88 km/h</t>
  </si>
  <si>
    <t>25.98 km</t>
  </si>
  <si>
    <t>-5.48 %</t>
  </si>
  <si>
    <t>64.53 km/h</t>
  </si>
  <si>
    <t>128 w</t>
  </si>
  <si>
    <t>26.37 km</t>
  </si>
  <si>
    <t>44.61 km/h</t>
  </si>
  <si>
    <t>26.54 km</t>
  </si>
  <si>
    <t>34.86 km/h</t>
  </si>
  <si>
    <t>255 w</t>
  </si>
  <si>
    <t>26.82 km</t>
  </si>
  <si>
    <t>17.51 km/h</t>
  </si>
  <si>
    <t>310 w</t>
  </si>
  <si>
    <t>27.49 km</t>
  </si>
  <si>
    <t>-4.21 %</t>
  </si>
  <si>
    <t>44.26 km/h</t>
  </si>
  <si>
    <t>156 w</t>
  </si>
  <si>
    <t>28.15 km</t>
  </si>
  <si>
    <t>33.15 km/h</t>
  </si>
  <si>
    <t>29.13 km</t>
  </si>
  <si>
    <t>-4.34 %</t>
  </si>
  <si>
    <t>29.56 km</t>
  </si>
  <si>
    <t>-5.53 %</t>
  </si>
  <si>
    <t>56.56 km/h</t>
  </si>
  <si>
    <t>124 w</t>
  </si>
  <si>
    <t>30.37 km</t>
  </si>
  <si>
    <t>20.92 km/h</t>
  </si>
  <si>
    <t>1.25 km</t>
  </si>
  <si>
    <t>31.62 km</t>
  </si>
  <si>
    <t>-1.21 %</t>
  </si>
  <si>
    <t>39.65 km/h</t>
  </si>
  <si>
    <t>211 w</t>
  </si>
  <si>
    <t>32.31 km</t>
  </si>
  <si>
    <t>-1.23 %</t>
  </si>
  <si>
    <t>209 w</t>
  </si>
  <si>
    <t>32.42 km</t>
  </si>
  <si>
    <t>-0.69 %</t>
  </si>
  <si>
    <t>41.97 km/h</t>
  </si>
  <si>
    <t>219 w</t>
  </si>
  <si>
    <t>32.83 km</t>
  </si>
  <si>
    <t>33.49 km/h</t>
  </si>
  <si>
    <t>2.30 km</t>
  </si>
  <si>
    <t>35.13 km</t>
  </si>
  <si>
    <t>33.91 km/h</t>
  </si>
  <si>
    <t>2.46 km</t>
  </si>
  <si>
    <t>37.59 km</t>
  </si>
  <si>
    <t>-1.51 %</t>
  </si>
  <si>
    <t>46.26 km/h</t>
  </si>
  <si>
    <t>193 w</t>
  </si>
  <si>
    <t>37.79 km</t>
  </si>
  <si>
    <t>39.13 km/h</t>
  </si>
  <si>
    <t>38.07 km</t>
  </si>
  <si>
    <t>-2.86 %</t>
  </si>
  <si>
    <t>40.60 km/h</t>
  </si>
  <si>
    <t>176 w</t>
  </si>
  <si>
    <t>39.03 km</t>
  </si>
  <si>
    <t>-10.05 %</t>
  </si>
  <si>
    <t>68.37 km/h</t>
  </si>
  <si>
    <t>40.18 km</t>
  </si>
  <si>
    <t>-6.39 %</t>
  </si>
  <si>
    <t>64.23 km/h</t>
  </si>
  <si>
    <t>104 w</t>
  </si>
  <si>
    <t>40.33 km</t>
  </si>
  <si>
    <t>-4.00 %</t>
  </si>
  <si>
    <t>59.66 km/h</t>
  </si>
  <si>
    <t>153 w</t>
  </si>
  <si>
    <t>1.35 km</t>
  </si>
  <si>
    <t>41.68 km</t>
  </si>
  <si>
    <t>32.04 km/h</t>
  </si>
  <si>
    <t>0.46 km</t>
  </si>
  <si>
    <t>42.14 km</t>
  </si>
  <si>
    <t>-7.08 %</t>
  </si>
  <si>
    <t>51.73 km/h</t>
  </si>
  <si>
    <t>75 w</t>
  </si>
  <si>
    <t>42.48 km</t>
  </si>
  <si>
    <t>-4.07 %</t>
  </si>
  <si>
    <t>58.96 km/h</t>
  </si>
  <si>
    <t>147 w</t>
  </si>
  <si>
    <t>43.33 km</t>
  </si>
  <si>
    <t>34.91 km/h</t>
  </si>
  <si>
    <t>43.53 km</t>
  </si>
  <si>
    <t>27.39 km/h</t>
  </si>
  <si>
    <t>4.13 km</t>
  </si>
  <si>
    <t>47.66 km</t>
  </si>
  <si>
    <t>-2.08 %</t>
  </si>
  <si>
    <t>45.11 km/h</t>
  </si>
  <si>
    <t>0.10 km</t>
  </si>
  <si>
    <t>47.76 km</t>
  </si>
  <si>
    <t>-0.41 %</t>
  </si>
  <si>
    <t>31.93 km/h</t>
  </si>
  <si>
    <t>215 w</t>
  </si>
  <si>
    <t>47.87 km</t>
  </si>
  <si>
    <t>-4.46 %</t>
  </si>
  <si>
    <t>44.70 km/h</t>
  </si>
  <si>
    <t>129 w</t>
  </si>
  <si>
    <t>3.47 km</t>
  </si>
  <si>
    <t>51.34 km</t>
  </si>
  <si>
    <t>33.52 km/h</t>
  </si>
  <si>
    <t>51.54 km</t>
  </si>
  <si>
    <t>35.09 km/h</t>
  </si>
  <si>
    <t>244 w</t>
  </si>
  <si>
    <t>52.18 km</t>
  </si>
  <si>
    <t>-4.45 %</t>
  </si>
  <si>
    <t>51.82 km/h</t>
  </si>
  <si>
    <t>52.36 km</t>
  </si>
  <si>
    <t>-2.63 %</t>
  </si>
  <si>
    <t>55.33 km/h</t>
  </si>
  <si>
    <t>174 w</t>
  </si>
  <si>
    <t>53.25 km</t>
  </si>
  <si>
    <t>31.00 km/h</t>
  </si>
  <si>
    <t>281 w</t>
  </si>
  <si>
    <t>53.41 km</t>
  </si>
  <si>
    <t>19.50 km/h</t>
  </si>
  <si>
    <t>54.31 km</t>
  </si>
  <si>
    <t>-4.60 %</t>
  </si>
  <si>
    <t>49.59 km/h</t>
  </si>
  <si>
    <t>133 w</t>
  </si>
  <si>
    <t>54.93 km</t>
  </si>
  <si>
    <t>41.45 km/h</t>
  </si>
  <si>
    <t>55.09 km</t>
  </si>
  <si>
    <t>28.24 km/h</t>
  </si>
  <si>
    <t>56.15 km</t>
  </si>
  <si>
    <t>22.09 km/h</t>
  </si>
  <si>
    <t>57.07 km</t>
  </si>
  <si>
    <t>16.87 km/h</t>
  </si>
  <si>
    <t>313 w</t>
  </si>
  <si>
    <t>57.26 km</t>
  </si>
  <si>
    <t>26.00 km/h</t>
  </si>
  <si>
    <t>58.02 km</t>
  </si>
  <si>
    <t>-2.13 %</t>
  </si>
  <si>
    <t>45.62 km/h</t>
  </si>
  <si>
    <t>179 w</t>
  </si>
  <si>
    <t>58.84 km</t>
  </si>
  <si>
    <t>40.74 km/h</t>
  </si>
  <si>
    <t>0.72 km</t>
  </si>
  <si>
    <t>59.56 km</t>
  </si>
  <si>
    <t>40.14 km/h</t>
  </si>
  <si>
    <t>59.98 km</t>
  </si>
  <si>
    <t>33.82 km/h</t>
  </si>
  <si>
    <t>60.82 km</t>
  </si>
  <si>
    <t>-7.81 %</t>
  </si>
  <si>
    <t>60.07 km/h</t>
  </si>
  <si>
    <t>4 w</t>
  </si>
  <si>
    <t>61.33 km</t>
  </si>
  <si>
    <t>35.05 km/h</t>
  </si>
  <si>
    <t>61.72 km</t>
  </si>
  <si>
    <t>32.91 km/h</t>
  </si>
  <si>
    <t>62.15 km</t>
  </si>
  <si>
    <t>21.37 km/h</t>
  </si>
  <si>
    <t>62.78 km</t>
  </si>
  <si>
    <t>-3.02 %</t>
  </si>
  <si>
    <t>44.72 km/h</t>
  </si>
  <si>
    <t>157 w</t>
  </si>
  <si>
    <t>63.60 km</t>
  </si>
  <si>
    <t>64.21 km</t>
  </si>
  <si>
    <t>-3.95 %</t>
  </si>
  <si>
    <t>139 w</t>
  </si>
  <si>
    <t>0.21 km</t>
  </si>
  <si>
    <t>64.42 km</t>
  </si>
  <si>
    <t>-1.65 %</t>
  </si>
  <si>
    <t>54.71 km/h</t>
  </si>
  <si>
    <t>189 w</t>
  </si>
  <si>
    <t>64.61 km</t>
  </si>
  <si>
    <t>45.42 km/h</t>
  </si>
  <si>
    <t>64.92 km</t>
  </si>
  <si>
    <t>26.56 km/h</t>
  </si>
  <si>
    <t>65.11 km</t>
  </si>
  <si>
    <t>26.50 km/h</t>
  </si>
  <si>
    <t>65.21 km</t>
  </si>
  <si>
    <t>31.60 km/h</t>
  </si>
  <si>
    <t>10.70 km/h</t>
  </si>
  <si>
    <t>65.94 km</t>
  </si>
  <si>
    <t>-1.45 %</t>
  </si>
  <si>
    <t>37.30 km/h</t>
  </si>
  <si>
    <t>66.08 km</t>
  </si>
  <si>
    <t>-2.96 %</t>
  </si>
  <si>
    <t>49.23 km/h</t>
  </si>
  <si>
    <t>160 w</t>
  </si>
  <si>
    <t>1.18 km</t>
  </si>
  <si>
    <t>67.26 km</t>
  </si>
  <si>
    <t>24.14 km/h</t>
  </si>
  <si>
    <t>67.62 km</t>
  </si>
  <si>
    <t>26.41 km/h</t>
  </si>
  <si>
    <t>67.82 km</t>
  </si>
  <si>
    <t>17.37 km/h</t>
  </si>
  <si>
    <t>68.18 km</t>
  </si>
  <si>
    <t>-18.01 %</t>
  </si>
  <si>
    <t>59.98 km/h</t>
  </si>
  <si>
    <t>68.97 km</t>
  </si>
  <si>
    <t>29.70 km/h</t>
  </si>
  <si>
    <t>1.54 km</t>
  </si>
  <si>
    <t>70.51 km</t>
  </si>
  <si>
    <t>35.36 km/h</t>
  </si>
  <si>
    <t>249 w</t>
  </si>
  <si>
    <t>71.25 km</t>
  </si>
  <si>
    <t>30.20 km/h</t>
  </si>
  <si>
    <t>71.40 km</t>
  </si>
  <si>
    <t>72.38 km</t>
  </si>
  <si>
    <t>24.21 km/h</t>
  </si>
  <si>
    <t>0.23 km</t>
  </si>
  <si>
    <t>72.61 km</t>
  </si>
  <si>
    <t>22.30 km/h</t>
  </si>
  <si>
    <t>72.75 km</t>
  </si>
  <si>
    <t>-15.50 %</t>
  </si>
  <si>
    <t>46.33 km/h</t>
  </si>
  <si>
    <t>72.94 km</t>
  </si>
  <si>
    <t>50.00 km/h</t>
  </si>
  <si>
    <t>73.17 km</t>
  </si>
  <si>
    <t>9.11 km/h</t>
  </si>
  <si>
    <t>348 w</t>
  </si>
  <si>
    <t>0.25 km</t>
  </si>
  <si>
    <t>73.42 km</t>
  </si>
  <si>
    <t>-19.44 %</t>
  </si>
  <si>
    <t>53.21 km/h</t>
  </si>
  <si>
    <t>43.43 km/h</t>
  </si>
  <si>
    <t>314 w</t>
  </si>
  <si>
    <t>73.80 km</t>
  </si>
  <si>
    <t>-4.91 %</t>
  </si>
  <si>
    <t>34.93 km/h</t>
  </si>
  <si>
    <t>117 w</t>
  </si>
  <si>
    <t>73.93 km</t>
  </si>
  <si>
    <t>46.79 km/h</t>
  </si>
  <si>
    <t>74.30 km</t>
  </si>
  <si>
    <t>-18.05 %</t>
  </si>
  <si>
    <t>71.71 km/h</t>
  </si>
  <si>
    <t>74.77 km</t>
  </si>
  <si>
    <t>-7.09 %</t>
  </si>
  <si>
    <t>70.83 km/h</t>
  </si>
  <si>
    <t>75.02 km</t>
  </si>
  <si>
    <t>-5.24 %</t>
  </si>
  <si>
    <t>54.26 km/h</t>
  </si>
  <si>
    <t>75.40 km</t>
  </si>
  <si>
    <t>-0.84 %</t>
  </si>
  <si>
    <t>41.12 km/h</t>
  </si>
  <si>
    <t>0.33 km</t>
  </si>
  <si>
    <t>75.73 km</t>
  </si>
  <si>
    <t>-3.39 %</t>
  </si>
  <si>
    <t>48.95 km/h</t>
  </si>
  <si>
    <t>76.25 km</t>
  </si>
  <si>
    <t>-4.64 %</t>
  </si>
  <si>
    <t>53.28 km/h</t>
  </si>
  <si>
    <t>138 w</t>
  </si>
  <si>
    <t>76.38 km</t>
  </si>
  <si>
    <t>-12.64 %</t>
  </si>
  <si>
    <t>58.13 km/h</t>
  </si>
  <si>
    <t>76.65 km</t>
  </si>
  <si>
    <t>48.36 km/h</t>
  </si>
  <si>
    <t>298 w</t>
  </si>
  <si>
    <t>76.99 km</t>
  </si>
  <si>
    <t>-14.19 %</t>
  </si>
  <si>
    <t>46.62 km/h</t>
  </si>
  <si>
    <t>77.24 km</t>
  </si>
  <si>
    <t>45.65 km/h</t>
  </si>
  <si>
    <t>78.05 km</t>
  </si>
  <si>
    <t>-5.10 %</t>
  </si>
  <si>
    <t>50.70 km/h</t>
  </si>
  <si>
    <t>79.35 km</t>
  </si>
  <si>
    <t>-5.63 %</t>
  </si>
  <si>
    <t>62.79 km/h</t>
  </si>
  <si>
    <t>0.60 km</t>
  </si>
  <si>
    <t>79.95 km</t>
  </si>
  <si>
    <t>-3.33 %</t>
  </si>
  <si>
    <t>58.60 km/h</t>
  </si>
  <si>
    <t>80.07 km</t>
  </si>
  <si>
    <t>-2.46 %</t>
  </si>
  <si>
    <t>54.99 km/h</t>
  </si>
  <si>
    <t>171 w</t>
  </si>
  <si>
    <t>81.15 km</t>
  </si>
  <si>
    <t>-10.49 %</t>
  </si>
  <si>
    <t>67.22 km/h</t>
  </si>
  <si>
    <t>81.89 km</t>
  </si>
  <si>
    <t>-6.75 %</t>
  </si>
  <si>
    <t>61.31 km/h</t>
  </si>
  <si>
    <t>86 w</t>
  </si>
  <si>
    <t>-3.96 %</t>
  </si>
  <si>
    <t>54.18 km/h</t>
  </si>
  <si>
    <t>0.94 km</t>
  </si>
  <si>
    <t>83.15 km</t>
  </si>
  <si>
    <t>-0.04 %</t>
  </si>
  <si>
    <t>42.51 km/h</t>
  </si>
  <si>
    <t>83.67 km</t>
  </si>
  <si>
    <t>236 w</t>
  </si>
  <si>
    <t>84.57 km</t>
  </si>
  <si>
    <t>-5.56 %</t>
  </si>
  <si>
    <t>57.83 km/h</t>
  </si>
  <si>
    <t>103 w</t>
  </si>
  <si>
    <t>84.70 km</t>
  </si>
  <si>
    <t>-1.42 %</t>
  </si>
  <si>
    <t>55.48 km/h</t>
  </si>
  <si>
    <t>86.14 km</t>
  </si>
  <si>
    <t>228 w</t>
  </si>
  <si>
    <t>3.03 km</t>
  </si>
  <si>
    <t>89.17 km</t>
  </si>
  <si>
    <t>45.58 km/h</t>
  </si>
  <si>
    <t>0.65 km</t>
  </si>
  <si>
    <t>89.82 km</t>
  </si>
  <si>
    <t>41.35 km/h</t>
  </si>
  <si>
    <t>Race pace (s/100m)</t>
  </si>
  <si>
    <t>Buoy</t>
  </si>
  <si>
    <t>Distance (m)</t>
  </si>
  <si>
    <t>Time (s)</t>
  </si>
  <si>
    <t>Cumlated distance (m)</t>
  </si>
  <si>
    <t>Cumulated Time (s)</t>
  </si>
  <si>
    <t>Cumulated time (mm:ss)</t>
  </si>
  <si>
    <t>Finish</t>
  </si>
  <si>
    <t>218 w</t>
  </si>
  <si>
    <t>37.54 km/h</t>
  </si>
  <si>
    <t>21.09 km/h</t>
  </si>
  <si>
    <t>36.13 km/h</t>
  </si>
  <si>
    <t>229 w</t>
  </si>
  <si>
    <t>36.69 km/h</t>
  </si>
  <si>
    <t>258 w</t>
  </si>
  <si>
    <t>43.86 km/h</t>
  </si>
  <si>
    <t>151 w</t>
  </si>
  <si>
    <t>45.73 km/h</t>
  </si>
  <si>
    <t>41.34 km/h</t>
  </si>
  <si>
    <t>222 w</t>
  </si>
  <si>
    <t>46.96 km/h</t>
  </si>
  <si>
    <t>26.33 km/h</t>
  </si>
  <si>
    <t>15.64 km/h</t>
  </si>
  <si>
    <t>31.49 km/h</t>
  </si>
  <si>
    <t>29.27 km/h</t>
  </si>
  <si>
    <t>55.80 km/h</t>
  </si>
  <si>
    <t>112 w</t>
  </si>
  <si>
    <t>51.25 km/h</t>
  </si>
  <si>
    <t>208 w</t>
  </si>
  <si>
    <t>49.88 km/h</t>
  </si>
  <si>
    <t>53.66 km/h</t>
  </si>
  <si>
    <t>33.80 km/h</t>
  </si>
  <si>
    <t>59.36 km/h</t>
  </si>
  <si>
    <t>111 w</t>
  </si>
  <si>
    <t>122 w</t>
  </si>
  <si>
    <t>39.91 km/h</t>
  </si>
  <si>
    <t>31.73 km/h</t>
  </si>
  <si>
    <t>64.51 km/h</t>
  </si>
  <si>
    <t>130 w</t>
  </si>
  <si>
    <t>44.13 km/h</t>
  </si>
  <si>
    <t>33.12 km/h</t>
  </si>
  <si>
    <t>49.09 km/h</t>
  </si>
  <si>
    <t>56.49 km/h</t>
  </si>
  <si>
    <t>126 w</t>
  </si>
  <si>
    <t>20.91 km/h</t>
  </si>
  <si>
    <t>39.66 km/h</t>
  </si>
  <si>
    <t>41.80 km/h</t>
  </si>
  <si>
    <t>33.44 km/h</t>
  </si>
  <si>
    <t>268 w</t>
  </si>
  <si>
    <t>194 w</t>
  </si>
  <si>
    <t>177 w</t>
  </si>
  <si>
    <t>68.35 km/h</t>
  </si>
  <si>
    <t>59.74 km/h</t>
  </si>
  <si>
    <t>32.02 km/h</t>
  </si>
  <si>
    <t>51.64 km/h</t>
  </si>
  <si>
    <t>73 w</t>
  </si>
  <si>
    <t>58.84 km/h</t>
  </si>
  <si>
    <t>34.90 km/h</t>
  </si>
  <si>
    <t>27.38 km/h</t>
  </si>
  <si>
    <t>191 w</t>
  </si>
  <si>
    <t>44.60 km/h</t>
  </si>
  <si>
    <t>131 w</t>
  </si>
  <si>
    <t>35.10 km/h</t>
  </si>
  <si>
    <t>51.71 km/h</t>
  </si>
  <si>
    <t>135 w</t>
  </si>
  <si>
    <t>55.16 km/h</t>
  </si>
  <si>
    <t>172 w</t>
  </si>
  <si>
    <t>30.98 km/h</t>
  </si>
  <si>
    <t>19.34 km/h</t>
  </si>
  <si>
    <t>312 w</t>
  </si>
  <si>
    <t>49.45 km/h</t>
  </si>
  <si>
    <t>132 w</t>
  </si>
  <si>
    <t>28.23 km/h</t>
  </si>
  <si>
    <t>26.01 km/h</t>
  </si>
  <si>
    <t>45.63 km/h</t>
  </si>
  <si>
    <t>180 w</t>
  </si>
  <si>
    <t>40.73 km/h</t>
  </si>
  <si>
    <t>233 w</t>
  </si>
  <si>
    <t>59.94 km/h</t>
  </si>
  <si>
    <t>34.98 km/h</t>
  </si>
  <si>
    <t>32.92 km/h</t>
  </si>
  <si>
    <t>21.40 km/h</t>
  </si>
  <si>
    <t>158 w</t>
  </si>
  <si>
    <t>50.04 km/h</t>
  </si>
  <si>
    <t>54.70 km/h</t>
  </si>
  <si>
    <t>45.40 km/h</t>
  </si>
  <si>
    <t>31.67 km/h</t>
  </si>
  <si>
    <t>237 w</t>
  </si>
  <si>
    <t>10.71 km/h</t>
  </si>
  <si>
    <t>37.32 km/h</t>
  </si>
  <si>
    <t>17.53 km/h</t>
  </si>
  <si>
    <t>60.03 km/h</t>
  </si>
  <si>
    <t>29.69 km/h</t>
  </si>
  <si>
    <t>34.15 km/h</t>
  </si>
  <si>
    <t>24.05 km/h</t>
  </si>
  <si>
    <t>22.26 km/h</t>
  </si>
  <si>
    <t>46.32 km/h</t>
  </si>
  <si>
    <t>49.91 km/h</t>
  </si>
  <si>
    <t>53.20 km/h</t>
  </si>
  <si>
    <t>43.50 km/h</t>
  </si>
  <si>
    <t>34.83 km/h</t>
  </si>
  <si>
    <t>70.65 km/h</t>
  </si>
  <si>
    <t>68 w</t>
  </si>
  <si>
    <t>54.20 km/h</t>
  </si>
  <si>
    <t>41.11 km/h</t>
  </si>
  <si>
    <t>48.87 km/h</t>
  </si>
  <si>
    <t>53.22 km/h</t>
  </si>
  <si>
    <t>140 w</t>
  </si>
  <si>
    <t>58.11 km/h</t>
  </si>
  <si>
    <t>48.33 km/h</t>
  </si>
  <si>
    <t>46.61 km/h</t>
  </si>
  <si>
    <t>45.60 km/h</t>
  </si>
  <si>
    <t>50.59 km/h</t>
  </si>
  <si>
    <t>125 w</t>
  </si>
  <si>
    <t>62.63 km/h</t>
  </si>
  <si>
    <t>107 w</t>
  </si>
  <si>
    <t>58.53 km/h</t>
  </si>
  <si>
    <t>155 w</t>
  </si>
  <si>
    <t>54.98 km/h</t>
  </si>
  <si>
    <t>67.21 km/h</t>
  </si>
  <si>
    <t>61.22 km/h</t>
  </si>
  <si>
    <t>84 w</t>
  </si>
  <si>
    <t>54.07 km/h</t>
  </si>
  <si>
    <t>57.84 km/h</t>
  </si>
  <si>
    <t>105 w</t>
  </si>
  <si>
    <t>55.43 km/h</t>
  </si>
  <si>
    <t>197 w</t>
  </si>
  <si>
    <t>45.43 km/h</t>
  </si>
  <si>
    <t>205 w</t>
  </si>
  <si>
    <t>41.30 km/h</t>
  </si>
  <si>
    <t>Totals/Avg</t>
  </si>
  <si>
    <t>89.85 km</t>
  </si>
  <si>
    <t>35.49 km/h</t>
  </si>
  <si>
    <t>238.63 w</t>
  </si>
  <si>
    <t>Data from GAP model</t>
  </si>
  <si>
    <t>Pacing plan</t>
  </si>
  <si>
    <t>start_m</t>
  </si>
  <si>
    <t>end_m</t>
  </si>
  <si>
    <t>avg_slope_%</t>
  </si>
  <si>
    <t>target_pace_sec_per_km</t>
  </si>
  <si>
    <t>Splits</t>
  </si>
  <si>
    <t>Pace</t>
  </si>
  <si>
    <t>Time from start</t>
  </si>
  <si>
    <t>0</t>
  </si>
  <si>
    <t>500</t>
  </si>
  <si>
    <t>-3.31</t>
  </si>
  <si>
    <t>3:50</t>
  </si>
  <si>
    <t>0:01:55</t>
  </si>
  <si>
    <t>1000</t>
  </si>
  <si>
    <t>-1.95</t>
  </si>
  <si>
    <t>3:33</t>
  </si>
  <si>
    <t>0:03:42</t>
  </si>
  <si>
    <t>1500</t>
  </si>
  <si>
    <t>-0.37</t>
  </si>
  <si>
    <t>3:44</t>
  </si>
  <si>
    <t>0:05:34</t>
  </si>
  <si>
    <t>2000</t>
  </si>
  <si>
    <t>-0.32</t>
  </si>
  <si>
    <t>0:07:26</t>
  </si>
  <si>
    <t>2500</t>
  </si>
  <si>
    <t>0.07</t>
  </si>
  <si>
    <t>0:09:20</t>
  </si>
  <si>
    <t>3000</t>
  </si>
  <si>
    <t>-0.04</t>
  </si>
  <si>
    <t>3:46</t>
  </si>
  <si>
    <t>0:11:13</t>
  </si>
  <si>
    <t>3500</t>
  </si>
  <si>
    <t>3.41</t>
  </si>
  <si>
    <t>4:10</t>
  </si>
  <si>
    <t>0:13:18</t>
  </si>
  <si>
    <t>4000</t>
  </si>
  <si>
    <t>2.26</t>
  </si>
  <si>
    <t>4:02</t>
  </si>
  <si>
    <t>0:15:20</t>
  </si>
  <si>
    <t>4500</t>
  </si>
  <si>
    <t>-4.67</t>
  </si>
  <si>
    <t>3:16</t>
  </si>
  <si>
    <t>0:16:58</t>
  </si>
  <si>
    <t>5000</t>
  </si>
  <si>
    <t>0:18:50</t>
  </si>
  <si>
    <t>5500</t>
  </si>
  <si>
    <t>-0.15</t>
  </si>
  <si>
    <t>3:45</t>
  </si>
  <si>
    <t>0:20:43</t>
  </si>
  <si>
    <t>6000</t>
  </si>
  <si>
    <t>-0.07</t>
  </si>
  <si>
    <t>0:22:37</t>
  </si>
  <si>
    <t>6500</t>
  </si>
  <si>
    <t>0.88</t>
  </si>
  <si>
    <t>3:52</t>
  </si>
  <si>
    <t>0:24:33</t>
  </si>
  <si>
    <t>7000</t>
  </si>
  <si>
    <t>-0.93</t>
  </si>
  <si>
    <t>3:40</t>
  </si>
  <si>
    <t>0:26:23</t>
  </si>
  <si>
    <t>7500</t>
  </si>
  <si>
    <t>-1.16</t>
  </si>
  <si>
    <t>3:39</t>
  </si>
  <si>
    <t>0:28:13</t>
  </si>
  <si>
    <t>8000</t>
  </si>
  <si>
    <t>-0.98</t>
  </si>
  <si>
    <t>0:30:03</t>
  </si>
  <si>
    <t>8500</t>
  </si>
  <si>
    <t>-0.17</t>
  </si>
  <si>
    <t>0:31:56</t>
  </si>
  <si>
    <t>9000</t>
  </si>
  <si>
    <t>-0.45</t>
  </si>
  <si>
    <t>3:43</t>
  </si>
  <si>
    <t>0:33:48</t>
  </si>
  <si>
    <t>9500</t>
  </si>
  <si>
    <t>0.03</t>
  </si>
  <si>
    <t>0:35:42</t>
  </si>
  <si>
    <t>10000</t>
  </si>
  <si>
    <t>0.63</t>
  </si>
  <si>
    <t>3:51</t>
  </si>
  <si>
    <t>0:37:37</t>
  </si>
  <si>
    <t>10500</t>
  </si>
  <si>
    <t>-3.97</t>
  </si>
  <si>
    <t>0:39:30</t>
  </si>
  <si>
    <t>11000</t>
  </si>
  <si>
    <t>-0.95</t>
  </si>
  <si>
    <t>0:41:20</t>
  </si>
  <si>
    <t>11500</t>
  </si>
  <si>
    <t>-0.52</t>
  </si>
  <si>
    <t>0:43:12</t>
  </si>
  <si>
    <t>12000</t>
  </si>
  <si>
    <t>-0.01</t>
  </si>
  <si>
    <t>0:45:06</t>
  </si>
  <si>
    <t>12500</t>
  </si>
  <si>
    <t>0.08</t>
  </si>
  <si>
    <t>0:46:59</t>
  </si>
  <si>
    <t>13000</t>
  </si>
  <si>
    <t>-0.02</t>
  </si>
  <si>
    <t>0:48:53</t>
  </si>
  <si>
    <t>13500</t>
  </si>
  <si>
    <t>3.71</t>
  </si>
  <si>
    <t>4:12</t>
  </si>
  <si>
    <t>0:50:59</t>
  </si>
  <si>
    <t>14000</t>
  </si>
  <si>
    <t>2.29</t>
  </si>
  <si>
    <t>0:53:00</t>
  </si>
  <si>
    <t>14500</t>
  </si>
  <si>
    <t>-5.12</t>
  </si>
  <si>
    <t>3:13</t>
  </si>
  <si>
    <t>0:54:37</t>
  </si>
  <si>
    <t>15000</t>
  </si>
  <si>
    <t>-0.25</t>
  </si>
  <si>
    <t>0:56:30</t>
  </si>
  <si>
    <t>15500</t>
  </si>
  <si>
    <t>-0.14</t>
  </si>
  <si>
    <t>0:58:23</t>
  </si>
  <si>
    <t>16000</t>
  </si>
  <si>
    <t>1:00:16</t>
  </si>
  <si>
    <t>16500</t>
  </si>
  <si>
    <t>1:02:12</t>
  </si>
  <si>
    <t>17000</t>
  </si>
  <si>
    <t>-0.94</t>
  </si>
  <si>
    <t>1:04:03</t>
  </si>
  <si>
    <t>17500</t>
  </si>
  <si>
    <t>-1.08</t>
  </si>
  <si>
    <t>1:05:53</t>
  </si>
  <si>
    <t>18000</t>
  </si>
  <si>
    <t>-1.23</t>
  </si>
  <si>
    <t>3:38</t>
  </si>
  <si>
    <t>1:07:42</t>
  </si>
  <si>
    <t>18500</t>
  </si>
  <si>
    <t>1:09:35</t>
  </si>
  <si>
    <t>19000</t>
  </si>
  <si>
    <t>1:11:27</t>
  </si>
  <si>
    <t>19500</t>
  </si>
  <si>
    <t>1:13:20</t>
  </si>
  <si>
    <t>20000</t>
  </si>
  <si>
    <t>1.75</t>
  </si>
  <si>
    <t>3:56</t>
  </si>
  <si>
    <t>1:15:19</t>
  </si>
  <si>
    <t>20500</t>
  </si>
  <si>
    <t>-0.91</t>
  </si>
  <si>
    <t>1:17:09</t>
  </si>
  <si>
    <t>21000</t>
  </si>
  <si>
    <t>-0.77</t>
  </si>
  <si>
    <t>3:41</t>
  </si>
  <si>
    <t>1:19:00</t>
  </si>
  <si>
    <t>21103</t>
  </si>
  <si>
    <t>1:19:24</t>
  </si>
  <si>
    <t>0.4</t>
  </si>
  <si>
    <t>2.6</t>
  </si>
  <si>
    <t>4.0</t>
  </si>
  <si>
    <t>5.3</t>
  </si>
  <si>
    <t>6.7</t>
  </si>
  <si>
    <t>7.8</t>
  </si>
  <si>
    <t>9.2</t>
  </si>
  <si>
    <t>10.4</t>
  </si>
  <si>
    <t>10.8</t>
  </si>
  <si>
    <t>11.8</t>
  </si>
  <si>
    <t>13.0</t>
  </si>
  <si>
    <t>14.4</t>
  </si>
  <si>
    <t>15.7</t>
  </si>
  <si>
    <t>17.1</t>
  </si>
  <si>
    <t>18.2</t>
  </si>
  <si>
    <t>19.6</t>
  </si>
  <si>
    <t>20.8</t>
  </si>
  <si>
    <t>21.1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</si>
</sst>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/>
    <font>
      <color theme="1"/>
      <name val="&quot;Roboto Flex&quot;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top style="thin">
        <color rgb="FFDEE2E6"/>
      </top>
      <bottom style="thin">
        <color rgb="FFDEE2E6"/>
      </bottom>
    </border>
    <border>
      <right style="thin">
        <color rgb="FFDEE2E6"/>
      </right>
      <top style="thin">
        <color rgb="FFDEE2E6"/>
      </top>
    </border>
    <border>
      <left style="thin">
        <color rgb="FFDEE2E6"/>
      </left>
      <right style="thin">
        <color rgb="FFDEE2E6"/>
      </right>
      <top style="thin">
        <color rgb="FFDEE2E6"/>
      </top>
    </border>
    <border>
      <left style="thin">
        <color rgb="FFDEE2E6"/>
      </left>
      <top style="thin">
        <color rgb="FFDEE2E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0" fontId="2" numFmtId="0" xfId="0" applyAlignment="1" applyBorder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0" fillId="0" fontId="2" numFmtId="20" xfId="0" applyFont="1" applyNumberFormat="1"/>
    <xf borderId="0" fillId="0" fontId="2" numFmtId="0" xfId="0" applyFont="1"/>
    <xf borderId="0" fillId="0" fontId="2" numFmtId="20" xfId="0" applyAlignment="1" applyFont="1" applyNumberFormat="1">
      <alignment readingOrder="0"/>
    </xf>
    <xf borderId="0" fillId="0" fontId="2" numFmtId="9" xfId="0" applyFont="1" applyNumberFormat="1"/>
    <xf borderId="2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horizontal="left" readingOrder="0" vertical="top"/>
    </xf>
    <xf borderId="3" fillId="0" fontId="3" numFmtId="21" xfId="0" applyAlignment="1" applyBorder="1" applyFont="1" applyNumberFormat="1">
      <alignment horizontal="left" readingOrder="0" vertical="top"/>
    </xf>
    <xf borderId="4" fillId="0" fontId="3" numFmtId="21" xfId="0" applyAlignment="1" applyBorder="1" applyFont="1" applyNumberFormat="1">
      <alignment horizontal="left" readingOrder="0" vertical="top"/>
    </xf>
    <xf borderId="5" fillId="0" fontId="3" numFmtId="0" xfId="0" applyAlignment="1" applyBorder="1" applyFont="1">
      <alignment horizontal="left" readingOrder="0" vertical="top"/>
    </xf>
    <xf borderId="6" fillId="0" fontId="3" numFmtId="0" xfId="0" applyAlignment="1" applyBorder="1" applyFont="1">
      <alignment horizontal="left" readingOrder="0" vertical="top"/>
    </xf>
    <xf borderId="6" fillId="0" fontId="5" numFmtId="0" xfId="0" applyAlignment="1" applyBorder="1" applyFont="1">
      <alignment horizontal="left" readingOrder="0" vertical="top"/>
    </xf>
    <xf borderId="6" fillId="0" fontId="3" numFmtId="21" xfId="0" applyAlignment="1" applyBorder="1" applyFont="1" applyNumberFormat="1">
      <alignment horizontal="left" readingOrder="0" vertical="top"/>
    </xf>
    <xf borderId="7" fillId="0" fontId="3" numFmtId="21" xfId="0" applyAlignment="1" applyBorder="1" applyFont="1" applyNumberFormat="1">
      <alignment horizontal="left" readingOrder="0" vertical="top"/>
    </xf>
    <xf borderId="0" fillId="0" fontId="2" numFmtId="46" xfId="0" applyAlignment="1" applyFont="1" applyNumberFormat="1">
      <alignment readingOrder="0"/>
    </xf>
    <xf borderId="0" fillId="0" fontId="2" numFmtId="10" xfId="0" applyFont="1" applyNumberFormat="1"/>
    <xf borderId="0" fillId="0" fontId="6" numFmtId="0" xfId="0" applyAlignment="1" applyFont="1">
      <alignment readingOrder="0" vertical="bottom"/>
    </xf>
    <xf borderId="0" fillId="0" fontId="6" numFmtId="10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21" xfId="0" applyAlignment="1" applyFont="1" applyNumberFormat="1">
      <alignment readingOrder="0" vertical="bottom"/>
    </xf>
    <xf borderId="0" fillId="0" fontId="7" numFmtId="10" xfId="0" applyAlignment="1" applyFont="1" applyNumberFormat="1">
      <alignment vertical="bottom"/>
    </xf>
    <xf borderId="0" fillId="0" fontId="7" numFmtId="10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7" numFmtId="21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7" numFmtId="0" xfId="0" applyFont="1"/>
    <xf borderId="0" fillId="0" fontId="7" numFmtId="10" xfId="0" applyFont="1" applyNumberFormat="1"/>
    <xf borderId="0" fillId="6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/>
    </xf>
    <xf borderId="0" fillId="6" fontId="2" numFmtId="0" xfId="0" applyFont="1"/>
    <xf borderId="8" fillId="7" fontId="1" numFmtId="0" xfId="0" applyAlignment="1" applyBorder="1" applyFill="1" applyFont="1">
      <alignment horizontal="center" readingOrder="0" vertical="center"/>
    </xf>
    <xf borderId="9" fillId="0" fontId="8" numFmtId="0" xfId="0" applyBorder="1" applyFont="1"/>
    <xf borderId="10" fillId="0" fontId="8" numFmtId="0" xfId="0" applyBorder="1" applyFont="1"/>
    <xf borderId="8" fillId="8" fontId="1" numFmtId="0" xfId="0" applyAlignment="1" applyBorder="1" applyFill="1" applyFont="1">
      <alignment horizontal="center" readingOrder="0"/>
    </xf>
    <xf borderId="0" fillId="6" fontId="2" numFmtId="0" xfId="0" applyAlignment="1" applyFont="1">
      <alignment readingOrder="0"/>
    </xf>
    <xf borderId="11" fillId="9" fontId="1" numFmtId="0" xfId="0" applyAlignment="1" applyBorder="1" applyFill="1" applyFont="1">
      <alignment readingOrder="0"/>
    </xf>
    <xf borderId="11" fillId="9" fontId="1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2" fillId="0" fontId="2" numFmtId="0" xfId="0" applyAlignment="1" applyBorder="1" applyFont="1">
      <alignment readingOrder="0"/>
    </xf>
    <xf borderId="13" fillId="0" fontId="2" numFmtId="164" xfId="0" applyBorder="1" applyFont="1" applyNumberFormat="1"/>
    <xf borderId="13" fillId="0" fontId="2" numFmtId="21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quotePrefix="1" borderId="13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quotePrefix="1" borderId="0" fillId="0" fontId="2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0" fillId="0" fontId="2" numFmtId="164" xfId="0" applyFont="1" applyNumberFormat="1"/>
    <xf borderId="16" fillId="0" fontId="2" numFmtId="0" xfId="0" applyBorder="1" applyFont="1"/>
    <xf borderId="17" fillId="0" fontId="2" numFmtId="0" xfId="0" applyAlignment="1" applyBorder="1" applyFont="1">
      <alignment readingOrder="0"/>
    </xf>
    <xf borderId="18" fillId="0" fontId="2" numFmtId="164" xfId="0" applyBorder="1" applyFont="1" applyNumberFormat="1"/>
    <xf borderId="18" fillId="0" fontId="2" numFmtId="0" xfId="0" applyBorder="1" applyFont="1"/>
    <xf borderId="19" fillId="0" fontId="2" numFmtId="0" xfId="0" applyBorder="1" applyFont="1"/>
    <xf borderId="0" fillId="6" fontId="1" numFmtId="0" xfId="0" applyFont="1"/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2" numFmtId="46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49" xfId="0" applyAlignment="1" applyFont="1" applyNumberFormat="1">
      <alignment readingOrder="0"/>
    </xf>
    <xf borderId="18" fillId="0" fontId="9" numFmtId="0" xfId="0" applyAlignment="1" applyBorder="1" applyFont="1">
      <alignment readingOrder="0" vertical="bottom"/>
    </xf>
    <xf borderId="18" fillId="0" fontId="10" numFmtId="46" xfId="0" applyAlignment="1" applyBorder="1" applyFont="1" applyNumberFormat="1">
      <alignment readingOrder="0" vertical="bottom"/>
    </xf>
    <xf borderId="18" fillId="0" fontId="9" numFmtId="21" xfId="0" applyAlignment="1" applyBorder="1" applyFont="1" applyNumberFormat="1">
      <alignment readingOrder="0" vertical="bottom"/>
    </xf>
    <xf borderId="18" fillId="0" fontId="9" numFmtId="4" xfId="0" applyAlignment="1" applyBorder="1" applyFont="1" applyNumberFormat="1">
      <alignment horizontal="right" readingOrder="0" vertical="bottom"/>
    </xf>
    <xf borderId="18" fillId="0" fontId="9" numFmtId="46" xfId="0" applyAlignment="1" applyBorder="1" applyFont="1" applyNumberFormat="1">
      <alignment readingOrder="0" vertical="bottom"/>
    </xf>
    <xf borderId="18" fillId="0" fontId="9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46" xfId="0" applyAlignment="1" applyFont="1" applyNumberFormat="1">
      <alignment readingOrder="0" vertical="bottom"/>
    </xf>
    <xf borderId="0" fillId="0" fontId="9" numFmtId="21" xfId="0" applyAlignment="1" applyFont="1" applyNumberFormat="1">
      <alignment readingOrder="0" vertical="bottom"/>
    </xf>
    <xf borderId="0" fillId="0" fontId="9" numFmtId="0" xfId="0" applyAlignment="1" applyFont="1">
      <alignment vertical="bottom"/>
    </xf>
    <xf borderId="1" fillId="0" fontId="2" numFmtId="1" xfId="0" applyBorder="1" applyFont="1" applyNumberFormat="1"/>
    <xf borderId="1" fillId="0" fontId="2" numFmtId="0" xfId="0" applyBorder="1" applyFont="1"/>
    <xf borderId="1" fillId="9" fontId="2" numFmtId="0" xfId="0" applyAlignment="1" applyBorder="1" applyFont="1">
      <alignment readingOrder="0"/>
    </xf>
    <xf borderId="9" fillId="9" fontId="1" numFmtId="0" xfId="0" applyAlignment="1" applyBorder="1" applyFont="1">
      <alignment readingOrder="0"/>
    </xf>
    <xf borderId="9" fillId="9" fontId="1" numFmtId="10" xfId="0" applyAlignment="1" applyBorder="1" applyFont="1" applyNumberFormat="1">
      <alignment readingOrder="0"/>
    </xf>
    <xf borderId="10" fillId="9" fontId="1" numFmtId="0" xfId="0" applyAlignment="1" applyBorder="1" applyFont="1">
      <alignment readingOrder="0"/>
    </xf>
    <xf borderId="20" fillId="9" fontId="9" numFmtId="0" xfId="0" applyAlignment="1" applyBorder="1" applyFont="1">
      <alignment readingOrder="0" vertical="bottom"/>
    </xf>
    <xf borderId="12" fillId="0" fontId="9" numFmtId="21" xfId="0" applyAlignment="1" applyBorder="1" applyFont="1" applyNumberFormat="1">
      <alignment readingOrder="0" vertical="bottom"/>
    </xf>
    <xf borderId="13" fillId="0" fontId="9" numFmtId="21" xfId="0" applyAlignment="1" applyBorder="1" applyFont="1" applyNumberFormat="1">
      <alignment readingOrder="0" vertical="bottom"/>
    </xf>
    <xf borderId="13" fillId="0" fontId="9" numFmtId="0" xfId="0" applyAlignment="1" applyBorder="1" applyFont="1">
      <alignment readingOrder="0" vertical="bottom"/>
    </xf>
    <xf borderId="13" fillId="0" fontId="9" numFmtId="10" xfId="0" applyAlignment="1" applyBorder="1" applyFont="1" applyNumberFormat="1">
      <alignment readingOrder="0" vertical="bottom"/>
    </xf>
    <xf borderId="14" fillId="0" fontId="9" numFmtId="0" xfId="0" applyAlignment="1" applyBorder="1" applyFont="1">
      <alignment readingOrder="0" vertical="bottom"/>
    </xf>
    <xf borderId="15" fillId="0" fontId="9" numFmtId="21" xfId="0" applyAlignment="1" applyBorder="1" applyFont="1" applyNumberFormat="1">
      <alignment readingOrder="0" vertical="bottom"/>
    </xf>
    <xf borderId="0" fillId="0" fontId="9" numFmtId="10" xfId="0" applyAlignment="1" applyFont="1" applyNumberFormat="1">
      <alignment vertical="bottom"/>
    </xf>
    <xf borderId="16" fillId="0" fontId="9" numFmtId="0" xfId="0" applyAlignment="1" applyBorder="1" applyFont="1">
      <alignment readingOrder="0" vertical="bottom"/>
    </xf>
    <xf borderId="0" fillId="0" fontId="9" numFmtId="10" xfId="0" applyAlignment="1" applyFont="1" applyNumberFormat="1">
      <alignment readingOrder="0" vertical="bottom"/>
    </xf>
    <xf borderId="0" fillId="0" fontId="10" numFmtId="10" xfId="0" applyAlignment="1" applyFont="1" applyNumberFormat="1">
      <alignment readingOrder="0" vertical="bottom"/>
    </xf>
    <xf borderId="8" fillId="9" fontId="2" numFmtId="21" xfId="0" applyAlignment="1" applyBorder="1" applyFont="1" applyNumberFormat="1">
      <alignment readingOrder="0"/>
    </xf>
    <xf borderId="9" fillId="9" fontId="2" numFmtId="21" xfId="0" applyAlignment="1" applyBorder="1" applyFont="1" applyNumberFormat="1">
      <alignment readingOrder="0"/>
    </xf>
    <xf borderId="9" fillId="9" fontId="2" numFmtId="0" xfId="0" applyAlignment="1" applyBorder="1" applyFont="1">
      <alignment readingOrder="0"/>
    </xf>
    <xf borderId="9" fillId="9" fontId="2" numFmtId="10" xfId="0" applyAlignment="1" applyBorder="1" applyFont="1" applyNumberFormat="1">
      <alignment readingOrder="0"/>
    </xf>
    <xf borderId="10" fillId="9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9" fontId="1" numFmtId="0" xfId="0" applyAlignment="1" applyBorder="1" applyFont="1">
      <alignment readingOrder="0"/>
    </xf>
    <xf quotePrefix="1" borderId="12" fillId="0" fontId="2" numFmtId="0" xfId="0" applyAlignment="1" applyBorder="1" applyFont="1">
      <alignment readingOrder="0"/>
    </xf>
    <xf borderId="13" fillId="0" fontId="2" numFmtId="3" xfId="0" applyAlignment="1" applyBorder="1" applyFont="1" applyNumberFormat="1">
      <alignment readingOrder="0"/>
    </xf>
    <xf quotePrefix="1" borderId="14" fillId="0" fontId="2" numFmtId="0" xfId="0" applyAlignment="1" applyBorder="1" applyFont="1">
      <alignment readingOrder="0"/>
    </xf>
    <xf quotePrefix="1" borderId="15" fillId="0" fontId="2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quotePrefix="1" borderId="16" fillId="0" fontId="2" numFmtId="0" xfId="0" applyAlignment="1" applyBorder="1" applyFont="1">
      <alignment readingOrder="0"/>
    </xf>
    <xf quotePrefix="1" borderId="17" fillId="0" fontId="2" numFmtId="0" xfId="0" applyAlignment="1" applyBorder="1" applyFont="1">
      <alignment readingOrder="0"/>
    </xf>
    <xf quotePrefix="1" borderId="18" fillId="0" fontId="2" numFmtId="0" xfId="0" applyAlignment="1" applyBorder="1" applyFont="1">
      <alignment readingOrder="0"/>
    </xf>
    <xf borderId="18" fillId="0" fontId="2" numFmtId="3" xfId="0" applyAlignment="1" applyBorder="1" applyFont="1" applyNumberFormat="1">
      <alignment readingOrder="0"/>
    </xf>
    <xf quotePrefix="1" borderId="19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Arial"/>
              </a:defRPr>
            </a:pPr>
            <a:r>
              <a:rPr b="0" sz="1200">
                <a:solidFill>
                  <a:srgbClr val="757575"/>
                </a:solidFill>
                <a:latin typeface="Arial"/>
              </a:rPr>
              <a:t>Time at different speed during Marbella bike split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'Marbella Gear Analysis'!$G$2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'Marbella Gear Analysis'!$C$3:$C$16</c:f>
            </c:strRef>
          </c:cat>
          <c:val>
            <c:numRef>
              <c:f>'Marbella Gear Analysis'!$G$3:$G$16</c:f>
              <c:numCache/>
            </c:numRef>
          </c:val>
        </c:ser>
        <c:ser>
          <c:idx val="1"/>
          <c:order val="1"/>
          <c:tx>
            <c:strRef>
              <c:f>'Marbella Gear Analysis'!$C$2</c:f>
            </c:strRef>
          </c:tx>
          <c:cat>
            <c:strRef>
              <c:f>'Marbella Gear Analysis'!$C$3:$C$16</c:f>
            </c:strRef>
          </c:cat>
          <c:val>
            <c:numRef>
              <c:f>'Marbella Gear Analysis'!$C$3:$C$16</c:f>
              <c:numCache/>
            </c:numRef>
          </c:val>
        </c:ser>
        <c:axId val="732207756"/>
        <c:axId val="851101885"/>
      </c:barChart>
      <c:catAx>
        <c:axId val="732207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zone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101885"/>
      </c:catAx>
      <c:valAx>
        <c:axId val="851101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time spent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0775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914400</xdr:colOff>
      <xdr:row>3</xdr:row>
      <xdr:rowOff>133350</xdr:rowOff>
    </xdr:from>
    <xdr:ext cx="704850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ndurance-data.com/en/result/904/1884-megan-chapple/" TargetMode="External"/><Relationship Id="rId42" Type="http://schemas.openxmlformats.org/officeDocument/2006/relationships/hyperlink" Target="https://www.endurance-data.com/en/result/904/755-becky-woods/" TargetMode="External"/><Relationship Id="rId41" Type="http://schemas.openxmlformats.org/officeDocument/2006/relationships/hyperlink" Target="https://www.endurance-data.com/en/result/904/652-deborah-eckhouse/" TargetMode="External"/><Relationship Id="rId44" Type="http://schemas.openxmlformats.org/officeDocument/2006/relationships/hyperlink" Target="https://www.endurance-data.com/en/result/904/894-regan-hollioake/" TargetMode="External"/><Relationship Id="rId43" Type="http://schemas.openxmlformats.org/officeDocument/2006/relationships/hyperlink" Target="https://www.endurance-data.com/en/result/904/1797-michelle-krebs/" TargetMode="External"/><Relationship Id="rId46" Type="http://schemas.openxmlformats.org/officeDocument/2006/relationships/hyperlink" Target="https://www.endurance-data.com/en/result/904/502-lena-brunkhorst/" TargetMode="External"/><Relationship Id="rId45" Type="http://schemas.openxmlformats.org/officeDocument/2006/relationships/hyperlink" Target="https://www.endurance-data.com/en/result/904/1137-jordan-matthews/" TargetMode="External"/><Relationship Id="rId1" Type="http://schemas.openxmlformats.org/officeDocument/2006/relationships/hyperlink" Target="https://www.endurance-data.com/en/result/904/1-taylor-knibb/" TargetMode="External"/><Relationship Id="rId2" Type="http://schemas.openxmlformats.org/officeDocument/2006/relationships/hyperlink" Target="https://www.endurance-data.com/en/result/904/15-kat-matthews/" TargetMode="External"/><Relationship Id="rId3" Type="http://schemas.openxmlformats.org/officeDocument/2006/relationships/hyperlink" Target="https://www.endurance-data.com/en/result/904/33-imogen-simmonds/" TargetMode="External"/><Relationship Id="rId4" Type="http://schemas.openxmlformats.org/officeDocument/2006/relationships/hyperlink" Target="https://www.endurance-data.com/en/result/904/3-emma-pallant-browne/" TargetMode="External"/><Relationship Id="rId9" Type="http://schemas.openxmlformats.org/officeDocument/2006/relationships/hyperlink" Target="https://www.endurance-data.com/en/result/904/4-daniela-ryf/" TargetMode="External"/><Relationship Id="rId48" Type="http://schemas.openxmlformats.org/officeDocument/2006/relationships/hyperlink" Target="https://www.endurance-data.com/en/result/904/1798-laura-gray/" TargetMode="External"/><Relationship Id="rId47" Type="http://schemas.openxmlformats.org/officeDocument/2006/relationships/hyperlink" Target="https://www.endurance-data.com/en/result/904/1899-maisa-tuliniemi/" TargetMode="External"/><Relationship Id="rId49" Type="http://schemas.openxmlformats.org/officeDocument/2006/relationships/hyperlink" Target="https://www.endurance-data.com/en/result/904/385-stephanie-wunderle/" TargetMode="External"/><Relationship Id="rId5" Type="http://schemas.openxmlformats.org/officeDocument/2006/relationships/hyperlink" Target="https://www.endurance-data.com/en/result/904/2-paula-findlay/" TargetMode="External"/><Relationship Id="rId6" Type="http://schemas.openxmlformats.org/officeDocument/2006/relationships/hyperlink" Target="https://www.endurance-data.com/en/result/904/9-laura-philipp/" TargetMode="External"/><Relationship Id="rId7" Type="http://schemas.openxmlformats.org/officeDocument/2006/relationships/hyperlink" Target="https://www.endurance-data.com/en/result/904/16-marjolaine-pierre/" TargetMode="External"/><Relationship Id="rId8" Type="http://schemas.openxmlformats.org/officeDocument/2006/relationships/hyperlink" Target="https://www.endurance-data.com/en/result/904/34-amelia-watkinson/" TargetMode="External"/><Relationship Id="rId31" Type="http://schemas.openxmlformats.org/officeDocument/2006/relationships/hyperlink" Target="https://www.endurance-data.com/en/result/904/922-joanna-soltysiak-vrebac/" TargetMode="External"/><Relationship Id="rId30" Type="http://schemas.openxmlformats.org/officeDocument/2006/relationships/hyperlink" Target="https://www.endurance-data.com/en/result/904/2063-anne-sophie-pierre/" TargetMode="External"/><Relationship Id="rId33" Type="http://schemas.openxmlformats.org/officeDocument/2006/relationships/hyperlink" Target="https://www.endurance-data.com/en/result/904/20-rach-mcbride/" TargetMode="External"/><Relationship Id="rId32" Type="http://schemas.openxmlformats.org/officeDocument/2006/relationships/hyperlink" Target="https://www.endurance-data.com/en/result/904/40-emilie-morier/" TargetMode="External"/><Relationship Id="rId35" Type="http://schemas.openxmlformats.org/officeDocument/2006/relationships/hyperlink" Target="https://www.endurance-data.com/en/result/904/25-ai-ueda/" TargetMode="External"/><Relationship Id="rId34" Type="http://schemas.openxmlformats.org/officeDocument/2006/relationships/hyperlink" Target="https://www.endurance-data.com/en/result/904/54-nikita-paskiewiez/" TargetMode="External"/><Relationship Id="rId37" Type="http://schemas.openxmlformats.org/officeDocument/2006/relationships/hyperlink" Target="https://www.endurance-data.com/en/result/904/22-caroline-pohle/" TargetMode="External"/><Relationship Id="rId36" Type="http://schemas.openxmlformats.org/officeDocument/2006/relationships/hyperlink" Target="https://www.endurance-data.com/en/result/904/1151-katie-phipkin/" TargetMode="External"/><Relationship Id="rId39" Type="http://schemas.openxmlformats.org/officeDocument/2006/relationships/hyperlink" Target="https://www.endurance-data.com/en/result/904/1803-stephanie-clutterbuck/" TargetMode="External"/><Relationship Id="rId38" Type="http://schemas.openxmlformats.org/officeDocument/2006/relationships/hyperlink" Target="https://www.endurance-data.com/en/result/904/23-pamella-oliveira/" TargetMode="External"/><Relationship Id="rId20" Type="http://schemas.openxmlformats.org/officeDocument/2006/relationships/hyperlink" Target="https://www.endurance-data.com/en/result/904/8-jackie-hering/" TargetMode="External"/><Relationship Id="rId22" Type="http://schemas.openxmlformats.org/officeDocument/2006/relationships/hyperlink" Target="https://www.endurance-data.com/en/result/904/28-charlene-clavel/" TargetMode="External"/><Relationship Id="rId21" Type="http://schemas.openxmlformats.org/officeDocument/2006/relationships/hyperlink" Target="https://www.endurance-data.com/en/result/904/57-amy-cymerman/" TargetMode="External"/><Relationship Id="rId24" Type="http://schemas.openxmlformats.org/officeDocument/2006/relationships/hyperlink" Target="https://www.endurance-data.com/en/result/904/19-danielle-lewis/" TargetMode="External"/><Relationship Id="rId23" Type="http://schemas.openxmlformats.org/officeDocument/2006/relationships/hyperlink" Target="https://www.endurance-data.com/en/result/904/42-alexia-bailly/" TargetMode="External"/><Relationship Id="rId26" Type="http://schemas.openxmlformats.org/officeDocument/2006/relationships/hyperlink" Target="https://www.endurance-data.com/en/result/904/38-laura-jansen/" TargetMode="External"/><Relationship Id="rId25" Type="http://schemas.openxmlformats.org/officeDocument/2006/relationships/hyperlink" Target="https://www.endurance-data.com/en/result/904/24-anna-bergsten/" TargetMode="External"/><Relationship Id="rId28" Type="http://schemas.openxmlformats.org/officeDocument/2006/relationships/hyperlink" Target="https://www.endurance-data.com/en/result/904/49-justine-guerard/" TargetMode="External"/><Relationship Id="rId27" Type="http://schemas.openxmlformats.org/officeDocument/2006/relationships/hyperlink" Target="https://www.endurance-data.com/en/result/904/44-lottie-lucas/" TargetMode="External"/><Relationship Id="rId29" Type="http://schemas.openxmlformats.org/officeDocument/2006/relationships/hyperlink" Target="https://www.endurance-data.com/en/result/904/48-lisa-gerss/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s://www.endurance-data.com/en/result/904/1878-morgane-bussard/" TargetMode="External"/><Relationship Id="rId11" Type="http://schemas.openxmlformats.org/officeDocument/2006/relationships/hyperlink" Target="https://www.endurance-data.com/en/result/904/11-tamara-jewett/" TargetMode="External"/><Relationship Id="rId10" Type="http://schemas.openxmlformats.org/officeDocument/2006/relationships/hyperlink" Target="https://www.endurance-data.com/en/result/904/12-anne-reischmann/" TargetMode="External"/><Relationship Id="rId13" Type="http://schemas.openxmlformats.org/officeDocument/2006/relationships/hyperlink" Target="https://www.endurance-data.com/en/result/904/18-ellie-salthouse/" TargetMode="External"/><Relationship Id="rId12" Type="http://schemas.openxmlformats.org/officeDocument/2006/relationships/hyperlink" Target="https://www.endurance-data.com/en/result/904/45-kaidi-kivioja/" TargetMode="External"/><Relationship Id="rId15" Type="http://schemas.openxmlformats.org/officeDocument/2006/relationships/hyperlink" Target="https://www.endurance-data.com/en/result/904/35-giorgia-priarone/" TargetMode="External"/><Relationship Id="rId14" Type="http://schemas.openxmlformats.org/officeDocument/2006/relationships/hyperlink" Target="https://www.endurance-data.com/en/result/904/31-maja-stage-nielsen/" TargetMode="External"/><Relationship Id="rId17" Type="http://schemas.openxmlformats.org/officeDocument/2006/relationships/hyperlink" Target="https://www.endurance-data.com/en/result/904/47-tiina-pohjalainen/" TargetMode="External"/><Relationship Id="rId16" Type="http://schemas.openxmlformats.org/officeDocument/2006/relationships/hyperlink" Target="https://www.endurance-data.com/en/result/904/46-kate-curran/" TargetMode="External"/><Relationship Id="rId19" Type="http://schemas.openxmlformats.org/officeDocument/2006/relationships/hyperlink" Target="https://www.endurance-data.com/en/result/904/39-hannah-berry/" TargetMode="External"/><Relationship Id="rId18" Type="http://schemas.openxmlformats.org/officeDocument/2006/relationships/hyperlink" Target="https://www.endurance-data.com/en/result/904/26-olivia-mitchell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4.75"/>
  </cols>
  <sheetData>
    <row r="2">
      <c r="B2" s="1" t="s">
        <v>0</v>
      </c>
    </row>
    <row r="4">
      <c r="B4" s="2"/>
      <c r="C4" s="3" t="s">
        <v>1</v>
      </c>
    </row>
    <row r="5">
      <c r="B5" s="4"/>
      <c r="C5" s="3" t="s">
        <v>2</v>
      </c>
    </row>
    <row r="6">
      <c r="B6" s="5"/>
      <c r="C6" s="3" t="s">
        <v>3</v>
      </c>
    </row>
    <row r="7">
      <c r="B7" s="6"/>
      <c r="C7" s="3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3" max="5" width="16.0"/>
    <col customWidth="1" min="6" max="6" width="17.88"/>
    <col hidden="1" min="9" max="18" width="12.63"/>
  </cols>
  <sheetData>
    <row r="1">
      <c r="A1" s="64" t="s">
        <v>1038</v>
      </c>
      <c r="C1" s="64" t="s">
        <v>1039</v>
      </c>
      <c r="J1" s="65"/>
      <c r="K1" s="7"/>
      <c r="P1" s="66"/>
    </row>
    <row r="2">
      <c r="A2" s="7" t="s">
        <v>1040</v>
      </c>
      <c r="B2" s="7" t="s">
        <v>1041</v>
      </c>
      <c r="C2" s="7" t="s">
        <v>1042</v>
      </c>
      <c r="D2" s="7" t="s">
        <v>1043</v>
      </c>
      <c r="E2" s="7" t="s">
        <v>1044</v>
      </c>
      <c r="F2" s="7" t="s">
        <v>1045</v>
      </c>
      <c r="G2" s="7" t="s">
        <v>1046</v>
      </c>
      <c r="J2" s="65"/>
      <c r="K2" s="7" t="s">
        <v>1047</v>
      </c>
      <c r="P2" s="66" t="s">
        <v>1048</v>
      </c>
    </row>
    <row r="3">
      <c r="A3" s="10">
        <f t="shared" ref="A3:A141" si="1">MINUTE(J3)*60+SECOND(J3)</f>
        <v>61</v>
      </c>
      <c r="B3" s="67">
        <f t="shared" ref="B3:B141" si="2">P3</f>
        <v>37.58</v>
      </c>
      <c r="C3" s="68" t="str">
        <f t="shared" ref="C3:C16" si="3">D3&amp;"-"&amp;E3</f>
        <v>5-10</v>
      </c>
      <c r="D3" s="7">
        <v>5.0</v>
      </c>
      <c r="E3" s="7">
        <v>10.0</v>
      </c>
      <c r="F3" s="10">
        <f t="shared" ref="F3:F16" si="4">SUMIFS($A:$A, $B:$B, "&gt;="&amp;D3, $B:$B, "&lt;"&amp;E3)
</f>
        <v>91</v>
      </c>
      <c r="G3" s="24">
        <f t="shared" ref="G3:G16" si="5">F3/sum(F$3:F$16)</f>
        <v>0.01007528787</v>
      </c>
      <c r="I3" s="69" t="s">
        <v>223</v>
      </c>
      <c r="J3" s="70">
        <v>7.060185185185185E-4</v>
      </c>
      <c r="K3" s="71">
        <f>minute(J3)*60+SECOND(J3)</f>
        <v>61</v>
      </c>
      <c r="L3" s="71">
        <v>7.060185185185185E-4</v>
      </c>
      <c r="M3" s="69" t="s">
        <v>311</v>
      </c>
      <c r="N3" s="69" t="s">
        <v>311</v>
      </c>
      <c r="O3" s="69" t="s">
        <v>1049</v>
      </c>
      <c r="P3" s="72">
        <v>37.58</v>
      </c>
      <c r="Q3" s="69" t="s">
        <v>1050</v>
      </c>
      <c r="R3" s="69" t="s">
        <v>1051</v>
      </c>
    </row>
    <row r="4">
      <c r="A4" s="10">
        <f t="shared" si="1"/>
        <v>301</v>
      </c>
      <c r="B4" s="67">
        <f t="shared" si="2"/>
        <v>35.46</v>
      </c>
      <c r="C4" s="68" t="str">
        <f t="shared" si="3"/>
        <v>10-15</v>
      </c>
      <c r="D4" s="7">
        <v>10.0</v>
      </c>
      <c r="E4" s="7">
        <v>15.0</v>
      </c>
      <c r="F4" s="10">
        <f t="shared" si="4"/>
        <v>442</v>
      </c>
      <c r="G4" s="24">
        <f t="shared" si="5"/>
        <v>0.04893711249</v>
      </c>
      <c r="I4" s="69" t="s">
        <v>227</v>
      </c>
      <c r="J4" s="73">
        <v>0.0034837962962962965</v>
      </c>
      <c r="K4" s="71">
        <f>60*minute(J4)+SECOND(J4)</f>
        <v>301</v>
      </c>
      <c r="L4" s="71">
        <v>0.004189814814814815</v>
      </c>
      <c r="M4" s="69" t="s">
        <v>1052</v>
      </c>
      <c r="N4" s="69" t="s">
        <v>262</v>
      </c>
      <c r="O4" s="74">
        <f>+0.79 %</f>
        <v>0.0079</v>
      </c>
      <c r="P4" s="72">
        <v>35.46</v>
      </c>
      <c r="Q4" s="69" t="s">
        <v>1053</v>
      </c>
      <c r="R4" s="69" t="s">
        <v>295</v>
      </c>
    </row>
    <row r="5">
      <c r="A5" s="10">
        <f t="shared" si="1"/>
        <v>131</v>
      </c>
      <c r="B5" s="67">
        <f t="shared" si="2"/>
        <v>38.44</v>
      </c>
      <c r="C5" s="68" t="str">
        <f t="shared" si="3"/>
        <v>15-20</v>
      </c>
      <c r="D5" s="7">
        <v>15.0</v>
      </c>
      <c r="E5" s="7">
        <v>20.0</v>
      </c>
      <c r="F5" s="10">
        <f t="shared" si="4"/>
        <v>626</v>
      </c>
      <c r="G5" s="24">
        <f t="shared" si="5"/>
        <v>0.06930912312</v>
      </c>
      <c r="I5" s="69" t="s">
        <v>232</v>
      </c>
      <c r="J5" s="73">
        <v>0.0015162037037037036</v>
      </c>
      <c r="K5" s="71"/>
      <c r="L5" s="71">
        <v>0.005717592592592593</v>
      </c>
      <c r="M5" s="69" t="s">
        <v>1054</v>
      </c>
      <c r="N5" s="69" t="s">
        <v>1055</v>
      </c>
      <c r="O5" s="69" t="s">
        <v>269</v>
      </c>
      <c r="P5" s="72">
        <v>38.44</v>
      </c>
      <c r="Q5" s="69" t="s">
        <v>791</v>
      </c>
      <c r="R5" s="69" t="s">
        <v>534</v>
      </c>
    </row>
    <row r="6">
      <c r="A6" s="10">
        <f t="shared" si="1"/>
        <v>11</v>
      </c>
      <c r="B6" s="67">
        <f t="shared" si="2"/>
        <v>37.71</v>
      </c>
      <c r="C6" s="68" t="str">
        <f t="shared" si="3"/>
        <v>20-25</v>
      </c>
      <c r="D6" s="7">
        <v>20.0</v>
      </c>
      <c r="E6" s="7">
        <v>25.0</v>
      </c>
      <c r="F6" s="10">
        <f t="shared" si="4"/>
        <v>1224</v>
      </c>
      <c r="G6" s="24">
        <f t="shared" si="5"/>
        <v>0.1355181577</v>
      </c>
      <c r="I6" s="69" t="s">
        <v>238</v>
      </c>
      <c r="J6" s="73">
        <v>1.273148148148148E-4</v>
      </c>
      <c r="K6" s="71"/>
      <c r="L6" s="71">
        <v>0.005844907407407407</v>
      </c>
      <c r="M6" s="69" t="s">
        <v>228</v>
      </c>
      <c r="N6" s="69" t="s">
        <v>1056</v>
      </c>
      <c r="O6" s="74">
        <f>+0.6 %</f>
        <v>0.006</v>
      </c>
      <c r="P6" s="72">
        <v>37.71</v>
      </c>
      <c r="Q6" s="69" t="s">
        <v>1057</v>
      </c>
      <c r="R6" s="69" t="s">
        <v>295</v>
      </c>
    </row>
    <row r="7">
      <c r="A7" s="10">
        <f t="shared" si="1"/>
        <v>45</v>
      </c>
      <c r="B7" s="67">
        <f t="shared" si="2"/>
        <v>21.13</v>
      </c>
      <c r="C7" s="68" t="str">
        <f t="shared" si="3"/>
        <v>25-30</v>
      </c>
      <c r="D7" s="7">
        <v>25.0</v>
      </c>
      <c r="E7" s="7">
        <v>30.0</v>
      </c>
      <c r="F7" s="10">
        <f t="shared" si="4"/>
        <v>532</v>
      </c>
      <c r="G7" s="24">
        <f t="shared" si="5"/>
        <v>0.05890168291</v>
      </c>
      <c r="I7" s="69" t="s">
        <v>244</v>
      </c>
      <c r="J7" s="73">
        <v>5.208333333333333E-4</v>
      </c>
      <c r="K7" s="71"/>
      <c r="L7" s="71">
        <v>0.00636574074074074</v>
      </c>
      <c r="M7" s="69" t="s">
        <v>267</v>
      </c>
      <c r="N7" s="69" t="s">
        <v>1058</v>
      </c>
      <c r="O7" s="74">
        <f>+7.82 %</f>
        <v>0.0782</v>
      </c>
      <c r="P7" s="72">
        <v>21.13</v>
      </c>
      <c r="Q7" s="69" t="s">
        <v>1059</v>
      </c>
      <c r="R7" s="69" t="s">
        <v>1060</v>
      </c>
    </row>
    <row r="8">
      <c r="A8" s="10">
        <f t="shared" si="1"/>
        <v>76</v>
      </c>
      <c r="B8" s="67">
        <f t="shared" si="2"/>
        <v>22.67</v>
      </c>
      <c r="C8" s="68" t="str">
        <f t="shared" si="3"/>
        <v>30-35</v>
      </c>
      <c r="D8" s="7">
        <v>30.0</v>
      </c>
      <c r="E8" s="7">
        <v>35.0</v>
      </c>
      <c r="F8" s="10">
        <f t="shared" si="4"/>
        <v>1672</v>
      </c>
      <c r="G8" s="24">
        <f t="shared" si="5"/>
        <v>0.1851195748</v>
      </c>
      <c r="I8" s="69" t="s">
        <v>249</v>
      </c>
      <c r="J8" s="73">
        <v>8.796296296296296E-4</v>
      </c>
      <c r="K8" s="71"/>
      <c r="L8" s="71">
        <v>0.007256944444444444</v>
      </c>
      <c r="M8" s="69" t="s">
        <v>261</v>
      </c>
      <c r="N8" s="69" t="s">
        <v>1061</v>
      </c>
      <c r="O8" s="74">
        <f>+5.3 %</f>
        <v>0.053</v>
      </c>
      <c r="P8" s="72">
        <v>22.67</v>
      </c>
      <c r="Q8" s="69" t="s">
        <v>1062</v>
      </c>
      <c r="R8" s="69" t="s">
        <v>821</v>
      </c>
    </row>
    <row r="9">
      <c r="A9" s="10">
        <f t="shared" si="1"/>
        <v>84</v>
      </c>
      <c r="B9" s="67">
        <f t="shared" si="2"/>
        <v>36.26</v>
      </c>
      <c r="C9" s="68" t="str">
        <f t="shared" si="3"/>
        <v>35-40</v>
      </c>
      <c r="D9" s="7">
        <v>35.0</v>
      </c>
      <c r="E9" s="7">
        <v>40.0</v>
      </c>
      <c r="F9" s="10">
        <f t="shared" si="4"/>
        <v>1121</v>
      </c>
      <c r="G9" s="24">
        <f t="shared" si="5"/>
        <v>0.1241142604</v>
      </c>
      <c r="I9" s="69" t="s">
        <v>255</v>
      </c>
      <c r="J9" s="73">
        <v>9.722222222222222E-4</v>
      </c>
      <c r="K9" s="71"/>
      <c r="L9" s="71">
        <v>0.008240740740740741</v>
      </c>
      <c r="M9" s="69" t="s">
        <v>404</v>
      </c>
      <c r="N9" s="69" t="s">
        <v>1063</v>
      </c>
      <c r="O9" s="69" t="s">
        <v>1064</v>
      </c>
      <c r="P9" s="72">
        <v>36.26</v>
      </c>
      <c r="Q9" s="69" t="s">
        <v>1065</v>
      </c>
      <c r="R9" s="69" t="s">
        <v>271</v>
      </c>
    </row>
    <row r="10">
      <c r="A10" s="10">
        <f t="shared" si="1"/>
        <v>77</v>
      </c>
      <c r="B10" s="67">
        <f t="shared" si="2"/>
        <v>36.71</v>
      </c>
      <c r="C10" s="68" t="str">
        <f t="shared" si="3"/>
        <v>40-45</v>
      </c>
      <c r="D10" s="7">
        <v>40.0</v>
      </c>
      <c r="E10" s="7">
        <v>45.0</v>
      </c>
      <c r="F10" s="10">
        <f t="shared" si="4"/>
        <v>864</v>
      </c>
      <c r="G10" s="24">
        <f t="shared" si="5"/>
        <v>0.095659876</v>
      </c>
      <c r="I10" s="69" t="s">
        <v>260</v>
      </c>
      <c r="J10" s="73">
        <v>8.912037037037037E-4</v>
      </c>
      <c r="K10" s="71"/>
      <c r="L10" s="71">
        <v>0.009143518518518518</v>
      </c>
      <c r="M10" s="69" t="s">
        <v>474</v>
      </c>
      <c r="N10" s="69" t="s">
        <v>1066</v>
      </c>
      <c r="O10" s="74">
        <f>+0.43 %</f>
        <v>0.0043</v>
      </c>
      <c r="P10" s="72">
        <v>36.71</v>
      </c>
      <c r="Q10" s="69" t="s">
        <v>1067</v>
      </c>
      <c r="R10" s="69" t="s">
        <v>1068</v>
      </c>
    </row>
    <row r="11">
      <c r="A11" s="10">
        <f t="shared" si="1"/>
        <v>19</v>
      </c>
      <c r="B11" s="67">
        <f t="shared" si="2"/>
        <v>33.34</v>
      </c>
      <c r="C11" s="68" t="str">
        <f t="shared" si="3"/>
        <v>45-50</v>
      </c>
      <c r="D11" s="7">
        <v>45.0</v>
      </c>
      <c r="E11" s="7">
        <v>50.0</v>
      </c>
      <c r="F11" s="10">
        <f t="shared" si="4"/>
        <v>1164</v>
      </c>
      <c r="G11" s="24">
        <f t="shared" si="5"/>
        <v>0.1288751107</v>
      </c>
      <c r="I11" s="69" t="s">
        <v>266</v>
      </c>
      <c r="J11" s="73">
        <v>2.199074074074074E-4</v>
      </c>
      <c r="K11" s="71"/>
      <c r="L11" s="71">
        <v>0.009363425925925926</v>
      </c>
      <c r="M11" s="69" t="s">
        <v>399</v>
      </c>
      <c r="N11" s="69" t="s">
        <v>1069</v>
      </c>
      <c r="O11" s="74">
        <f>+1.69 %</f>
        <v>0.0169</v>
      </c>
      <c r="P11" s="72">
        <v>33.34</v>
      </c>
      <c r="Q11" s="69" t="s">
        <v>1070</v>
      </c>
      <c r="R11" s="69" t="s">
        <v>452</v>
      </c>
    </row>
    <row r="12">
      <c r="A12" s="10">
        <f t="shared" si="1"/>
        <v>169</v>
      </c>
      <c r="B12" s="67">
        <f t="shared" si="2"/>
        <v>22.13</v>
      </c>
      <c r="C12" s="68" t="str">
        <f t="shared" si="3"/>
        <v>50-55</v>
      </c>
      <c r="D12" s="7">
        <v>50.0</v>
      </c>
      <c r="E12" s="7">
        <v>55.0</v>
      </c>
      <c r="F12" s="10">
        <f t="shared" si="4"/>
        <v>533</v>
      </c>
      <c r="G12" s="24">
        <f t="shared" si="5"/>
        <v>0.05901240035</v>
      </c>
      <c r="I12" s="69" t="s">
        <v>272</v>
      </c>
      <c r="J12" s="73">
        <v>0.0019560185185185184</v>
      </c>
      <c r="K12" s="71"/>
      <c r="L12" s="71">
        <v>0.011331018518518518</v>
      </c>
      <c r="M12" s="69" t="s">
        <v>1071</v>
      </c>
      <c r="N12" s="69" t="s">
        <v>1072</v>
      </c>
      <c r="O12" s="74">
        <f>+7.31 %</f>
        <v>0.0731</v>
      </c>
      <c r="P12" s="72">
        <v>22.13</v>
      </c>
      <c r="Q12" s="69" t="s">
        <v>1073</v>
      </c>
      <c r="R12" s="69" t="s">
        <v>1074</v>
      </c>
    </row>
    <row r="13">
      <c r="A13" s="10">
        <f t="shared" si="1"/>
        <v>216</v>
      </c>
      <c r="B13" s="67">
        <f t="shared" si="2"/>
        <v>16.22</v>
      </c>
      <c r="C13" s="68" t="str">
        <f t="shared" si="3"/>
        <v>55-60</v>
      </c>
      <c r="D13" s="7">
        <v>55.0</v>
      </c>
      <c r="E13" s="7">
        <v>60.0</v>
      </c>
      <c r="F13" s="10">
        <f t="shared" si="4"/>
        <v>333</v>
      </c>
      <c r="G13" s="24">
        <f t="shared" si="5"/>
        <v>0.03686891054</v>
      </c>
      <c r="I13" s="69" t="s">
        <v>277</v>
      </c>
      <c r="J13" s="73">
        <v>0.0025</v>
      </c>
      <c r="K13" s="71"/>
      <c r="L13" s="71">
        <v>0.013831018518518519</v>
      </c>
      <c r="M13" s="69" t="s">
        <v>317</v>
      </c>
      <c r="N13" s="69" t="s">
        <v>1075</v>
      </c>
      <c r="O13" s="74">
        <f>+9.12 %</f>
        <v>0.0912</v>
      </c>
      <c r="P13" s="72">
        <v>16.22</v>
      </c>
      <c r="Q13" s="69" t="s">
        <v>1076</v>
      </c>
      <c r="R13" s="69" t="s">
        <v>484</v>
      </c>
    </row>
    <row r="14">
      <c r="A14" s="10">
        <f t="shared" si="1"/>
        <v>105</v>
      </c>
      <c r="B14" s="67">
        <f t="shared" si="2"/>
        <v>27.41</v>
      </c>
      <c r="C14" s="68" t="str">
        <f t="shared" si="3"/>
        <v>60-65</v>
      </c>
      <c r="D14" s="7">
        <v>60.0</v>
      </c>
      <c r="E14" s="7">
        <v>65.0</v>
      </c>
      <c r="F14" s="10">
        <f t="shared" si="4"/>
        <v>257</v>
      </c>
      <c r="G14" s="24">
        <f t="shared" si="5"/>
        <v>0.02845438441</v>
      </c>
      <c r="I14" s="69" t="s">
        <v>280</v>
      </c>
      <c r="J14" s="73">
        <v>0.0012152777777777778</v>
      </c>
      <c r="K14" s="71"/>
      <c r="L14" s="71">
        <v>0.01505787037037037</v>
      </c>
      <c r="M14" s="69" t="s">
        <v>434</v>
      </c>
      <c r="N14" s="69" t="s">
        <v>330</v>
      </c>
      <c r="O14" s="74">
        <f>+3.25 %</f>
        <v>0.0325</v>
      </c>
      <c r="P14" s="72">
        <v>27.41</v>
      </c>
      <c r="Q14" s="69" t="s">
        <v>1077</v>
      </c>
      <c r="R14" s="69" t="s">
        <v>751</v>
      </c>
    </row>
    <row r="15">
      <c r="A15" s="10">
        <f t="shared" si="1"/>
        <v>167</v>
      </c>
      <c r="B15" s="67">
        <f t="shared" si="2"/>
        <v>22.5</v>
      </c>
      <c r="C15" s="68" t="str">
        <f t="shared" si="3"/>
        <v>65-70</v>
      </c>
      <c r="D15" s="7">
        <v>65.0</v>
      </c>
      <c r="E15" s="7">
        <v>70.0</v>
      </c>
      <c r="F15" s="10">
        <f t="shared" si="4"/>
        <v>132</v>
      </c>
      <c r="G15" s="24">
        <f t="shared" si="5"/>
        <v>0.01461470328</v>
      </c>
      <c r="I15" s="69" t="s">
        <v>285</v>
      </c>
      <c r="J15" s="73">
        <v>0.0019328703703703704</v>
      </c>
      <c r="K15" s="71"/>
      <c r="L15" s="71">
        <v>0.01699074074074074</v>
      </c>
      <c r="M15" s="69" t="s">
        <v>1078</v>
      </c>
      <c r="N15" s="69" t="s">
        <v>1079</v>
      </c>
      <c r="O15" s="74">
        <f>+6.08 %</f>
        <v>0.0608</v>
      </c>
      <c r="P15" s="72">
        <v>22.5</v>
      </c>
      <c r="Q15" s="69" t="s">
        <v>1080</v>
      </c>
      <c r="R15" s="69" t="s">
        <v>811</v>
      </c>
    </row>
    <row r="16">
      <c r="A16" s="10">
        <f t="shared" si="1"/>
        <v>25</v>
      </c>
      <c r="B16" s="67">
        <f t="shared" si="2"/>
        <v>22.78</v>
      </c>
      <c r="C16" s="68" t="str">
        <f t="shared" si="3"/>
        <v>70-75</v>
      </c>
      <c r="D16" s="7">
        <v>70.0</v>
      </c>
      <c r="E16" s="7">
        <v>75.0</v>
      </c>
      <c r="F16" s="10">
        <f t="shared" si="4"/>
        <v>41</v>
      </c>
      <c r="G16" s="24">
        <f t="shared" si="5"/>
        <v>0.004539415412</v>
      </c>
      <c r="I16" s="69" t="s">
        <v>290</v>
      </c>
      <c r="J16" s="73">
        <v>2.8935185185185184E-4</v>
      </c>
      <c r="K16" s="71"/>
      <c r="L16" s="71">
        <v>0.017291666666666667</v>
      </c>
      <c r="M16" s="69" t="s">
        <v>497</v>
      </c>
      <c r="N16" s="69" t="s">
        <v>1081</v>
      </c>
      <c r="O16" s="74">
        <f>+5.9 %</f>
        <v>0.059</v>
      </c>
      <c r="P16" s="72">
        <v>22.78</v>
      </c>
      <c r="Q16" s="69" t="s">
        <v>1082</v>
      </c>
      <c r="R16" s="69" t="s">
        <v>805</v>
      </c>
    </row>
    <row r="17">
      <c r="A17" s="10">
        <f t="shared" si="1"/>
        <v>37</v>
      </c>
      <c r="B17" s="67">
        <f t="shared" si="2"/>
        <v>43.82</v>
      </c>
      <c r="I17" s="69" t="s">
        <v>296</v>
      </c>
      <c r="J17" s="73">
        <v>4.2824074074074075E-4</v>
      </c>
      <c r="K17" s="71"/>
      <c r="L17" s="71">
        <v>0.017719907407407406</v>
      </c>
      <c r="M17" s="69" t="s">
        <v>370</v>
      </c>
      <c r="N17" s="69" t="s">
        <v>1083</v>
      </c>
      <c r="O17" s="69" t="s">
        <v>1084</v>
      </c>
      <c r="P17" s="72">
        <v>43.82</v>
      </c>
      <c r="Q17" s="69" t="s">
        <v>1085</v>
      </c>
      <c r="R17" s="69" t="s">
        <v>1086</v>
      </c>
    </row>
    <row r="18">
      <c r="A18" s="10">
        <f t="shared" si="1"/>
        <v>67</v>
      </c>
      <c r="B18" s="67">
        <f t="shared" si="2"/>
        <v>45.86</v>
      </c>
      <c r="I18" s="69" t="s">
        <v>301</v>
      </c>
      <c r="J18" s="73">
        <v>7.754629629629629E-4</v>
      </c>
      <c r="K18" s="71"/>
      <c r="L18" s="71">
        <v>0.018506944444444444</v>
      </c>
      <c r="M18" s="69" t="s">
        <v>607</v>
      </c>
      <c r="N18" s="69" t="s">
        <v>1087</v>
      </c>
      <c r="O18" s="69" t="s">
        <v>1088</v>
      </c>
      <c r="P18" s="72">
        <v>45.86</v>
      </c>
      <c r="Q18" s="69" t="s">
        <v>1089</v>
      </c>
      <c r="R18" s="69" t="s">
        <v>543</v>
      </c>
    </row>
    <row r="19">
      <c r="A19" s="10">
        <f t="shared" si="1"/>
        <v>48</v>
      </c>
      <c r="B19" s="67">
        <f t="shared" si="2"/>
        <v>41.39</v>
      </c>
      <c r="I19" s="69" t="s">
        <v>305</v>
      </c>
      <c r="J19" s="73">
        <v>5.555555555555556E-4</v>
      </c>
      <c r="K19" s="71"/>
      <c r="L19" s="71">
        <v>0.0190625</v>
      </c>
      <c r="M19" s="69" t="s">
        <v>323</v>
      </c>
      <c r="N19" s="69" t="s">
        <v>1090</v>
      </c>
      <c r="O19" s="69" t="s">
        <v>877</v>
      </c>
      <c r="P19" s="72">
        <v>41.39</v>
      </c>
      <c r="Q19" s="69" t="s">
        <v>1091</v>
      </c>
      <c r="R19" s="69" t="s">
        <v>481</v>
      </c>
    </row>
    <row r="20">
      <c r="A20" s="10">
        <f t="shared" si="1"/>
        <v>11</v>
      </c>
      <c r="B20" s="67">
        <f t="shared" si="2"/>
        <v>46.93</v>
      </c>
      <c r="I20" s="69" t="s">
        <v>310</v>
      </c>
      <c r="J20" s="73">
        <v>1.273148148148148E-4</v>
      </c>
      <c r="K20" s="71"/>
      <c r="L20" s="71">
        <v>0.01920138888888889</v>
      </c>
      <c r="M20" s="69" t="s">
        <v>794</v>
      </c>
      <c r="N20" s="69" t="s">
        <v>1092</v>
      </c>
      <c r="O20" s="69" t="s">
        <v>1093</v>
      </c>
      <c r="P20" s="72">
        <v>46.93</v>
      </c>
      <c r="Q20" s="69" t="s">
        <v>1094</v>
      </c>
      <c r="R20" s="69" t="s">
        <v>1095</v>
      </c>
    </row>
    <row r="21">
      <c r="A21" s="10">
        <f t="shared" si="1"/>
        <v>65</v>
      </c>
      <c r="B21" s="67">
        <f t="shared" si="2"/>
        <v>26.3</v>
      </c>
      <c r="I21" s="69" t="s">
        <v>316</v>
      </c>
      <c r="J21" s="73">
        <v>7.523148148148148E-4</v>
      </c>
      <c r="K21" s="71"/>
      <c r="L21" s="71">
        <v>0.019953703703703703</v>
      </c>
      <c r="M21" s="69" t="s">
        <v>261</v>
      </c>
      <c r="N21" s="69" t="s">
        <v>1096</v>
      </c>
      <c r="O21" s="74">
        <f>+6.7 %</f>
        <v>0.067</v>
      </c>
      <c r="P21" s="72">
        <v>26.3</v>
      </c>
      <c r="Q21" s="69" t="s">
        <v>1097</v>
      </c>
      <c r="R21" s="69" t="s">
        <v>610</v>
      </c>
    </row>
    <row r="22">
      <c r="A22" s="10">
        <f t="shared" si="1"/>
        <v>69</v>
      </c>
      <c r="B22" s="67">
        <f t="shared" si="2"/>
        <v>31.91</v>
      </c>
      <c r="I22" s="69" t="s">
        <v>322</v>
      </c>
      <c r="J22" s="73">
        <v>7.986111111111112E-4</v>
      </c>
      <c r="K22" s="71"/>
      <c r="L22" s="71">
        <v>0.020763888888888887</v>
      </c>
      <c r="M22" s="69" t="s">
        <v>239</v>
      </c>
      <c r="N22" s="69" t="s">
        <v>1098</v>
      </c>
      <c r="O22" s="74">
        <f>+1.3 %</f>
        <v>0.013</v>
      </c>
      <c r="P22" s="72">
        <v>31.91</v>
      </c>
      <c r="Q22" s="69" t="s">
        <v>1099</v>
      </c>
      <c r="R22" s="69" t="s">
        <v>1100</v>
      </c>
    </row>
    <row r="23">
      <c r="A23" s="10">
        <f t="shared" si="1"/>
        <v>31</v>
      </c>
      <c r="B23" s="67">
        <f t="shared" si="2"/>
        <v>29.85</v>
      </c>
      <c r="I23" s="69" t="s">
        <v>328</v>
      </c>
      <c r="J23" s="73">
        <v>3.587962962962963E-4</v>
      </c>
      <c r="K23" s="71"/>
      <c r="L23" s="71">
        <v>0.021122685185185185</v>
      </c>
      <c r="M23" s="69" t="s">
        <v>620</v>
      </c>
      <c r="N23" s="69" t="s">
        <v>1101</v>
      </c>
      <c r="O23" s="74">
        <f>+3.88 %</f>
        <v>0.0388</v>
      </c>
      <c r="P23" s="72">
        <v>29.85</v>
      </c>
      <c r="Q23" s="69" t="s">
        <v>1102</v>
      </c>
      <c r="R23" s="69" t="s">
        <v>1103</v>
      </c>
    </row>
    <row r="24">
      <c r="A24" s="10">
        <f t="shared" si="1"/>
        <v>78</v>
      </c>
      <c r="B24" s="67">
        <f t="shared" si="2"/>
        <v>33.86</v>
      </c>
      <c r="I24" s="69" t="s">
        <v>334</v>
      </c>
      <c r="J24" s="73">
        <v>9.027777777777777E-4</v>
      </c>
      <c r="K24" s="71"/>
      <c r="L24" s="71">
        <v>0.022037037037037036</v>
      </c>
      <c r="M24" s="69" t="s">
        <v>765</v>
      </c>
      <c r="N24" s="69" t="s">
        <v>1104</v>
      </c>
      <c r="O24" s="74">
        <f>+1.18 %</f>
        <v>0.0118</v>
      </c>
      <c r="P24" s="72">
        <v>33.86</v>
      </c>
      <c r="Q24" s="69" t="s">
        <v>1105</v>
      </c>
      <c r="R24" s="69" t="s">
        <v>780</v>
      </c>
    </row>
    <row r="25">
      <c r="A25" s="10">
        <f t="shared" si="1"/>
        <v>168</v>
      </c>
      <c r="B25" s="67">
        <f t="shared" si="2"/>
        <v>13.15</v>
      </c>
      <c r="I25" s="69" t="s">
        <v>339</v>
      </c>
      <c r="J25" s="73">
        <v>0.0019444444444444444</v>
      </c>
      <c r="K25" s="71"/>
      <c r="L25" s="71">
        <v>0.023981481481481482</v>
      </c>
      <c r="M25" s="69" t="s">
        <v>813</v>
      </c>
      <c r="N25" s="69" t="s">
        <v>1106</v>
      </c>
      <c r="O25" s="74">
        <f>+13.4 %</f>
        <v>0.134</v>
      </c>
      <c r="P25" s="72">
        <v>13.15</v>
      </c>
      <c r="Q25" s="69" t="s">
        <v>1107</v>
      </c>
      <c r="R25" s="69" t="s">
        <v>1108</v>
      </c>
    </row>
    <row r="26">
      <c r="A26" s="10">
        <f t="shared" si="1"/>
        <v>86</v>
      </c>
      <c r="B26" s="67">
        <f t="shared" si="2"/>
        <v>15.79</v>
      </c>
      <c r="I26" s="69" t="s">
        <v>344</v>
      </c>
      <c r="J26" s="73">
        <v>9.953703703703704E-4</v>
      </c>
      <c r="K26" s="71"/>
      <c r="L26" s="71">
        <v>0.02497685185185185</v>
      </c>
      <c r="M26" s="69" t="s">
        <v>281</v>
      </c>
      <c r="N26" s="69" t="s">
        <v>1109</v>
      </c>
      <c r="O26" s="74">
        <f>+9.8 %</f>
        <v>0.098</v>
      </c>
      <c r="P26" s="72">
        <v>15.79</v>
      </c>
      <c r="Q26" s="69" t="s">
        <v>1110</v>
      </c>
      <c r="R26" s="69" t="s">
        <v>1111</v>
      </c>
    </row>
    <row r="27">
      <c r="A27" s="10">
        <f t="shared" si="1"/>
        <v>75</v>
      </c>
      <c r="B27" s="67">
        <f t="shared" si="2"/>
        <v>31.5</v>
      </c>
      <c r="I27" s="69" t="s">
        <v>349</v>
      </c>
      <c r="J27" s="73">
        <v>8.680555555555555E-4</v>
      </c>
      <c r="K27" s="71"/>
      <c r="L27" s="71">
        <v>0.02585648148148148</v>
      </c>
      <c r="M27" s="69" t="s">
        <v>229</v>
      </c>
      <c r="N27" s="69" t="s">
        <v>1112</v>
      </c>
      <c r="O27" s="74">
        <f>+1.94 %</f>
        <v>0.0194</v>
      </c>
      <c r="P27" s="72">
        <v>31.5</v>
      </c>
      <c r="Q27" s="69" t="s">
        <v>1113</v>
      </c>
      <c r="R27" s="69" t="s">
        <v>452</v>
      </c>
    </row>
    <row r="28">
      <c r="A28" s="10">
        <f t="shared" si="1"/>
        <v>85</v>
      </c>
      <c r="B28" s="67">
        <f t="shared" si="2"/>
        <v>10.89</v>
      </c>
      <c r="I28" s="69" t="s">
        <v>355</v>
      </c>
      <c r="J28" s="73">
        <v>9.837962962962962E-4</v>
      </c>
      <c r="K28" s="71"/>
      <c r="L28" s="71">
        <v>0.026851851851851852</v>
      </c>
      <c r="M28" s="69" t="s">
        <v>620</v>
      </c>
      <c r="N28" s="69" t="s">
        <v>1114</v>
      </c>
      <c r="O28" s="74">
        <f>+17.89 %</f>
        <v>0.1789</v>
      </c>
      <c r="P28" s="72">
        <v>10.89</v>
      </c>
      <c r="Q28" s="69" t="s">
        <v>1115</v>
      </c>
      <c r="R28" s="69" t="s">
        <v>671</v>
      </c>
    </row>
    <row r="29">
      <c r="A29" s="10">
        <f t="shared" si="1"/>
        <v>50</v>
      </c>
      <c r="B29" s="67">
        <f t="shared" si="2"/>
        <v>29.26</v>
      </c>
      <c r="I29" s="69" t="s">
        <v>359</v>
      </c>
      <c r="J29" s="73">
        <v>5.787037037037037E-4</v>
      </c>
      <c r="K29" s="71"/>
      <c r="L29" s="71">
        <v>0.027430555555555555</v>
      </c>
      <c r="M29" s="69" t="s">
        <v>1116</v>
      </c>
      <c r="N29" s="69" t="s">
        <v>1117</v>
      </c>
      <c r="O29" s="74">
        <f>+2.01 %</f>
        <v>0.0201</v>
      </c>
      <c r="P29" s="72">
        <v>29.26</v>
      </c>
      <c r="Q29" s="69" t="s">
        <v>1118</v>
      </c>
      <c r="R29" s="69" t="s">
        <v>338</v>
      </c>
    </row>
    <row r="30">
      <c r="A30" s="10">
        <f t="shared" si="1"/>
        <v>59</v>
      </c>
      <c r="B30" s="67">
        <f t="shared" si="2"/>
        <v>55.77</v>
      </c>
      <c r="I30" s="69" t="s">
        <v>364</v>
      </c>
      <c r="J30" s="73">
        <v>6.828703703703704E-4</v>
      </c>
      <c r="K30" s="71"/>
      <c r="L30" s="71">
        <v>0.028125</v>
      </c>
      <c r="M30" s="69" t="s">
        <v>725</v>
      </c>
      <c r="N30" s="69" t="s">
        <v>1119</v>
      </c>
      <c r="O30" s="69" t="s">
        <v>1120</v>
      </c>
      <c r="P30" s="72">
        <v>55.77</v>
      </c>
      <c r="Q30" s="69" t="s">
        <v>1121</v>
      </c>
      <c r="R30" s="69" t="s">
        <v>1122</v>
      </c>
    </row>
    <row r="31">
      <c r="A31" s="10">
        <f t="shared" si="1"/>
        <v>36</v>
      </c>
      <c r="B31" s="67">
        <f t="shared" si="2"/>
        <v>51.27</v>
      </c>
      <c r="I31" s="69" t="s">
        <v>369</v>
      </c>
      <c r="J31" s="73">
        <v>4.166666666666667E-4</v>
      </c>
      <c r="K31" s="71"/>
      <c r="L31" s="71">
        <v>0.028541666666666667</v>
      </c>
      <c r="M31" s="69" t="s">
        <v>1123</v>
      </c>
      <c r="N31" s="69" t="s">
        <v>1124</v>
      </c>
      <c r="O31" s="69" t="s">
        <v>1125</v>
      </c>
      <c r="P31" s="72">
        <v>51.27</v>
      </c>
      <c r="Q31" s="69" t="s">
        <v>1126</v>
      </c>
      <c r="R31" s="69" t="s">
        <v>1127</v>
      </c>
    </row>
    <row r="32">
      <c r="A32" s="10">
        <f t="shared" si="1"/>
        <v>152</v>
      </c>
      <c r="B32" s="67">
        <f t="shared" si="2"/>
        <v>50.03</v>
      </c>
      <c r="I32" s="69" t="s">
        <v>375</v>
      </c>
      <c r="J32" s="73">
        <v>0.0017592592592592592</v>
      </c>
      <c r="K32" s="71"/>
      <c r="L32" s="71">
        <v>0.0303125</v>
      </c>
      <c r="M32" s="69" t="s">
        <v>1128</v>
      </c>
      <c r="N32" s="69" t="s">
        <v>1129</v>
      </c>
      <c r="O32" s="69" t="s">
        <v>1130</v>
      </c>
      <c r="P32" s="72">
        <v>50.03</v>
      </c>
      <c r="Q32" s="69" t="s">
        <v>1131</v>
      </c>
      <c r="R32" s="69" t="s">
        <v>1132</v>
      </c>
    </row>
    <row r="33">
      <c r="A33" s="10">
        <f t="shared" si="1"/>
        <v>40</v>
      </c>
      <c r="B33" s="67">
        <f t="shared" si="2"/>
        <v>53.71</v>
      </c>
      <c r="I33" s="69" t="s">
        <v>381</v>
      </c>
      <c r="J33" s="73">
        <v>4.62962962962963E-4</v>
      </c>
      <c r="K33" s="71"/>
      <c r="L33" s="71">
        <v>0.030787037037037036</v>
      </c>
      <c r="M33" s="69" t="s">
        <v>813</v>
      </c>
      <c r="N33" s="69" t="s">
        <v>414</v>
      </c>
      <c r="O33" s="69" t="s">
        <v>1133</v>
      </c>
      <c r="P33" s="72">
        <v>53.71</v>
      </c>
      <c r="Q33" s="69" t="s">
        <v>1134</v>
      </c>
      <c r="R33" s="69" t="s">
        <v>685</v>
      </c>
    </row>
    <row r="34">
      <c r="A34" s="10">
        <f t="shared" si="1"/>
        <v>103</v>
      </c>
      <c r="B34" s="67">
        <f t="shared" si="2"/>
        <v>12.69</v>
      </c>
      <c r="I34" s="69" t="s">
        <v>385</v>
      </c>
      <c r="J34" s="73">
        <v>0.0011921296296296296</v>
      </c>
      <c r="K34" s="71"/>
      <c r="L34" s="71">
        <v>0.03199074074074074</v>
      </c>
      <c r="M34" s="69" t="s">
        <v>382</v>
      </c>
      <c r="N34" s="69" t="s">
        <v>1135</v>
      </c>
      <c r="O34" s="74">
        <f>+15.67 %</f>
        <v>0.1567</v>
      </c>
      <c r="P34" s="72">
        <v>12.69</v>
      </c>
      <c r="Q34" s="69" t="s">
        <v>1136</v>
      </c>
      <c r="R34" s="69" t="s">
        <v>1137</v>
      </c>
    </row>
    <row r="35">
      <c r="A35" s="10">
        <f t="shared" si="1"/>
        <v>19</v>
      </c>
      <c r="B35" s="67">
        <f t="shared" si="2"/>
        <v>33.88</v>
      </c>
      <c r="I35" s="69" t="s">
        <v>388</v>
      </c>
      <c r="J35" s="73">
        <v>2.199074074074074E-4</v>
      </c>
      <c r="K35" s="71"/>
      <c r="L35" s="71">
        <v>0.03221064814814815</v>
      </c>
      <c r="M35" s="69" t="s">
        <v>360</v>
      </c>
      <c r="N35" s="69" t="s">
        <v>1138</v>
      </c>
      <c r="O35" s="69" t="s">
        <v>1139</v>
      </c>
      <c r="P35" s="72">
        <v>33.88</v>
      </c>
      <c r="Q35" s="69" t="s">
        <v>1140</v>
      </c>
      <c r="R35" s="69" t="s">
        <v>1141</v>
      </c>
    </row>
    <row r="36">
      <c r="A36" s="10">
        <f t="shared" si="1"/>
        <v>79</v>
      </c>
      <c r="B36" s="67">
        <f t="shared" si="2"/>
        <v>59.38</v>
      </c>
      <c r="I36" s="69" t="s">
        <v>393</v>
      </c>
      <c r="J36" s="73">
        <v>9.143518518518518E-4</v>
      </c>
      <c r="K36" s="71"/>
      <c r="L36" s="71">
        <v>0.033136574074074075</v>
      </c>
      <c r="M36" s="69" t="s">
        <v>1142</v>
      </c>
      <c r="N36" s="69" t="s">
        <v>1143</v>
      </c>
      <c r="O36" s="69" t="s">
        <v>1144</v>
      </c>
      <c r="P36" s="72">
        <v>59.38</v>
      </c>
      <c r="Q36" s="69" t="s">
        <v>1145</v>
      </c>
      <c r="R36" s="69" t="s">
        <v>1122</v>
      </c>
    </row>
    <row r="37">
      <c r="A37" s="10">
        <f t="shared" si="1"/>
        <v>10</v>
      </c>
      <c r="B37" s="67">
        <f t="shared" si="2"/>
        <v>60.91</v>
      </c>
      <c r="I37" s="69" t="s">
        <v>398</v>
      </c>
      <c r="J37" s="73">
        <v>1.1574074074074075E-4</v>
      </c>
      <c r="K37" s="71"/>
      <c r="L37" s="71">
        <v>0.03325231481481482</v>
      </c>
      <c r="M37" s="69" t="s">
        <v>399</v>
      </c>
      <c r="N37" s="69" t="s">
        <v>1146</v>
      </c>
      <c r="O37" s="69" t="s">
        <v>1120</v>
      </c>
      <c r="P37" s="72">
        <v>60.91</v>
      </c>
      <c r="Q37" s="69" t="s">
        <v>1147</v>
      </c>
      <c r="R37" s="69" t="s">
        <v>1148</v>
      </c>
    </row>
    <row r="38">
      <c r="A38" s="10">
        <f t="shared" si="1"/>
        <v>52</v>
      </c>
      <c r="B38" s="67">
        <f t="shared" si="2"/>
        <v>39.92</v>
      </c>
      <c r="I38" s="69" t="s">
        <v>403</v>
      </c>
      <c r="J38" s="73">
        <v>6.018518518518519E-4</v>
      </c>
      <c r="K38" s="71"/>
      <c r="L38" s="71">
        <v>0.03386574074074074</v>
      </c>
      <c r="M38" s="69" t="s">
        <v>1149</v>
      </c>
      <c r="N38" s="69" t="s">
        <v>1150</v>
      </c>
      <c r="O38" s="74">
        <f>+1.29 %</f>
        <v>0.0129</v>
      </c>
      <c r="P38" s="72">
        <v>39.92</v>
      </c>
      <c r="Q38" s="69" t="s">
        <v>1151</v>
      </c>
      <c r="R38" s="69" t="s">
        <v>1100</v>
      </c>
    </row>
    <row r="39">
      <c r="A39" s="10">
        <f t="shared" si="1"/>
        <v>12</v>
      </c>
      <c r="B39" s="67">
        <f t="shared" si="2"/>
        <v>31.74</v>
      </c>
      <c r="I39" s="69" t="s">
        <v>407</v>
      </c>
      <c r="J39" s="73">
        <v>1.388888888888889E-4</v>
      </c>
      <c r="K39" s="71"/>
      <c r="L39" s="71">
        <v>0.0340162037037037</v>
      </c>
      <c r="M39" s="69" t="s">
        <v>419</v>
      </c>
      <c r="N39" s="69" t="s">
        <v>1152</v>
      </c>
      <c r="O39" s="74">
        <f>+2.99 %</f>
        <v>0.0299</v>
      </c>
      <c r="P39" s="72">
        <v>31.74</v>
      </c>
      <c r="Q39" s="69" t="s">
        <v>1153</v>
      </c>
      <c r="R39" s="69" t="s">
        <v>1154</v>
      </c>
    </row>
    <row r="40">
      <c r="A40" s="10">
        <f t="shared" si="1"/>
        <v>8</v>
      </c>
      <c r="B40" s="67">
        <f t="shared" si="2"/>
        <v>51.7</v>
      </c>
      <c r="I40" s="69" t="s">
        <v>412</v>
      </c>
      <c r="J40" s="73">
        <v>9.259259259259259E-5</v>
      </c>
      <c r="K40" s="71"/>
      <c r="L40" s="71">
        <v>0.0341087962962963</v>
      </c>
      <c r="M40" s="69" t="s">
        <v>1155</v>
      </c>
      <c r="N40" s="69" t="s">
        <v>1156</v>
      </c>
      <c r="O40" s="69" t="s">
        <v>1157</v>
      </c>
      <c r="P40" s="72">
        <v>51.7</v>
      </c>
      <c r="Q40" s="69" t="s">
        <v>1158</v>
      </c>
      <c r="R40" s="69" t="s">
        <v>321</v>
      </c>
    </row>
    <row r="41">
      <c r="A41" s="10">
        <f t="shared" si="1"/>
        <v>25</v>
      </c>
      <c r="B41" s="67">
        <f t="shared" si="2"/>
        <v>69.88</v>
      </c>
      <c r="I41" s="69" t="s">
        <v>418</v>
      </c>
      <c r="J41" s="73">
        <v>2.8935185185185184E-4</v>
      </c>
      <c r="K41" s="71"/>
      <c r="L41" s="71">
        <v>0.03439814814814815</v>
      </c>
      <c r="M41" s="69" t="s">
        <v>653</v>
      </c>
      <c r="N41" s="69" t="s">
        <v>1159</v>
      </c>
      <c r="O41" s="69" t="s">
        <v>1160</v>
      </c>
      <c r="P41" s="72">
        <v>69.88</v>
      </c>
      <c r="Q41" s="69" t="s">
        <v>1161</v>
      </c>
      <c r="R41" s="69" t="s">
        <v>518</v>
      </c>
    </row>
    <row r="42">
      <c r="A42" s="10">
        <f t="shared" si="1"/>
        <v>16</v>
      </c>
      <c r="B42" s="67">
        <f t="shared" si="2"/>
        <v>64.53</v>
      </c>
      <c r="I42" s="69" t="s">
        <v>424</v>
      </c>
      <c r="J42" s="73">
        <v>1.8518518518518518E-4</v>
      </c>
      <c r="K42" s="71"/>
      <c r="L42" s="71">
        <v>0.03459490740740741</v>
      </c>
      <c r="M42" s="69" t="s">
        <v>291</v>
      </c>
      <c r="N42" s="69" t="s">
        <v>1162</v>
      </c>
      <c r="O42" s="69" t="s">
        <v>1163</v>
      </c>
      <c r="P42" s="72">
        <v>64.53</v>
      </c>
      <c r="Q42" s="69" t="s">
        <v>1164</v>
      </c>
      <c r="R42" s="69" t="s">
        <v>1165</v>
      </c>
    </row>
    <row r="43">
      <c r="A43" s="10">
        <f t="shared" si="1"/>
        <v>31</v>
      </c>
      <c r="B43" s="67">
        <f t="shared" si="2"/>
        <v>44.61</v>
      </c>
      <c r="I43" s="69" t="s">
        <v>427</v>
      </c>
      <c r="J43" s="73">
        <v>3.587962962962963E-4</v>
      </c>
      <c r="K43" s="71"/>
      <c r="L43" s="71">
        <v>0.0349537037037037</v>
      </c>
      <c r="M43" s="69" t="s">
        <v>286</v>
      </c>
      <c r="N43" s="69" t="s">
        <v>1166</v>
      </c>
      <c r="O43" s="74">
        <f>+0.63 %</f>
        <v>0.0063</v>
      </c>
      <c r="P43" s="72">
        <v>44.61</v>
      </c>
      <c r="Q43" s="69" t="s">
        <v>1167</v>
      </c>
      <c r="R43" s="69" t="s">
        <v>333</v>
      </c>
    </row>
    <row r="44">
      <c r="A44" s="10">
        <f t="shared" si="1"/>
        <v>17</v>
      </c>
      <c r="B44" s="67">
        <f t="shared" si="2"/>
        <v>34.86</v>
      </c>
      <c r="I44" s="69" t="s">
        <v>433</v>
      </c>
      <c r="J44" s="73">
        <v>1.9675925925925926E-4</v>
      </c>
      <c r="K44" s="71"/>
      <c r="L44" s="71">
        <v>0.03516203703703704</v>
      </c>
      <c r="M44" s="69" t="s">
        <v>468</v>
      </c>
      <c r="N44" s="69" t="s">
        <v>1168</v>
      </c>
      <c r="O44" s="74">
        <f>+1.47 %</f>
        <v>0.0147</v>
      </c>
      <c r="P44" s="72">
        <v>34.86</v>
      </c>
      <c r="Q44" s="69" t="s">
        <v>1169</v>
      </c>
      <c r="R44" s="69" t="s">
        <v>1170</v>
      </c>
    </row>
    <row r="45">
      <c r="A45" s="10">
        <f t="shared" si="1"/>
        <v>57</v>
      </c>
      <c r="B45" s="67">
        <f t="shared" si="2"/>
        <v>17.51</v>
      </c>
      <c r="I45" s="69" t="s">
        <v>437</v>
      </c>
      <c r="J45" s="73">
        <v>6.597222222222222E-4</v>
      </c>
      <c r="K45" s="71"/>
      <c r="L45" s="71">
        <v>0.035833333333333335</v>
      </c>
      <c r="M45" s="69" t="s">
        <v>350</v>
      </c>
      <c r="N45" s="69" t="s">
        <v>1171</v>
      </c>
      <c r="O45" s="74">
        <f>+9.33 %</f>
        <v>0.0933</v>
      </c>
      <c r="P45" s="72">
        <v>17.51</v>
      </c>
      <c r="Q45" s="69" t="s">
        <v>1172</v>
      </c>
      <c r="R45" s="69" t="s">
        <v>1173</v>
      </c>
    </row>
    <row r="46">
      <c r="A46" s="10">
        <f t="shared" si="1"/>
        <v>54</v>
      </c>
      <c r="B46" s="67">
        <f t="shared" si="2"/>
        <v>44.26</v>
      </c>
      <c r="I46" s="69" t="s">
        <v>440</v>
      </c>
      <c r="J46" s="73">
        <v>6.25E-4</v>
      </c>
      <c r="K46" s="71"/>
      <c r="L46" s="71">
        <v>0.036458333333333336</v>
      </c>
      <c r="M46" s="69" t="s">
        <v>335</v>
      </c>
      <c r="N46" s="69" t="s">
        <v>1174</v>
      </c>
      <c r="O46" s="69" t="s">
        <v>1175</v>
      </c>
      <c r="P46" s="72">
        <v>44.26</v>
      </c>
      <c r="Q46" s="69" t="s">
        <v>1176</v>
      </c>
      <c r="R46" s="69" t="s">
        <v>1177</v>
      </c>
    </row>
    <row r="47">
      <c r="A47" s="10">
        <f t="shared" si="1"/>
        <v>71</v>
      </c>
      <c r="B47" s="67">
        <f t="shared" si="2"/>
        <v>33.15</v>
      </c>
      <c r="I47" s="69" t="s">
        <v>444</v>
      </c>
      <c r="J47" s="73">
        <v>8.217592592592593E-4</v>
      </c>
      <c r="K47" s="71"/>
      <c r="L47" s="71">
        <v>0.03729166666666667</v>
      </c>
      <c r="M47" s="69" t="s">
        <v>229</v>
      </c>
      <c r="N47" s="69" t="s">
        <v>1178</v>
      </c>
      <c r="O47" s="74">
        <f>+2.73 %</f>
        <v>0.0273</v>
      </c>
      <c r="P47" s="72">
        <v>33.15</v>
      </c>
      <c r="Q47" s="69" t="s">
        <v>1179</v>
      </c>
      <c r="R47" s="69" t="s">
        <v>276</v>
      </c>
    </row>
    <row r="48">
      <c r="A48" s="10">
        <f t="shared" si="1"/>
        <v>71</v>
      </c>
      <c r="B48" s="67">
        <f t="shared" si="2"/>
        <v>49.22</v>
      </c>
      <c r="I48" s="69" t="s">
        <v>449</v>
      </c>
      <c r="J48" s="73">
        <v>8.217592592592593E-4</v>
      </c>
      <c r="K48" s="71"/>
      <c r="L48" s="71">
        <v>0.038125</v>
      </c>
      <c r="M48" s="69" t="s">
        <v>678</v>
      </c>
      <c r="N48" s="69" t="s">
        <v>1180</v>
      </c>
      <c r="O48" s="69" t="s">
        <v>1181</v>
      </c>
      <c r="P48" s="72">
        <v>49.22</v>
      </c>
      <c r="Q48" s="69" t="s">
        <v>326</v>
      </c>
      <c r="R48" s="69" t="s">
        <v>685</v>
      </c>
    </row>
    <row r="49">
      <c r="A49" s="10">
        <f t="shared" si="1"/>
        <v>27</v>
      </c>
      <c r="B49" s="67">
        <f t="shared" si="2"/>
        <v>56.56</v>
      </c>
      <c r="I49" s="69" t="s">
        <v>453</v>
      </c>
      <c r="J49" s="73">
        <v>3.125E-4</v>
      </c>
      <c r="K49" s="71"/>
      <c r="L49" s="71">
        <v>0.0384375</v>
      </c>
      <c r="M49" s="69" t="s">
        <v>576</v>
      </c>
      <c r="N49" s="69" t="s">
        <v>1182</v>
      </c>
      <c r="O49" s="69" t="s">
        <v>1183</v>
      </c>
      <c r="P49" s="72">
        <v>56.56</v>
      </c>
      <c r="Q49" s="69" t="s">
        <v>1184</v>
      </c>
      <c r="R49" s="69" t="s">
        <v>1185</v>
      </c>
    </row>
    <row r="50">
      <c r="A50" s="10">
        <f t="shared" si="1"/>
        <v>140</v>
      </c>
      <c r="B50" s="67">
        <f t="shared" si="2"/>
        <v>20.92</v>
      </c>
      <c r="I50" s="69" t="s">
        <v>458</v>
      </c>
      <c r="J50" s="73">
        <v>0.0016203703703703703</v>
      </c>
      <c r="K50" s="71"/>
      <c r="L50" s="71">
        <v>0.04005787037037037</v>
      </c>
      <c r="M50" s="69" t="s">
        <v>486</v>
      </c>
      <c r="N50" s="69" t="s">
        <v>1186</v>
      </c>
      <c r="O50" s="74">
        <f>+7.31 %</f>
        <v>0.0731</v>
      </c>
      <c r="P50" s="72">
        <v>20.92</v>
      </c>
      <c r="Q50" s="69" t="s">
        <v>1187</v>
      </c>
      <c r="R50" s="69" t="s">
        <v>711</v>
      </c>
    </row>
    <row r="51">
      <c r="A51" s="10">
        <f t="shared" si="1"/>
        <v>113</v>
      </c>
      <c r="B51" s="67">
        <f t="shared" si="2"/>
        <v>39.65</v>
      </c>
      <c r="I51" s="69" t="s">
        <v>462</v>
      </c>
      <c r="J51" s="73">
        <v>0.0013078703703703703</v>
      </c>
      <c r="K51" s="71"/>
      <c r="L51" s="71">
        <v>0.04137731481481482</v>
      </c>
      <c r="M51" s="69" t="s">
        <v>1188</v>
      </c>
      <c r="N51" s="69" t="s">
        <v>1189</v>
      </c>
      <c r="O51" s="69" t="s">
        <v>1190</v>
      </c>
      <c r="P51" s="72">
        <v>39.65</v>
      </c>
      <c r="Q51" s="69" t="s">
        <v>1191</v>
      </c>
      <c r="R51" s="69" t="s">
        <v>1192</v>
      </c>
    </row>
    <row r="52">
      <c r="A52" s="10">
        <f t="shared" si="1"/>
        <v>58</v>
      </c>
      <c r="B52" s="67">
        <f t="shared" si="2"/>
        <v>42.49</v>
      </c>
      <c r="I52" s="69" t="s">
        <v>467</v>
      </c>
      <c r="J52" s="73">
        <v>6.712962962962962E-4</v>
      </c>
      <c r="K52" s="71"/>
      <c r="L52" s="71">
        <v>0.04204861111111111</v>
      </c>
      <c r="M52" s="69" t="s">
        <v>691</v>
      </c>
      <c r="N52" s="69" t="s">
        <v>1193</v>
      </c>
      <c r="O52" s="69" t="s">
        <v>1194</v>
      </c>
      <c r="P52" s="72">
        <v>42.49</v>
      </c>
      <c r="Q52" s="69" t="s">
        <v>862</v>
      </c>
      <c r="R52" s="69" t="s">
        <v>1195</v>
      </c>
    </row>
    <row r="53">
      <c r="A53" s="10">
        <f t="shared" si="1"/>
        <v>9</v>
      </c>
      <c r="B53" s="67">
        <f t="shared" si="2"/>
        <v>41.97</v>
      </c>
      <c r="I53" s="69" t="s">
        <v>473</v>
      </c>
      <c r="J53" s="73">
        <v>1.0416666666666667E-4</v>
      </c>
      <c r="K53" s="71"/>
      <c r="L53" s="71">
        <v>0.04216435185185185</v>
      </c>
      <c r="M53" s="69" t="s">
        <v>419</v>
      </c>
      <c r="N53" s="69" t="s">
        <v>1196</v>
      </c>
      <c r="O53" s="69" t="s">
        <v>1197</v>
      </c>
      <c r="P53" s="72">
        <v>41.97</v>
      </c>
      <c r="Q53" s="69" t="s">
        <v>1198</v>
      </c>
      <c r="R53" s="69" t="s">
        <v>1199</v>
      </c>
    </row>
    <row r="54">
      <c r="A54" s="10">
        <f t="shared" si="1"/>
        <v>44</v>
      </c>
      <c r="B54" s="67">
        <f t="shared" si="2"/>
        <v>33.49</v>
      </c>
      <c r="I54" s="69" t="s">
        <v>477</v>
      </c>
      <c r="J54" s="73">
        <v>5.092592592592592E-4</v>
      </c>
      <c r="K54" s="71"/>
      <c r="L54" s="71">
        <v>0.042673611111111114</v>
      </c>
      <c r="M54" s="69" t="s">
        <v>1116</v>
      </c>
      <c r="N54" s="69" t="s">
        <v>1200</v>
      </c>
      <c r="O54" s="74">
        <f>+2.42 %</f>
        <v>0.0242</v>
      </c>
      <c r="P54" s="72">
        <v>33.49</v>
      </c>
      <c r="Q54" s="69" t="s">
        <v>1201</v>
      </c>
      <c r="R54" s="69" t="s">
        <v>656</v>
      </c>
    </row>
    <row r="55">
      <c r="A55" s="10">
        <f t="shared" si="1"/>
        <v>243</v>
      </c>
      <c r="B55" s="67">
        <f t="shared" si="2"/>
        <v>33.91</v>
      </c>
      <c r="I55" s="69" t="s">
        <v>482</v>
      </c>
      <c r="J55" s="73">
        <v>0.0028125</v>
      </c>
      <c r="K55" s="71"/>
      <c r="L55" s="71">
        <v>0.04549768518518518</v>
      </c>
      <c r="M55" s="69" t="s">
        <v>1202</v>
      </c>
      <c r="N55" s="69" t="s">
        <v>1203</v>
      </c>
      <c r="O55" s="74">
        <f>+1.63 %</f>
        <v>0.0163</v>
      </c>
      <c r="P55" s="72">
        <v>33.91</v>
      </c>
      <c r="Q55" s="69" t="s">
        <v>1204</v>
      </c>
      <c r="R55" s="69" t="s">
        <v>500</v>
      </c>
    </row>
    <row r="56">
      <c r="A56" s="10">
        <f t="shared" si="1"/>
        <v>191</v>
      </c>
      <c r="B56" s="67">
        <f t="shared" si="2"/>
        <v>46.26</v>
      </c>
      <c r="I56" s="69" t="s">
        <v>485</v>
      </c>
      <c r="J56" s="73">
        <v>0.002210648148148148</v>
      </c>
      <c r="K56" s="71"/>
      <c r="L56" s="71">
        <v>0.04770833333333333</v>
      </c>
      <c r="M56" s="69" t="s">
        <v>1205</v>
      </c>
      <c r="N56" s="69" t="s">
        <v>1206</v>
      </c>
      <c r="O56" s="69" t="s">
        <v>1207</v>
      </c>
      <c r="P56" s="72">
        <v>46.26</v>
      </c>
      <c r="Q56" s="69" t="s">
        <v>1208</v>
      </c>
      <c r="R56" s="69" t="s">
        <v>1209</v>
      </c>
    </row>
    <row r="57">
      <c r="A57" s="10">
        <f t="shared" si="1"/>
        <v>18</v>
      </c>
      <c r="B57" s="67">
        <f t="shared" si="2"/>
        <v>39.13</v>
      </c>
      <c r="I57" s="69" t="s">
        <v>491</v>
      </c>
      <c r="J57" s="73">
        <v>2.0833333333333335E-4</v>
      </c>
      <c r="K57" s="71"/>
      <c r="L57" s="71">
        <v>0.047928240740740743</v>
      </c>
      <c r="M57" s="69" t="s">
        <v>818</v>
      </c>
      <c r="N57" s="69" t="s">
        <v>1210</v>
      </c>
      <c r="O57" s="74">
        <f>+2.78 %</f>
        <v>0.0278</v>
      </c>
      <c r="P57" s="72">
        <v>39.13</v>
      </c>
      <c r="Q57" s="69" t="s">
        <v>1211</v>
      </c>
      <c r="R57" s="69" t="s">
        <v>284</v>
      </c>
    </row>
    <row r="58">
      <c r="A58" s="10">
        <f t="shared" si="1"/>
        <v>25</v>
      </c>
      <c r="B58" s="67">
        <f t="shared" si="2"/>
        <v>40.6</v>
      </c>
      <c r="I58" s="69" t="s">
        <v>496</v>
      </c>
      <c r="J58" s="73">
        <v>2.8935185185185184E-4</v>
      </c>
      <c r="K58" s="71"/>
      <c r="L58" s="71">
        <v>0.04821759259259259</v>
      </c>
      <c r="M58" s="69" t="s">
        <v>350</v>
      </c>
      <c r="N58" s="69" t="s">
        <v>1212</v>
      </c>
      <c r="O58" s="69" t="s">
        <v>1213</v>
      </c>
      <c r="P58" s="72">
        <v>40.6</v>
      </c>
      <c r="Q58" s="69" t="s">
        <v>1214</v>
      </c>
      <c r="R58" s="69" t="s">
        <v>1215</v>
      </c>
    </row>
    <row r="59">
      <c r="A59" s="10">
        <f t="shared" si="1"/>
        <v>50</v>
      </c>
      <c r="B59" s="67">
        <f t="shared" si="2"/>
        <v>68.37</v>
      </c>
      <c r="I59" s="69" t="s">
        <v>501</v>
      </c>
      <c r="J59" s="73">
        <v>5.787037037037037E-4</v>
      </c>
      <c r="K59" s="71"/>
      <c r="L59" s="71">
        <v>0.048796296296296296</v>
      </c>
      <c r="M59" s="69" t="s">
        <v>731</v>
      </c>
      <c r="N59" s="69" t="s">
        <v>1216</v>
      </c>
      <c r="O59" s="69" t="s">
        <v>1217</v>
      </c>
      <c r="P59" s="72">
        <v>68.37</v>
      </c>
      <c r="Q59" s="69" t="s">
        <v>1218</v>
      </c>
      <c r="R59" s="69" t="s">
        <v>321</v>
      </c>
    </row>
    <row r="60">
      <c r="A60" s="10">
        <f t="shared" si="1"/>
        <v>64</v>
      </c>
      <c r="B60" s="67">
        <f t="shared" si="2"/>
        <v>64.23</v>
      </c>
      <c r="I60" s="69" t="s">
        <v>507</v>
      </c>
      <c r="J60" s="73">
        <v>7.407407407407407E-4</v>
      </c>
      <c r="K60" s="71"/>
      <c r="L60" s="71">
        <v>0.04954861111111111</v>
      </c>
      <c r="M60" s="69" t="s">
        <v>641</v>
      </c>
      <c r="N60" s="69" t="s">
        <v>1219</v>
      </c>
      <c r="O60" s="69" t="s">
        <v>1220</v>
      </c>
      <c r="P60" s="72">
        <v>64.23</v>
      </c>
      <c r="Q60" s="69" t="s">
        <v>1221</v>
      </c>
      <c r="R60" s="69" t="s">
        <v>1222</v>
      </c>
    </row>
    <row r="61">
      <c r="A61" s="10">
        <f t="shared" si="1"/>
        <v>9</v>
      </c>
      <c r="B61" s="67">
        <f t="shared" si="2"/>
        <v>59.66</v>
      </c>
      <c r="I61" s="69" t="s">
        <v>510</v>
      </c>
      <c r="J61" s="73">
        <v>1.0416666666666667E-4</v>
      </c>
      <c r="K61" s="71"/>
      <c r="L61" s="71">
        <v>0.049652777777777775</v>
      </c>
      <c r="M61" s="69" t="s">
        <v>794</v>
      </c>
      <c r="N61" s="69" t="s">
        <v>1223</v>
      </c>
      <c r="O61" s="69" t="s">
        <v>1224</v>
      </c>
      <c r="P61" s="72">
        <v>59.66</v>
      </c>
      <c r="Q61" s="69" t="s">
        <v>1225</v>
      </c>
      <c r="R61" s="69" t="s">
        <v>1226</v>
      </c>
    </row>
    <row r="62">
      <c r="A62" s="10">
        <f t="shared" si="1"/>
        <v>151</v>
      </c>
      <c r="B62" s="67">
        <f t="shared" si="2"/>
        <v>32.04</v>
      </c>
      <c r="I62" s="69" t="s">
        <v>513</v>
      </c>
      <c r="J62" s="73">
        <v>0.0017476851851851852</v>
      </c>
      <c r="K62" s="71"/>
      <c r="L62" s="71">
        <v>0.051412037037037034</v>
      </c>
      <c r="M62" s="69" t="s">
        <v>1227</v>
      </c>
      <c r="N62" s="69" t="s">
        <v>1228</v>
      </c>
      <c r="O62" s="74">
        <f>+2.99 %</f>
        <v>0.0299</v>
      </c>
      <c r="P62" s="72">
        <v>32.04</v>
      </c>
      <c r="Q62" s="69" t="s">
        <v>1229</v>
      </c>
      <c r="R62" s="69" t="s">
        <v>706</v>
      </c>
    </row>
    <row r="63">
      <c r="A63" s="10">
        <f t="shared" si="1"/>
        <v>31</v>
      </c>
      <c r="B63" s="67">
        <f t="shared" si="2"/>
        <v>51.73</v>
      </c>
      <c r="I63" s="69" t="s">
        <v>519</v>
      </c>
      <c r="J63" s="73">
        <v>3.587962962962963E-4</v>
      </c>
      <c r="K63" s="71"/>
      <c r="L63" s="71">
        <v>0.05178240740740741</v>
      </c>
      <c r="M63" s="69" t="s">
        <v>1230</v>
      </c>
      <c r="N63" s="69" t="s">
        <v>1231</v>
      </c>
      <c r="O63" s="69" t="s">
        <v>1232</v>
      </c>
      <c r="P63" s="72">
        <v>51.73</v>
      </c>
      <c r="Q63" s="69" t="s">
        <v>1233</v>
      </c>
      <c r="R63" s="69" t="s">
        <v>1234</v>
      </c>
    </row>
    <row r="64">
      <c r="A64" s="10">
        <f t="shared" si="1"/>
        <v>20</v>
      </c>
      <c r="B64" s="67">
        <f t="shared" si="2"/>
        <v>58.96</v>
      </c>
      <c r="I64" s="69" t="s">
        <v>525</v>
      </c>
      <c r="J64" s="73">
        <v>2.314814814814815E-4</v>
      </c>
      <c r="K64" s="71"/>
      <c r="L64" s="71">
        <v>0.05201388888888889</v>
      </c>
      <c r="M64" s="69" t="s">
        <v>753</v>
      </c>
      <c r="N64" s="69" t="s">
        <v>1235</v>
      </c>
      <c r="O64" s="69" t="s">
        <v>1236</v>
      </c>
      <c r="P64" s="72">
        <v>58.96</v>
      </c>
      <c r="Q64" s="69" t="s">
        <v>1237</v>
      </c>
      <c r="R64" s="69" t="s">
        <v>1238</v>
      </c>
    </row>
    <row r="65">
      <c r="A65" s="10">
        <f t="shared" si="1"/>
        <v>87</v>
      </c>
      <c r="B65" s="67">
        <f t="shared" si="2"/>
        <v>34.91</v>
      </c>
      <c r="I65" s="69" t="s">
        <v>530</v>
      </c>
      <c r="J65" s="73">
        <v>0.0010069444444444444</v>
      </c>
      <c r="K65" s="71"/>
      <c r="L65" s="71">
        <v>0.053020833333333336</v>
      </c>
      <c r="M65" s="69" t="s">
        <v>404</v>
      </c>
      <c r="N65" s="69" t="s">
        <v>1239</v>
      </c>
      <c r="O65" s="74">
        <f>+2.52 %</f>
        <v>0.0252</v>
      </c>
      <c r="P65" s="72">
        <v>34.91</v>
      </c>
      <c r="Q65" s="69" t="s">
        <v>1240</v>
      </c>
      <c r="R65" s="69" t="s">
        <v>231</v>
      </c>
    </row>
    <row r="66">
      <c r="A66" s="10">
        <f t="shared" si="1"/>
        <v>25</v>
      </c>
      <c r="B66" s="67">
        <f t="shared" si="2"/>
        <v>27.39</v>
      </c>
      <c r="I66" s="69" t="s">
        <v>535</v>
      </c>
      <c r="J66" s="73">
        <v>2.8935185185185184E-4</v>
      </c>
      <c r="K66" s="71"/>
      <c r="L66" s="71">
        <v>0.053321759259259256</v>
      </c>
      <c r="M66" s="69" t="s">
        <v>818</v>
      </c>
      <c r="N66" s="69" t="s">
        <v>1241</v>
      </c>
      <c r="O66" s="74">
        <f>+4.71 %</f>
        <v>0.0471</v>
      </c>
      <c r="P66" s="72">
        <v>27.39</v>
      </c>
      <c r="Q66" s="69" t="s">
        <v>1242</v>
      </c>
      <c r="R66" s="69" t="s">
        <v>579</v>
      </c>
    </row>
    <row r="67">
      <c r="A67" s="10">
        <f t="shared" si="1"/>
        <v>329</v>
      </c>
      <c r="B67" s="67">
        <f t="shared" si="2"/>
        <v>45.11</v>
      </c>
      <c r="I67" s="69" t="s">
        <v>538</v>
      </c>
      <c r="J67" s="73">
        <v>0.0038078703703703703</v>
      </c>
      <c r="K67" s="71"/>
      <c r="L67" s="71">
        <v>0.05712962962962963</v>
      </c>
      <c r="M67" s="69" t="s">
        <v>1243</v>
      </c>
      <c r="N67" s="69" t="s">
        <v>1244</v>
      </c>
      <c r="O67" s="69" t="s">
        <v>1245</v>
      </c>
      <c r="P67" s="72">
        <v>45.11</v>
      </c>
      <c r="Q67" s="69" t="s">
        <v>1246</v>
      </c>
      <c r="R67" s="69" t="s">
        <v>1209</v>
      </c>
    </row>
    <row r="68">
      <c r="A68" s="10">
        <f t="shared" si="1"/>
        <v>11</v>
      </c>
      <c r="B68" s="67">
        <f t="shared" si="2"/>
        <v>31.93</v>
      </c>
      <c r="I68" s="69" t="s">
        <v>544</v>
      </c>
      <c r="J68" s="73">
        <v>1.273148148148148E-4</v>
      </c>
      <c r="K68" s="71"/>
      <c r="L68" s="71">
        <v>0.05726851851851852</v>
      </c>
      <c r="M68" s="69" t="s">
        <v>1247</v>
      </c>
      <c r="N68" s="69" t="s">
        <v>1248</v>
      </c>
      <c r="O68" s="69" t="s">
        <v>1249</v>
      </c>
      <c r="P68" s="72">
        <v>31.93</v>
      </c>
      <c r="Q68" s="69" t="s">
        <v>1250</v>
      </c>
      <c r="R68" s="69" t="s">
        <v>1251</v>
      </c>
    </row>
    <row r="69">
      <c r="A69" s="10">
        <f t="shared" si="1"/>
        <v>8</v>
      </c>
      <c r="B69" s="67">
        <f t="shared" si="2"/>
        <v>44.7</v>
      </c>
      <c r="I69" s="69" t="s">
        <v>548</v>
      </c>
      <c r="J69" s="73">
        <v>9.259259259259259E-5</v>
      </c>
      <c r="K69" s="71"/>
      <c r="L69" s="71">
        <v>0.057372685185185186</v>
      </c>
      <c r="M69" s="69" t="s">
        <v>419</v>
      </c>
      <c r="N69" s="69" t="s">
        <v>1252</v>
      </c>
      <c r="O69" s="69" t="s">
        <v>1253</v>
      </c>
      <c r="P69" s="72">
        <v>44.7</v>
      </c>
      <c r="Q69" s="69" t="s">
        <v>1254</v>
      </c>
      <c r="R69" s="69" t="s">
        <v>1255</v>
      </c>
    </row>
    <row r="70">
      <c r="A70" s="10">
        <f t="shared" si="1"/>
        <v>372</v>
      </c>
      <c r="B70" s="67">
        <f t="shared" si="2"/>
        <v>33.52</v>
      </c>
      <c r="I70" s="69" t="s">
        <v>553</v>
      </c>
      <c r="J70" s="73">
        <v>0.0043055555555555555</v>
      </c>
      <c r="K70" s="71"/>
      <c r="L70" s="71">
        <v>0.061689814814814815</v>
      </c>
      <c r="M70" s="69" t="s">
        <v>1256</v>
      </c>
      <c r="N70" s="69" t="s">
        <v>1257</v>
      </c>
      <c r="O70" s="74">
        <f>+2.54 %</f>
        <v>0.0254</v>
      </c>
      <c r="P70" s="72">
        <v>33.52</v>
      </c>
      <c r="Q70" s="69" t="s">
        <v>1258</v>
      </c>
      <c r="R70" s="69" t="s">
        <v>631</v>
      </c>
    </row>
    <row r="71">
      <c r="A71" s="10">
        <f t="shared" si="1"/>
        <v>20</v>
      </c>
      <c r="B71" s="67">
        <f t="shared" si="2"/>
        <v>35.09</v>
      </c>
      <c r="I71" s="69" t="s">
        <v>559</v>
      </c>
      <c r="J71" s="73">
        <v>2.314814814814815E-4</v>
      </c>
      <c r="K71" s="71"/>
      <c r="L71" s="71">
        <v>0.06193287037037037</v>
      </c>
      <c r="M71" s="69" t="s">
        <v>818</v>
      </c>
      <c r="N71" s="69" t="s">
        <v>1259</v>
      </c>
      <c r="O71" s="74">
        <f>+1.23 %</f>
        <v>0.0123</v>
      </c>
      <c r="P71" s="72">
        <v>35.09</v>
      </c>
      <c r="Q71" s="69" t="s">
        <v>1260</v>
      </c>
      <c r="R71" s="69" t="s">
        <v>1261</v>
      </c>
    </row>
    <row r="72">
      <c r="A72" s="10">
        <f t="shared" si="1"/>
        <v>44</v>
      </c>
      <c r="B72" s="67">
        <f t="shared" si="2"/>
        <v>51.82</v>
      </c>
      <c r="I72" s="69" t="s">
        <v>564</v>
      </c>
      <c r="J72" s="73">
        <v>5.092592592592592E-4</v>
      </c>
      <c r="K72" s="71"/>
      <c r="L72" s="71">
        <v>0.06244212962962963</v>
      </c>
      <c r="M72" s="69" t="s">
        <v>311</v>
      </c>
      <c r="N72" s="69" t="s">
        <v>1262</v>
      </c>
      <c r="O72" s="69" t="s">
        <v>1263</v>
      </c>
      <c r="P72" s="72">
        <v>51.82</v>
      </c>
      <c r="Q72" s="69" t="s">
        <v>1264</v>
      </c>
      <c r="R72" s="69" t="s">
        <v>466</v>
      </c>
    </row>
    <row r="73">
      <c r="A73" s="10">
        <f t="shared" si="1"/>
        <v>11</v>
      </c>
      <c r="B73" s="67">
        <f t="shared" si="2"/>
        <v>55.33</v>
      </c>
      <c r="I73" s="69" t="s">
        <v>569</v>
      </c>
      <c r="J73" s="73">
        <v>1.273148148148148E-4</v>
      </c>
      <c r="K73" s="71"/>
      <c r="L73" s="71">
        <v>0.06258101851851852</v>
      </c>
      <c r="M73" s="69" t="s">
        <v>399</v>
      </c>
      <c r="N73" s="69" t="s">
        <v>1265</v>
      </c>
      <c r="O73" s="69" t="s">
        <v>1266</v>
      </c>
      <c r="P73" s="72">
        <v>55.33</v>
      </c>
      <c r="Q73" s="69" t="s">
        <v>1267</v>
      </c>
      <c r="R73" s="69" t="s">
        <v>1268</v>
      </c>
    </row>
    <row r="74">
      <c r="A74" s="10">
        <f t="shared" si="1"/>
        <v>103</v>
      </c>
      <c r="B74" s="67">
        <f t="shared" si="2"/>
        <v>31</v>
      </c>
      <c r="I74" s="69" t="s">
        <v>575</v>
      </c>
      <c r="J74" s="73">
        <v>0.0011921296296296296</v>
      </c>
      <c r="K74" s="71"/>
      <c r="L74" s="71">
        <v>0.06377314814814815</v>
      </c>
      <c r="M74" s="69" t="s">
        <v>233</v>
      </c>
      <c r="N74" s="69" t="s">
        <v>1269</v>
      </c>
      <c r="O74" s="74">
        <f>+3.75 %</f>
        <v>0.0375</v>
      </c>
      <c r="P74" s="72">
        <v>31.0</v>
      </c>
      <c r="Q74" s="69" t="s">
        <v>1270</v>
      </c>
      <c r="R74" s="69" t="s">
        <v>1271</v>
      </c>
    </row>
    <row r="75">
      <c r="A75" s="10">
        <f t="shared" si="1"/>
        <v>29</v>
      </c>
      <c r="B75" s="67">
        <f t="shared" si="2"/>
        <v>19.5</v>
      </c>
      <c r="I75" s="69" t="s">
        <v>580</v>
      </c>
      <c r="J75" s="73">
        <v>3.356481481481481E-4</v>
      </c>
      <c r="K75" s="71"/>
      <c r="L75" s="71">
        <v>0.0641087962962963</v>
      </c>
      <c r="M75" s="69" t="s">
        <v>497</v>
      </c>
      <c r="N75" s="69" t="s">
        <v>1272</v>
      </c>
      <c r="O75" s="74">
        <f>+8.97 %</f>
        <v>0.0897</v>
      </c>
      <c r="P75" s="72">
        <v>19.5</v>
      </c>
      <c r="Q75" s="69" t="s">
        <v>1273</v>
      </c>
      <c r="R75" s="69" t="s">
        <v>610</v>
      </c>
    </row>
    <row r="76">
      <c r="A76" s="10">
        <f t="shared" si="1"/>
        <v>65</v>
      </c>
      <c r="B76" s="67">
        <f t="shared" si="2"/>
        <v>49.59</v>
      </c>
      <c r="I76" s="69" t="s">
        <v>584</v>
      </c>
      <c r="J76" s="73">
        <v>7.523148148148148E-4</v>
      </c>
      <c r="K76" s="71"/>
      <c r="L76" s="71">
        <v>0.06487268518518519</v>
      </c>
      <c r="M76" s="69" t="s">
        <v>560</v>
      </c>
      <c r="N76" s="69" t="s">
        <v>1274</v>
      </c>
      <c r="O76" s="69" t="s">
        <v>1275</v>
      </c>
      <c r="P76" s="72">
        <v>49.59</v>
      </c>
      <c r="Q76" s="69" t="s">
        <v>1276</v>
      </c>
      <c r="R76" s="69" t="s">
        <v>1277</v>
      </c>
    </row>
    <row r="77">
      <c r="A77" s="10">
        <f t="shared" si="1"/>
        <v>53</v>
      </c>
      <c r="B77" s="67">
        <f t="shared" si="2"/>
        <v>41.45</v>
      </c>
      <c r="I77" s="69" t="s">
        <v>590</v>
      </c>
      <c r="J77" s="73">
        <v>6.134259259259259E-4</v>
      </c>
      <c r="K77" s="71"/>
      <c r="L77" s="71">
        <v>0.06549768518518519</v>
      </c>
      <c r="M77" s="69" t="s">
        <v>239</v>
      </c>
      <c r="N77" s="69" t="s">
        <v>1278</v>
      </c>
      <c r="O77" s="74">
        <f>+1.4 %</f>
        <v>0.014</v>
      </c>
      <c r="P77" s="72">
        <v>41.45</v>
      </c>
      <c r="Q77" s="69" t="s">
        <v>1279</v>
      </c>
      <c r="R77" s="69" t="s">
        <v>457</v>
      </c>
    </row>
    <row r="78">
      <c r="A78" s="10">
        <f t="shared" si="1"/>
        <v>20</v>
      </c>
      <c r="B78" s="67">
        <f t="shared" si="2"/>
        <v>28.24</v>
      </c>
      <c r="I78" s="69" t="s">
        <v>594</v>
      </c>
      <c r="J78" s="73">
        <v>2.314814814814815E-4</v>
      </c>
      <c r="K78" s="71"/>
      <c r="L78" s="71">
        <v>0.06572916666666667</v>
      </c>
      <c r="M78" s="69" t="s">
        <v>497</v>
      </c>
      <c r="N78" s="69" t="s">
        <v>1280</v>
      </c>
      <c r="O78" s="74">
        <f>+6.03 %</f>
        <v>0.0603</v>
      </c>
      <c r="P78" s="72">
        <v>28.24</v>
      </c>
      <c r="Q78" s="69" t="s">
        <v>1281</v>
      </c>
      <c r="R78" s="69" t="s">
        <v>805</v>
      </c>
    </row>
    <row r="79">
      <c r="A79" s="10">
        <f t="shared" si="1"/>
        <v>173</v>
      </c>
      <c r="B79" s="67">
        <f t="shared" si="2"/>
        <v>22.09</v>
      </c>
      <c r="I79" s="69" t="s">
        <v>597</v>
      </c>
      <c r="J79" s="73">
        <v>0.002002314814814815</v>
      </c>
      <c r="K79" s="71"/>
      <c r="L79" s="71">
        <v>0.06773148148148148</v>
      </c>
      <c r="M79" s="69" t="s">
        <v>389</v>
      </c>
      <c r="N79" s="69" t="s">
        <v>1282</v>
      </c>
      <c r="O79" s="74">
        <f>+7.31 %</f>
        <v>0.0731</v>
      </c>
      <c r="P79" s="72">
        <v>22.09</v>
      </c>
      <c r="Q79" s="69" t="s">
        <v>1283</v>
      </c>
      <c r="R79" s="69" t="s">
        <v>671</v>
      </c>
    </row>
    <row r="80">
      <c r="A80" s="10">
        <f t="shared" si="1"/>
        <v>196</v>
      </c>
      <c r="B80" s="67">
        <f t="shared" si="2"/>
        <v>16.87</v>
      </c>
      <c r="I80" s="69" t="s">
        <v>601</v>
      </c>
      <c r="J80" s="73">
        <v>0.0022685185185185187</v>
      </c>
      <c r="K80" s="71"/>
      <c r="L80" s="71">
        <v>0.07001157407407407</v>
      </c>
      <c r="M80" s="69" t="s">
        <v>725</v>
      </c>
      <c r="N80" s="69" t="s">
        <v>1284</v>
      </c>
      <c r="O80" s="74">
        <f>+9.26 %</f>
        <v>0.0926</v>
      </c>
      <c r="P80" s="72">
        <v>16.87</v>
      </c>
      <c r="Q80" s="69" t="s">
        <v>1285</v>
      </c>
      <c r="R80" s="69" t="s">
        <v>1286</v>
      </c>
    </row>
    <row r="81">
      <c r="A81" s="10">
        <f t="shared" si="1"/>
        <v>26</v>
      </c>
      <c r="B81" s="67">
        <f t="shared" si="2"/>
        <v>26</v>
      </c>
      <c r="I81" s="69" t="s">
        <v>606</v>
      </c>
      <c r="J81" s="73">
        <v>3.0092592592592595E-4</v>
      </c>
      <c r="K81" s="71"/>
      <c r="L81" s="71">
        <v>0.07032407407407408</v>
      </c>
      <c r="M81" s="69" t="s">
        <v>360</v>
      </c>
      <c r="N81" s="69" t="s">
        <v>1287</v>
      </c>
      <c r="O81" s="74">
        <f>+3.19 %</f>
        <v>0.0319</v>
      </c>
      <c r="P81" s="72">
        <v>26.0</v>
      </c>
      <c r="Q81" s="69" t="s">
        <v>1288</v>
      </c>
      <c r="R81" s="69" t="s">
        <v>639</v>
      </c>
    </row>
    <row r="82">
      <c r="A82" s="10">
        <f t="shared" si="1"/>
        <v>59</v>
      </c>
      <c r="B82" s="67">
        <f t="shared" si="2"/>
        <v>45.62</v>
      </c>
      <c r="I82" s="69" t="s">
        <v>611</v>
      </c>
      <c r="J82" s="73">
        <v>6.828703703703704E-4</v>
      </c>
      <c r="K82" s="71"/>
      <c r="L82" s="71">
        <v>0.07101851851851852</v>
      </c>
      <c r="M82" s="69" t="s">
        <v>748</v>
      </c>
      <c r="N82" s="69" t="s">
        <v>1289</v>
      </c>
      <c r="O82" s="69" t="s">
        <v>1290</v>
      </c>
      <c r="P82" s="72">
        <v>45.62</v>
      </c>
      <c r="Q82" s="69" t="s">
        <v>1291</v>
      </c>
      <c r="R82" s="69" t="s">
        <v>1292</v>
      </c>
    </row>
    <row r="83">
      <c r="A83" s="10">
        <f t="shared" si="1"/>
        <v>72</v>
      </c>
      <c r="B83" s="67">
        <f t="shared" si="2"/>
        <v>40.74</v>
      </c>
      <c r="I83" s="69" t="s">
        <v>616</v>
      </c>
      <c r="J83" s="73">
        <v>8.333333333333334E-4</v>
      </c>
      <c r="K83" s="71"/>
      <c r="L83" s="71">
        <v>0.07185185185185185</v>
      </c>
      <c r="M83" s="69" t="s">
        <v>394</v>
      </c>
      <c r="N83" s="69" t="s">
        <v>1293</v>
      </c>
      <c r="O83" s="74">
        <f>+1.23 %</f>
        <v>0.0123</v>
      </c>
      <c r="P83" s="72">
        <v>40.74</v>
      </c>
      <c r="Q83" s="69" t="s">
        <v>1294</v>
      </c>
      <c r="R83" s="69" t="s">
        <v>1261</v>
      </c>
    </row>
    <row r="84">
      <c r="A84" s="10">
        <f t="shared" si="1"/>
        <v>64</v>
      </c>
      <c r="B84" s="67">
        <f t="shared" si="2"/>
        <v>40.14</v>
      </c>
      <c r="I84" s="69" t="s">
        <v>619</v>
      </c>
      <c r="J84" s="73">
        <v>7.407407407407407E-4</v>
      </c>
      <c r="K84" s="71"/>
      <c r="L84" s="71">
        <v>0.0725925925925926</v>
      </c>
      <c r="M84" s="69" t="s">
        <v>1295</v>
      </c>
      <c r="N84" s="69" t="s">
        <v>1296</v>
      </c>
      <c r="O84" s="74">
        <f>+0.62 %</f>
        <v>0.0062</v>
      </c>
      <c r="P84" s="72">
        <v>40.14</v>
      </c>
      <c r="Q84" s="69" t="s">
        <v>1297</v>
      </c>
      <c r="R84" s="69" t="s">
        <v>490</v>
      </c>
    </row>
    <row r="85">
      <c r="A85" s="10">
        <f t="shared" si="1"/>
        <v>44</v>
      </c>
      <c r="B85" s="67">
        <f t="shared" si="2"/>
        <v>33.82</v>
      </c>
      <c r="I85" s="69" t="s">
        <v>624</v>
      </c>
      <c r="J85" s="73">
        <v>5.092592592592592E-4</v>
      </c>
      <c r="K85" s="71"/>
      <c r="L85" s="71">
        <v>0.07311342592592593</v>
      </c>
      <c r="M85" s="69" t="s">
        <v>256</v>
      </c>
      <c r="N85" s="69" t="s">
        <v>1298</v>
      </c>
      <c r="O85" s="74">
        <f>+3.27 %</f>
        <v>0.0327</v>
      </c>
      <c r="P85" s="72">
        <v>33.82</v>
      </c>
      <c r="Q85" s="69" t="s">
        <v>1299</v>
      </c>
      <c r="R85" s="69" t="s">
        <v>639</v>
      </c>
    </row>
    <row r="86">
      <c r="A86" s="10">
        <f t="shared" si="1"/>
        <v>50</v>
      </c>
      <c r="B86" s="67">
        <f t="shared" si="2"/>
        <v>60.07</v>
      </c>
      <c r="I86" s="69" t="s">
        <v>629</v>
      </c>
      <c r="J86" s="73">
        <v>5.787037037037037E-4</v>
      </c>
      <c r="K86" s="71"/>
      <c r="L86" s="71">
        <v>0.07369212962962964</v>
      </c>
      <c r="M86" s="69" t="s">
        <v>612</v>
      </c>
      <c r="N86" s="69" t="s">
        <v>1300</v>
      </c>
      <c r="O86" s="69" t="s">
        <v>1301</v>
      </c>
      <c r="P86" s="72">
        <v>60.07</v>
      </c>
      <c r="Q86" s="69" t="s">
        <v>1302</v>
      </c>
      <c r="R86" s="69" t="s">
        <v>1303</v>
      </c>
    </row>
    <row r="87">
      <c r="A87" s="10">
        <f t="shared" si="1"/>
        <v>52</v>
      </c>
      <c r="B87" s="67">
        <f t="shared" si="2"/>
        <v>35.05</v>
      </c>
      <c r="I87" s="69" t="s">
        <v>632</v>
      </c>
      <c r="J87" s="73">
        <v>6.018518518518519E-4</v>
      </c>
      <c r="K87" s="71"/>
      <c r="L87" s="71">
        <v>0.07429398148148147</v>
      </c>
      <c r="M87" s="69" t="s">
        <v>454</v>
      </c>
      <c r="N87" s="69" t="s">
        <v>1304</v>
      </c>
      <c r="O87" s="74">
        <f>+5.36 %</f>
        <v>0.0536</v>
      </c>
      <c r="P87" s="72">
        <v>35.05</v>
      </c>
      <c r="Q87" s="69" t="s">
        <v>1305</v>
      </c>
      <c r="R87" s="69" t="s">
        <v>852</v>
      </c>
    </row>
    <row r="88">
      <c r="A88" s="10">
        <f t="shared" si="1"/>
        <v>42</v>
      </c>
      <c r="B88" s="67">
        <f t="shared" si="2"/>
        <v>32.91</v>
      </c>
      <c r="I88" s="69" t="s">
        <v>635</v>
      </c>
      <c r="J88" s="73">
        <v>4.861111111111111E-4</v>
      </c>
      <c r="K88" s="71"/>
      <c r="L88" s="71">
        <v>0.07479166666666667</v>
      </c>
      <c r="M88" s="69" t="s">
        <v>286</v>
      </c>
      <c r="N88" s="69" t="s">
        <v>1306</v>
      </c>
      <c r="O88" s="74">
        <f>+1.81 %</f>
        <v>0.0181</v>
      </c>
      <c r="P88" s="72">
        <v>32.91</v>
      </c>
      <c r="Q88" s="69" t="s">
        <v>1307</v>
      </c>
      <c r="R88" s="69" t="s">
        <v>500</v>
      </c>
    </row>
    <row r="89">
      <c r="A89" s="10">
        <f t="shared" si="1"/>
        <v>72</v>
      </c>
      <c r="B89" s="67">
        <f t="shared" si="2"/>
        <v>21.37</v>
      </c>
      <c r="I89" s="69" t="s">
        <v>640</v>
      </c>
      <c r="J89" s="73">
        <v>8.333333333333334E-4</v>
      </c>
      <c r="K89" s="71"/>
      <c r="L89" s="71">
        <v>0.07563657407407408</v>
      </c>
      <c r="M89" s="69" t="s">
        <v>576</v>
      </c>
      <c r="N89" s="69" t="s">
        <v>1308</v>
      </c>
      <c r="O89" s="74">
        <f>+7.63 %</f>
        <v>0.0763</v>
      </c>
      <c r="P89" s="72">
        <v>21.37</v>
      </c>
      <c r="Q89" s="69" t="s">
        <v>1309</v>
      </c>
      <c r="R89" s="69" t="s">
        <v>484</v>
      </c>
    </row>
    <row r="90">
      <c r="A90" s="10">
        <f t="shared" si="1"/>
        <v>50</v>
      </c>
      <c r="B90" s="67">
        <f t="shared" si="2"/>
        <v>44.72</v>
      </c>
      <c r="I90" s="69" t="s">
        <v>646</v>
      </c>
      <c r="J90" s="73">
        <v>5.787037037037037E-4</v>
      </c>
      <c r="K90" s="71"/>
      <c r="L90" s="71">
        <v>0.07622685185185185</v>
      </c>
      <c r="M90" s="69" t="s">
        <v>340</v>
      </c>
      <c r="N90" s="69" t="s">
        <v>1310</v>
      </c>
      <c r="O90" s="69" t="s">
        <v>1311</v>
      </c>
      <c r="P90" s="72">
        <v>44.72</v>
      </c>
      <c r="Q90" s="69" t="s">
        <v>1312</v>
      </c>
      <c r="R90" s="69" t="s">
        <v>1313</v>
      </c>
    </row>
    <row r="91">
      <c r="A91" s="10">
        <f t="shared" si="1"/>
        <v>84</v>
      </c>
      <c r="B91" s="67">
        <f t="shared" si="2"/>
        <v>34.86</v>
      </c>
      <c r="I91" s="69" t="s">
        <v>652</v>
      </c>
      <c r="J91" s="73">
        <v>9.722222222222222E-4</v>
      </c>
      <c r="K91" s="71"/>
      <c r="L91" s="71">
        <v>0.07719907407407407</v>
      </c>
      <c r="M91" s="69" t="s">
        <v>394</v>
      </c>
      <c r="N91" s="69" t="s">
        <v>1314</v>
      </c>
      <c r="O91" s="74">
        <f>+3.25 %</f>
        <v>0.0325</v>
      </c>
      <c r="P91" s="72">
        <v>34.86</v>
      </c>
      <c r="Q91" s="69" t="s">
        <v>1169</v>
      </c>
      <c r="R91" s="69" t="s">
        <v>751</v>
      </c>
    </row>
    <row r="92">
      <c r="A92" s="10">
        <f t="shared" si="1"/>
        <v>44</v>
      </c>
      <c r="B92" s="67">
        <f t="shared" si="2"/>
        <v>50.03</v>
      </c>
      <c r="I92" s="69" t="s">
        <v>657</v>
      </c>
      <c r="J92" s="73">
        <v>5.092592592592592E-4</v>
      </c>
      <c r="K92" s="71"/>
      <c r="L92" s="71">
        <v>0.07770833333333334</v>
      </c>
      <c r="M92" s="69" t="s">
        <v>813</v>
      </c>
      <c r="N92" s="69" t="s">
        <v>1315</v>
      </c>
      <c r="O92" s="69" t="s">
        <v>1316</v>
      </c>
      <c r="P92" s="72">
        <v>50.03</v>
      </c>
      <c r="Q92" s="69" t="s">
        <v>1131</v>
      </c>
      <c r="R92" s="69" t="s">
        <v>1317</v>
      </c>
    </row>
    <row r="93">
      <c r="A93" s="10">
        <f t="shared" si="1"/>
        <v>13</v>
      </c>
      <c r="B93" s="67">
        <f t="shared" si="2"/>
        <v>54.71</v>
      </c>
      <c r="I93" s="69" t="s">
        <v>660</v>
      </c>
      <c r="J93" s="73">
        <v>1.5046296296296297E-4</v>
      </c>
      <c r="K93" s="71"/>
      <c r="L93" s="71">
        <v>0.07787037037037037</v>
      </c>
      <c r="M93" s="69" t="s">
        <v>1318</v>
      </c>
      <c r="N93" s="69" t="s">
        <v>1319</v>
      </c>
      <c r="O93" s="69" t="s">
        <v>1320</v>
      </c>
      <c r="P93" s="72">
        <v>54.71</v>
      </c>
      <c r="Q93" s="69" t="s">
        <v>1321</v>
      </c>
      <c r="R93" s="69" t="s">
        <v>1322</v>
      </c>
    </row>
    <row r="94">
      <c r="A94" s="10">
        <f t="shared" si="1"/>
        <v>15</v>
      </c>
      <c r="B94" s="67">
        <f t="shared" si="2"/>
        <v>45.42</v>
      </c>
      <c r="I94" s="69" t="s">
        <v>663</v>
      </c>
      <c r="J94" s="73">
        <v>1.7361111111111112E-4</v>
      </c>
      <c r="K94" s="71"/>
      <c r="L94" s="71">
        <v>0.07805555555555556</v>
      </c>
      <c r="M94" s="69" t="s">
        <v>360</v>
      </c>
      <c r="N94" s="69" t="s">
        <v>1323</v>
      </c>
      <c r="O94" s="74">
        <f>+0.97 %</f>
        <v>0.0097</v>
      </c>
      <c r="P94" s="72">
        <v>45.42</v>
      </c>
      <c r="Q94" s="69" t="s">
        <v>1324</v>
      </c>
      <c r="R94" s="69" t="s">
        <v>315</v>
      </c>
    </row>
    <row r="95">
      <c r="A95" s="10">
        <f t="shared" si="1"/>
        <v>41</v>
      </c>
      <c r="B95" s="67">
        <f t="shared" si="2"/>
        <v>26.56</v>
      </c>
      <c r="I95" s="69" t="s">
        <v>668</v>
      </c>
      <c r="J95" s="73">
        <v>4.7453703703703704E-4</v>
      </c>
      <c r="K95" s="71"/>
      <c r="L95" s="71">
        <v>0.0785300925925926</v>
      </c>
      <c r="M95" s="69" t="s">
        <v>273</v>
      </c>
      <c r="N95" s="69" t="s">
        <v>1325</v>
      </c>
      <c r="O95" s="74">
        <f>+6.25 %</f>
        <v>0.0625</v>
      </c>
      <c r="P95" s="72">
        <v>26.56</v>
      </c>
      <c r="Q95" s="69" t="s">
        <v>1326</v>
      </c>
      <c r="R95" s="69" t="s">
        <v>838</v>
      </c>
    </row>
    <row r="96">
      <c r="A96" s="10">
        <f t="shared" si="1"/>
        <v>25</v>
      </c>
      <c r="B96" s="67">
        <f t="shared" si="2"/>
        <v>26.5</v>
      </c>
      <c r="I96" s="69" t="s">
        <v>672</v>
      </c>
      <c r="J96" s="73">
        <v>2.8935185185185184E-4</v>
      </c>
      <c r="K96" s="71"/>
      <c r="L96" s="71">
        <v>0.07883101851851852</v>
      </c>
      <c r="M96" s="69" t="s">
        <v>360</v>
      </c>
      <c r="N96" s="69" t="s">
        <v>1327</v>
      </c>
      <c r="O96" s="74">
        <f>+3.98 %</f>
        <v>0.0398</v>
      </c>
      <c r="P96" s="72">
        <v>26.5</v>
      </c>
      <c r="Q96" s="69" t="s">
        <v>1328</v>
      </c>
      <c r="R96" s="69" t="s">
        <v>1103</v>
      </c>
    </row>
    <row r="97">
      <c r="A97" s="10">
        <f t="shared" si="1"/>
        <v>11</v>
      </c>
      <c r="B97" s="67">
        <f t="shared" si="2"/>
        <v>31.6</v>
      </c>
      <c r="I97" s="69" t="s">
        <v>677</v>
      </c>
      <c r="J97" s="73">
        <v>1.273148148148148E-4</v>
      </c>
      <c r="K97" s="71"/>
      <c r="L97" s="71">
        <v>0.0789699074074074</v>
      </c>
      <c r="M97" s="69" t="s">
        <v>1247</v>
      </c>
      <c r="N97" s="69" t="s">
        <v>1329</v>
      </c>
      <c r="O97" s="74">
        <f>+0.62 %</f>
        <v>0.0062</v>
      </c>
      <c r="P97" s="72">
        <v>31.6</v>
      </c>
      <c r="Q97" s="69" t="s">
        <v>1330</v>
      </c>
      <c r="R97" s="69" t="s">
        <v>651</v>
      </c>
    </row>
    <row r="98">
      <c r="A98" s="10">
        <f t="shared" si="1"/>
        <v>86</v>
      </c>
      <c r="B98" s="67">
        <f t="shared" si="2"/>
        <v>10.7</v>
      </c>
      <c r="I98" s="69" t="s">
        <v>681</v>
      </c>
      <c r="J98" s="73">
        <v>9.953703703703704E-4</v>
      </c>
      <c r="K98" s="71"/>
      <c r="L98" s="71">
        <v>0.07996527777777777</v>
      </c>
      <c r="M98" s="69" t="s">
        <v>620</v>
      </c>
      <c r="N98" s="69" t="s">
        <v>699</v>
      </c>
      <c r="O98" s="74">
        <f>+18.77 %</f>
        <v>0.1877</v>
      </c>
      <c r="P98" s="72">
        <v>10.7</v>
      </c>
      <c r="Q98" s="69" t="s">
        <v>1331</v>
      </c>
      <c r="R98" s="69" t="s">
        <v>248</v>
      </c>
    </row>
    <row r="99">
      <c r="A99" s="10">
        <f t="shared" si="1"/>
        <v>45</v>
      </c>
      <c r="B99" s="67">
        <f t="shared" si="2"/>
        <v>37.3</v>
      </c>
      <c r="I99" s="69" t="s">
        <v>686</v>
      </c>
      <c r="J99" s="73">
        <v>5.208333333333333E-4</v>
      </c>
      <c r="K99" s="71"/>
      <c r="L99" s="71">
        <v>0.08049768518518519</v>
      </c>
      <c r="M99" s="69" t="s">
        <v>445</v>
      </c>
      <c r="N99" s="69" t="s">
        <v>1332</v>
      </c>
      <c r="O99" s="69" t="s">
        <v>1333</v>
      </c>
      <c r="P99" s="72">
        <v>37.3</v>
      </c>
      <c r="Q99" s="69" t="s">
        <v>1334</v>
      </c>
      <c r="R99" s="69" t="s">
        <v>1209</v>
      </c>
    </row>
    <row r="100">
      <c r="A100" s="10">
        <f t="shared" si="1"/>
        <v>9</v>
      </c>
      <c r="B100" s="67">
        <f t="shared" si="2"/>
        <v>49.23</v>
      </c>
      <c r="I100" s="69" t="s">
        <v>690</v>
      </c>
      <c r="J100" s="73">
        <v>1.0416666666666667E-4</v>
      </c>
      <c r="K100" s="71"/>
      <c r="L100" s="71">
        <v>0.08061342592592592</v>
      </c>
      <c r="M100" s="69" t="s">
        <v>854</v>
      </c>
      <c r="N100" s="69" t="s">
        <v>1335</v>
      </c>
      <c r="O100" s="69" t="s">
        <v>1336</v>
      </c>
      <c r="P100" s="72">
        <v>49.23</v>
      </c>
      <c r="Q100" s="69" t="s">
        <v>1337</v>
      </c>
      <c r="R100" s="69" t="s">
        <v>1338</v>
      </c>
    </row>
    <row r="101">
      <c r="A101" s="10">
        <f t="shared" si="1"/>
        <v>175</v>
      </c>
      <c r="B101" s="67">
        <f t="shared" si="2"/>
        <v>24.14</v>
      </c>
      <c r="I101" s="69" t="s">
        <v>695</v>
      </c>
      <c r="J101" s="73">
        <v>0.002025462962962963</v>
      </c>
      <c r="K101" s="71"/>
      <c r="L101" s="71">
        <v>0.08263888888888889</v>
      </c>
      <c r="M101" s="69" t="s">
        <v>1339</v>
      </c>
      <c r="N101" s="69" t="s">
        <v>1340</v>
      </c>
      <c r="O101" s="74">
        <f>+6.47 %</f>
        <v>0.0647</v>
      </c>
      <c r="P101" s="72">
        <v>24.14</v>
      </c>
      <c r="Q101" s="69" t="s">
        <v>1341</v>
      </c>
      <c r="R101" s="69" t="s">
        <v>1060</v>
      </c>
    </row>
    <row r="102">
      <c r="A102" s="10">
        <f t="shared" si="1"/>
        <v>49</v>
      </c>
      <c r="B102" s="67">
        <f t="shared" si="2"/>
        <v>26.41</v>
      </c>
      <c r="I102" s="69" t="s">
        <v>698</v>
      </c>
      <c r="J102" s="73">
        <v>5.671296296296297E-4</v>
      </c>
      <c r="K102" s="71"/>
      <c r="L102" s="71">
        <v>0.08320601851851851</v>
      </c>
      <c r="M102" s="69" t="s">
        <v>382</v>
      </c>
      <c r="N102" s="69" t="s">
        <v>1342</v>
      </c>
      <c r="O102" s="74">
        <f>+4.54 %</f>
        <v>0.0454</v>
      </c>
      <c r="P102" s="72">
        <v>26.41</v>
      </c>
      <c r="Q102" s="69" t="s">
        <v>1343</v>
      </c>
      <c r="R102" s="69" t="s">
        <v>756</v>
      </c>
    </row>
    <row r="103">
      <c r="A103" s="10">
        <f t="shared" si="1"/>
        <v>42</v>
      </c>
      <c r="B103" s="67">
        <f t="shared" si="2"/>
        <v>17.37</v>
      </c>
      <c r="I103" s="69" t="s">
        <v>702</v>
      </c>
      <c r="J103" s="73">
        <v>4.861111111111111E-4</v>
      </c>
      <c r="K103" s="71"/>
      <c r="L103" s="71">
        <v>0.0837037037037037</v>
      </c>
      <c r="M103" s="69" t="s">
        <v>818</v>
      </c>
      <c r="N103" s="69" t="s">
        <v>1344</v>
      </c>
      <c r="O103" s="74">
        <f>+10 %</f>
        <v>0.1</v>
      </c>
      <c r="P103" s="72">
        <v>17.37</v>
      </c>
      <c r="Q103" s="69" t="s">
        <v>1345</v>
      </c>
      <c r="R103" s="69" t="s">
        <v>610</v>
      </c>
    </row>
    <row r="104">
      <c r="A104" s="10">
        <f t="shared" si="1"/>
        <v>21</v>
      </c>
      <c r="B104" s="67">
        <f t="shared" si="2"/>
        <v>59.98</v>
      </c>
      <c r="I104" s="69" t="s">
        <v>707</v>
      </c>
      <c r="J104" s="73">
        <v>2.4305555555555555E-4</v>
      </c>
      <c r="K104" s="71"/>
      <c r="L104" s="71">
        <v>0.08394675925925926</v>
      </c>
      <c r="M104" s="69" t="s">
        <v>382</v>
      </c>
      <c r="N104" s="69" t="s">
        <v>1346</v>
      </c>
      <c r="O104" s="69" t="s">
        <v>1347</v>
      </c>
      <c r="P104" s="72">
        <v>59.98</v>
      </c>
      <c r="Q104" s="69" t="s">
        <v>1348</v>
      </c>
      <c r="R104" s="69" t="s">
        <v>321</v>
      </c>
    </row>
    <row r="105">
      <c r="A105" s="10">
        <f t="shared" si="1"/>
        <v>95</v>
      </c>
      <c r="B105" s="67">
        <f t="shared" si="2"/>
        <v>29.7</v>
      </c>
      <c r="I105" s="69" t="s">
        <v>712</v>
      </c>
      <c r="J105" s="73">
        <v>0.001099537037037037</v>
      </c>
      <c r="K105" s="71"/>
      <c r="L105" s="71">
        <v>0.08505787037037037</v>
      </c>
      <c r="M105" s="69" t="s">
        <v>474</v>
      </c>
      <c r="N105" s="69" t="s">
        <v>1349</v>
      </c>
      <c r="O105" s="74">
        <f>+5.5 %</f>
        <v>0.055</v>
      </c>
      <c r="P105" s="72">
        <v>29.7</v>
      </c>
      <c r="Q105" s="69" t="s">
        <v>1350</v>
      </c>
      <c r="R105" s="69" t="s">
        <v>852</v>
      </c>
    </row>
    <row r="106">
      <c r="A106" s="10">
        <f t="shared" si="1"/>
        <v>156</v>
      </c>
      <c r="B106" s="67">
        <f t="shared" si="2"/>
        <v>35.36</v>
      </c>
      <c r="I106" s="69" t="s">
        <v>718</v>
      </c>
      <c r="J106" s="73">
        <v>0.0018055555555555555</v>
      </c>
      <c r="K106" s="71"/>
      <c r="L106" s="71">
        <v>0.086875</v>
      </c>
      <c r="M106" s="69" t="s">
        <v>1351</v>
      </c>
      <c r="N106" s="69" t="s">
        <v>1352</v>
      </c>
      <c r="O106" s="74">
        <f>+1.41 %</f>
        <v>0.0141</v>
      </c>
      <c r="P106" s="72">
        <v>35.36</v>
      </c>
      <c r="Q106" s="69" t="s">
        <v>1353</v>
      </c>
      <c r="R106" s="69" t="s">
        <v>1354</v>
      </c>
    </row>
    <row r="107">
      <c r="A107" s="10">
        <f t="shared" si="1"/>
        <v>88</v>
      </c>
      <c r="B107" s="67">
        <f t="shared" si="2"/>
        <v>30.2</v>
      </c>
      <c r="I107" s="69" t="s">
        <v>724</v>
      </c>
      <c r="J107" s="73">
        <v>0.0010185185185185184</v>
      </c>
      <c r="K107" s="71"/>
      <c r="L107" s="71">
        <v>0.08789351851851852</v>
      </c>
      <c r="M107" s="69" t="s">
        <v>765</v>
      </c>
      <c r="N107" s="69" t="s">
        <v>1355</v>
      </c>
      <c r="O107" s="74">
        <f>+3.51 %</f>
        <v>0.0351</v>
      </c>
      <c r="P107" s="72">
        <v>30.2</v>
      </c>
      <c r="Q107" s="69" t="s">
        <v>1356</v>
      </c>
      <c r="R107" s="69" t="s">
        <v>304</v>
      </c>
    </row>
    <row r="108">
      <c r="A108" s="10">
        <f t="shared" si="1"/>
        <v>15</v>
      </c>
      <c r="B108" s="67">
        <f t="shared" si="2"/>
        <v>34.14</v>
      </c>
      <c r="I108" s="69" t="s">
        <v>730</v>
      </c>
      <c r="J108" s="73">
        <v>1.7361111111111112E-4</v>
      </c>
      <c r="K108" s="71"/>
      <c r="L108" s="71">
        <v>0.08806712962962963</v>
      </c>
      <c r="M108" s="69" t="s">
        <v>794</v>
      </c>
      <c r="N108" s="69" t="s">
        <v>1357</v>
      </c>
      <c r="O108" s="69" t="s">
        <v>1249</v>
      </c>
      <c r="P108" s="72">
        <v>34.14</v>
      </c>
      <c r="Q108" s="69" t="s">
        <v>225</v>
      </c>
      <c r="R108" s="69" t="s">
        <v>574</v>
      </c>
    </row>
    <row r="109">
      <c r="A109" s="10">
        <f t="shared" si="1"/>
        <v>145</v>
      </c>
      <c r="B109" s="67">
        <f t="shared" si="2"/>
        <v>24.21</v>
      </c>
      <c r="I109" s="69" t="s">
        <v>734</v>
      </c>
      <c r="J109" s="73">
        <v>0.0016782407407407408</v>
      </c>
      <c r="K109" s="71"/>
      <c r="L109" s="71">
        <v>0.08975694444444444</v>
      </c>
      <c r="M109" s="69" t="s">
        <v>678</v>
      </c>
      <c r="N109" s="69" t="s">
        <v>1358</v>
      </c>
      <c r="O109" s="74">
        <f>+5.85 %</f>
        <v>0.0585</v>
      </c>
      <c r="P109" s="72">
        <v>24.21</v>
      </c>
      <c r="Q109" s="69" t="s">
        <v>1359</v>
      </c>
      <c r="R109" s="69" t="s">
        <v>711</v>
      </c>
    </row>
    <row r="110">
      <c r="A110" s="10">
        <f t="shared" si="1"/>
        <v>37</v>
      </c>
      <c r="B110" s="67">
        <f t="shared" si="2"/>
        <v>22.3</v>
      </c>
      <c r="I110" s="69" t="s">
        <v>739</v>
      </c>
      <c r="J110" s="73">
        <v>4.2824074074074075E-4</v>
      </c>
      <c r="K110" s="71"/>
      <c r="L110" s="71">
        <v>0.09018518518518519</v>
      </c>
      <c r="M110" s="69" t="s">
        <v>1360</v>
      </c>
      <c r="N110" s="69" t="s">
        <v>1361</v>
      </c>
      <c r="O110" s="74">
        <f>+6.71 %</f>
        <v>0.0671</v>
      </c>
      <c r="P110" s="72">
        <v>22.3</v>
      </c>
      <c r="Q110" s="69" t="s">
        <v>1362</v>
      </c>
      <c r="R110" s="69" t="s">
        <v>1111</v>
      </c>
    </row>
    <row r="111">
      <c r="A111" s="10">
        <f t="shared" si="1"/>
        <v>10</v>
      </c>
      <c r="B111" s="67">
        <f t="shared" si="2"/>
        <v>46.33</v>
      </c>
      <c r="I111" s="69" t="s">
        <v>742</v>
      </c>
      <c r="J111" s="73">
        <v>1.1574074074074075E-4</v>
      </c>
      <c r="K111" s="71"/>
      <c r="L111" s="71">
        <v>0.0903125</v>
      </c>
      <c r="M111" s="69" t="s">
        <v>854</v>
      </c>
      <c r="N111" s="69" t="s">
        <v>1363</v>
      </c>
      <c r="O111" s="69" t="s">
        <v>1364</v>
      </c>
      <c r="P111" s="72">
        <v>46.33</v>
      </c>
      <c r="Q111" s="69" t="s">
        <v>1365</v>
      </c>
      <c r="R111" s="69" t="s">
        <v>321</v>
      </c>
    </row>
    <row r="112">
      <c r="A112" s="10">
        <f t="shared" si="1"/>
        <v>13</v>
      </c>
      <c r="B112" s="67">
        <f t="shared" si="2"/>
        <v>50</v>
      </c>
      <c r="I112" s="69" t="s">
        <v>747</v>
      </c>
      <c r="J112" s="73">
        <v>1.5046296296296297E-4</v>
      </c>
      <c r="K112" s="71"/>
      <c r="L112" s="71">
        <v>0.09047453703703703</v>
      </c>
      <c r="M112" s="69" t="s">
        <v>360</v>
      </c>
      <c r="N112" s="69" t="s">
        <v>1366</v>
      </c>
      <c r="O112" s="74">
        <f>+4.55 %</f>
        <v>0.0455</v>
      </c>
      <c r="P112" s="72">
        <v>50.0</v>
      </c>
      <c r="Q112" s="69" t="s">
        <v>1367</v>
      </c>
      <c r="R112" s="69" t="s">
        <v>756</v>
      </c>
    </row>
    <row r="113">
      <c r="A113" s="10">
        <f t="shared" si="1"/>
        <v>91</v>
      </c>
      <c r="B113" s="67">
        <f t="shared" si="2"/>
        <v>9.11</v>
      </c>
      <c r="I113" s="69" t="s">
        <v>752</v>
      </c>
      <c r="J113" s="73">
        <v>0.0010532407407407407</v>
      </c>
      <c r="K113" s="71"/>
      <c r="L113" s="71">
        <v>0.09152777777777778</v>
      </c>
      <c r="M113" s="69" t="s">
        <v>1360</v>
      </c>
      <c r="N113" s="69" t="s">
        <v>1368</v>
      </c>
      <c r="O113" s="74">
        <f>+21.56 %</f>
        <v>0.2156</v>
      </c>
      <c r="P113" s="72">
        <v>9.11</v>
      </c>
      <c r="Q113" s="69" t="s">
        <v>1369</v>
      </c>
      <c r="R113" s="69" t="s">
        <v>1370</v>
      </c>
    </row>
    <row r="114">
      <c r="A114" s="10">
        <f t="shared" si="1"/>
        <v>16</v>
      </c>
      <c r="B114" s="67">
        <f t="shared" si="2"/>
        <v>53.21</v>
      </c>
      <c r="I114" s="69" t="s">
        <v>757</v>
      </c>
      <c r="J114" s="73">
        <v>1.8518518518518518E-4</v>
      </c>
      <c r="K114" s="71"/>
      <c r="L114" s="71">
        <v>0.09172453703703703</v>
      </c>
      <c r="M114" s="69" t="s">
        <v>1371</v>
      </c>
      <c r="N114" s="69" t="s">
        <v>1372</v>
      </c>
      <c r="O114" s="69" t="s">
        <v>1373</v>
      </c>
      <c r="P114" s="72">
        <v>53.21</v>
      </c>
      <c r="Q114" s="69" t="s">
        <v>1374</v>
      </c>
      <c r="R114" s="69" t="s">
        <v>321</v>
      </c>
    </row>
    <row r="115">
      <c r="A115" s="10">
        <f t="shared" si="1"/>
        <v>17</v>
      </c>
      <c r="B115" s="67">
        <f t="shared" si="2"/>
        <v>43.43</v>
      </c>
      <c r="I115" s="69" t="s">
        <v>760</v>
      </c>
      <c r="J115" s="73">
        <v>1.9675925925925926E-4</v>
      </c>
      <c r="K115" s="71"/>
      <c r="L115" s="71">
        <v>0.09193287037037037</v>
      </c>
      <c r="M115" s="69" t="s">
        <v>1318</v>
      </c>
      <c r="N115" s="69" t="s">
        <v>754</v>
      </c>
      <c r="O115" s="74">
        <f>+9.14 %</f>
        <v>0.0914</v>
      </c>
      <c r="P115" s="72">
        <v>43.43</v>
      </c>
      <c r="Q115" s="69" t="s">
        <v>1375</v>
      </c>
      <c r="R115" s="69" t="s">
        <v>1376</v>
      </c>
    </row>
    <row r="116">
      <c r="A116" s="10">
        <f t="shared" si="1"/>
        <v>17</v>
      </c>
      <c r="B116" s="67">
        <f t="shared" si="2"/>
        <v>34.93</v>
      </c>
      <c r="I116" s="69" t="s">
        <v>764</v>
      </c>
      <c r="J116" s="73">
        <v>1.9675925925925926E-4</v>
      </c>
      <c r="K116" s="71"/>
      <c r="L116" s="71">
        <v>0.0921412037037037</v>
      </c>
      <c r="M116" s="69" t="s">
        <v>468</v>
      </c>
      <c r="N116" s="69" t="s">
        <v>1377</v>
      </c>
      <c r="O116" s="69" t="s">
        <v>1378</v>
      </c>
      <c r="P116" s="72">
        <v>34.93</v>
      </c>
      <c r="Q116" s="69" t="s">
        <v>1379</v>
      </c>
      <c r="R116" s="69" t="s">
        <v>1380</v>
      </c>
    </row>
    <row r="117">
      <c r="A117" s="10">
        <f t="shared" si="1"/>
        <v>10</v>
      </c>
      <c r="B117" s="67">
        <f t="shared" si="2"/>
        <v>46.79</v>
      </c>
      <c r="I117" s="69" t="s">
        <v>768</v>
      </c>
      <c r="J117" s="73">
        <v>1.1574074074074075E-4</v>
      </c>
      <c r="K117" s="71"/>
      <c r="L117" s="71">
        <v>0.09225694444444445</v>
      </c>
      <c r="M117" s="69" t="s">
        <v>1155</v>
      </c>
      <c r="N117" s="69" t="s">
        <v>1381</v>
      </c>
      <c r="O117" s="69" t="s">
        <v>762</v>
      </c>
      <c r="P117" s="72">
        <v>46.79</v>
      </c>
      <c r="Q117" s="69" t="s">
        <v>1382</v>
      </c>
      <c r="R117" s="69" t="s">
        <v>1192</v>
      </c>
    </row>
    <row r="118">
      <c r="A118" s="10">
        <f t="shared" si="1"/>
        <v>18</v>
      </c>
      <c r="B118" s="67">
        <f t="shared" si="2"/>
        <v>71.71</v>
      </c>
      <c r="I118" s="69" t="s">
        <v>772</v>
      </c>
      <c r="J118" s="73">
        <v>2.0833333333333335E-4</v>
      </c>
      <c r="K118" s="71"/>
      <c r="L118" s="71">
        <v>0.09247685185185185</v>
      </c>
      <c r="M118" s="69" t="s">
        <v>441</v>
      </c>
      <c r="N118" s="69" t="s">
        <v>1383</v>
      </c>
      <c r="O118" s="69" t="s">
        <v>1384</v>
      </c>
      <c r="P118" s="72">
        <v>71.71</v>
      </c>
      <c r="Q118" s="69" t="s">
        <v>1385</v>
      </c>
      <c r="R118" s="69" t="s">
        <v>321</v>
      </c>
    </row>
    <row r="119">
      <c r="A119" s="10">
        <f t="shared" si="1"/>
        <v>23</v>
      </c>
      <c r="B119" s="67">
        <f t="shared" si="2"/>
        <v>70.83</v>
      </c>
      <c r="I119" s="69" t="s">
        <v>777</v>
      </c>
      <c r="J119" s="73">
        <v>2.662037037037037E-4</v>
      </c>
      <c r="K119" s="71"/>
      <c r="L119" s="71">
        <v>0.09274305555555555</v>
      </c>
      <c r="M119" s="69" t="s">
        <v>445</v>
      </c>
      <c r="N119" s="69" t="s">
        <v>1386</v>
      </c>
      <c r="O119" s="69" t="s">
        <v>1387</v>
      </c>
      <c r="P119" s="72">
        <v>70.83</v>
      </c>
      <c r="Q119" s="69" t="s">
        <v>1388</v>
      </c>
      <c r="R119" s="69" t="s">
        <v>667</v>
      </c>
    </row>
    <row r="120">
      <c r="A120" s="10">
        <f t="shared" si="1"/>
        <v>16</v>
      </c>
      <c r="B120" s="67">
        <f t="shared" si="2"/>
        <v>54.26</v>
      </c>
      <c r="I120" s="69" t="s">
        <v>781</v>
      </c>
      <c r="J120" s="73">
        <v>1.8518518518518518E-4</v>
      </c>
      <c r="K120" s="71"/>
      <c r="L120" s="71">
        <v>0.09293981481481481</v>
      </c>
      <c r="M120" s="69" t="s">
        <v>1371</v>
      </c>
      <c r="N120" s="69" t="s">
        <v>1389</v>
      </c>
      <c r="O120" s="69" t="s">
        <v>1390</v>
      </c>
      <c r="P120" s="72">
        <v>54.26</v>
      </c>
      <c r="Q120" s="69" t="s">
        <v>1391</v>
      </c>
      <c r="R120" s="69" t="s">
        <v>568</v>
      </c>
    </row>
    <row r="121">
      <c r="A121" s="10">
        <f t="shared" si="1"/>
        <v>33</v>
      </c>
      <c r="B121" s="67">
        <f t="shared" si="2"/>
        <v>41.12</v>
      </c>
      <c r="I121" s="69" t="s">
        <v>784</v>
      </c>
      <c r="J121" s="73">
        <v>3.8194444444444446E-4</v>
      </c>
      <c r="K121" s="71"/>
      <c r="L121" s="71">
        <v>0.09333333333333334</v>
      </c>
      <c r="M121" s="69" t="s">
        <v>281</v>
      </c>
      <c r="N121" s="69" t="s">
        <v>1392</v>
      </c>
      <c r="O121" s="69" t="s">
        <v>1393</v>
      </c>
      <c r="P121" s="72">
        <v>41.12</v>
      </c>
      <c r="Q121" s="69" t="s">
        <v>1394</v>
      </c>
      <c r="R121" s="69" t="s">
        <v>1251</v>
      </c>
    </row>
    <row r="122">
      <c r="A122" s="10">
        <f t="shared" si="1"/>
        <v>24</v>
      </c>
      <c r="B122" s="67">
        <f t="shared" si="2"/>
        <v>48.95</v>
      </c>
      <c r="I122" s="69" t="s">
        <v>789</v>
      </c>
      <c r="J122" s="73">
        <v>2.777777777777778E-4</v>
      </c>
      <c r="K122" s="71"/>
      <c r="L122" s="71">
        <v>0.09361111111111112</v>
      </c>
      <c r="M122" s="69" t="s">
        <v>1395</v>
      </c>
      <c r="N122" s="69" t="s">
        <v>1396</v>
      </c>
      <c r="O122" s="69" t="s">
        <v>1397</v>
      </c>
      <c r="P122" s="72">
        <v>48.95</v>
      </c>
      <c r="Q122" s="69" t="s">
        <v>1398</v>
      </c>
      <c r="R122" s="69" t="s">
        <v>1313</v>
      </c>
    </row>
    <row r="123">
      <c r="A123" s="10">
        <f t="shared" si="1"/>
        <v>35</v>
      </c>
      <c r="B123" s="67">
        <f t="shared" si="2"/>
        <v>53.28</v>
      </c>
      <c r="I123" s="69" t="s">
        <v>793</v>
      </c>
      <c r="J123" s="73">
        <v>4.050925925925926E-4</v>
      </c>
      <c r="K123" s="71"/>
      <c r="L123" s="71">
        <v>0.0940162037037037</v>
      </c>
      <c r="M123" s="69" t="s">
        <v>1123</v>
      </c>
      <c r="N123" s="69" t="s">
        <v>1399</v>
      </c>
      <c r="O123" s="69" t="s">
        <v>1400</v>
      </c>
      <c r="P123" s="72">
        <v>53.28</v>
      </c>
      <c r="Q123" s="69" t="s">
        <v>1401</v>
      </c>
      <c r="R123" s="69" t="s">
        <v>1402</v>
      </c>
    </row>
    <row r="124">
      <c r="A124" s="10">
        <f t="shared" si="1"/>
        <v>8</v>
      </c>
      <c r="B124" s="67">
        <f t="shared" si="2"/>
        <v>58.13</v>
      </c>
      <c r="I124" s="69" t="s">
        <v>798</v>
      </c>
      <c r="J124" s="73">
        <v>9.259259259259259E-5</v>
      </c>
      <c r="K124" s="71"/>
      <c r="L124" s="71">
        <v>0.0941087962962963</v>
      </c>
      <c r="M124" s="69" t="s">
        <v>1155</v>
      </c>
      <c r="N124" s="69" t="s">
        <v>1403</v>
      </c>
      <c r="O124" s="69" t="s">
        <v>1404</v>
      </c>
      <c r="P124" s="72">
        <v>58.13</v>
      </c>
      <c r="Q124" s="69" t="s">
        <v>1405</v>
      </c>
      <c r="R124" s="69" t="s">
        <v>321</v>
      </c>
    </row>
    <row r="125">
      <c r="A125" s="10">
        <f t="shared" si="1"/>
        <v>19</v>
      </c>
      <c r="B125" s="67">
        <f t="shared" si="2"/>
        <v>48.36</v>
      </c>
      <c r="I125" s="69" t="s">
        <v>802</v>
      </c>
      <c r="J125" s="73">
        <v>2.199074074074074E-4</v>
      </c>
      <c r="K125" s="71"/>
      <c r="L125" s="71">
        <v>0.09434027777777777</v>
      </c>
      <c r="M125" s="69" t="s">
        <v>267</v>
      </c>
      <c r="N125" s="69" t="s">
        <v>1406</v>
      </c>
      <c r="O125" s="74">
        <f>+5.32 %</f>
        <v>0.0532</v>
      </c>
      <c r="P125" s="72">
        <v>48.36</v>
      </c>
      <c r="Q125" s="69" t="s">
        <v>1407</v>
      </c>
      <c r="R125" s="69" t="s">
        <v>1408</v>
      </c>
    </row>
    <row r="126">
      <c r="A126" s="10">
        <f t="shared" si="1"/>
        <v>26</v>
      </c>
      <c r="B126" s="67">
        <f t="shared" si="2"/>
        <v>46.62</v>
      </c>
      <c r="I126" s="69" t="s">
        <v>806</v>
      </c>
      <c r="J126" s="73">
        <v>3.0092592592592595E-4</v>
      </c>
      <c r="K126" s="71"/>
      <c r="L126" s="71">
        <v>0.0946412037037037</v>
      </c>
      <c r="M126" s="69" t="s">
        <v>753</v>
      </c>
      <c r="N126" s="69" t="s">
        <v>1409</v>
      </c>
      <c r="O126" s="69" t="s">
        <v>1410</v>
      </c>
      <c r="P126" s="72">
        <v>46.62</v>
      </c>
      <c r="Q126" s="69" t="s">
        <v>1411</v>
      </c>
      <c r="R126" s="69" t="s">
        <v>321</v>
      </c>
    </row>
    <row r="127">
      <c r="A127" s="10">
        <f t="shared" si="1"/>
        <v>19</v>
      </c>
      <c r="B127" s="67">
        <f t="shared" si="2"/>
        <v>45.65</v>
      </c>
      <c r="I127" s="69" t="s">
        <v>809</v>
      </c>
      <c r="J127" s="73">
        <v>2.199074074074074E-4</v>
      </c>
      <c r="K127" s="71"/>
      <c r="L127" s="71">
        <v>0.09487268518518518</v>
      </c>
      <c r="M127" s="69" t="s">
        <v>1371</v>
      </c>
      <c r="N127" s="69" t="s">
        <v>1412</v>
      </c>
      <c r="O127" s="74">
        <f>+5.92 %</f>
        <v>0.0592</v>
      </c>
      <c r="P127" s="72">
        <v>45.65</v>
      </c>
      <c r="Q127" s="69" t="s">
        <v>1413</v>
      </c>
      <c r="R127" s="69" t="s">
        <v>811</v>
      </c>
    </row>
    <row r="128">
      <c r="A128" s="10">
        <f t="shared" si="1"/>
        <v>57</v>
      </c>
      <c r="B128" s="67">
        <f t="shared" si="2"/>
        <v>50.7</v>
      </c>
      <c r="I128" s="69" t="s">
        <v>812</v>
      </c>
      <c r="J128" s="73">
        <v>6.597222222222222E-4</v>
      </c>
      <c r="K128" s="71"/>
      <c r="L128" s="71">
        <v>0.09553240740740741</v>
      </c>
      <c r="M128" s="69" t="s">
        <v>486</v>
      </c>
      <c r="N128" s="69" t="s">
        <v>1414</v>
      </c>
      <c r="O128" s="69" t="s">
        <v>1415</v>
      </c>
      <c r="P128" s="72">
        <v>50.7</v>
      </c>
      <c r="Q128" s="69" t="s">
        <v>1416</v>
      </c>
      <c r="R128" s="69" t="s">
        <v>717</v>
      </c>
    </row>
    <row r="129">
      <c r="A129" s="10">
        <f t="shared" si="1"/>
        <v>74</v>
      </c>
      <c r="B129" s="67">
        <f t="shared" si="2"/>
        <v>62.79</v>
      </c>
      <c r="I129" s="69" t="s">
        <v>817</v>
      </c>
      <c r="J129" s="73">
        <v>8.564814814814815E-4</v>
      </c>
      <c r="K129" s="71"/>
      <c r="L129" s="71">
        <v>0.09640046296296297</v>
      </c>
      <c r="M129" s="69" t="s">
        <v>849</v>
      </c>
      <c r="N129" s="69" t="s">
        <v>1417</v>
      </c>
      <c r="O129" s="69" t="s">
        <v>1418</v>
      </c>
      <c r="P129" s="72">
        <v>62.79</v>
      </c>
      <c r="Q129" s="69" t="s">
        <v>1419</v>
      </c>
      <c r="R129" s="69" t="s">
        <v>1122</v>
      </c>
    </row>
    <row r="130">
      <c r="A130" s="10">
        <f t="shared" si="1"/>
        <v>36</v>
      </c>
      <c r="B130" s="67">
        <f t="shared" si="2"/>
        <v>58.6</v>
      </c>
      <c r="I130" s="69" t="s">
        <v>822</v>
      </c>
      <c r="J130" s="73">
        <v>4.166666666666667E-4</v>
      </c>
      <c r="K130" s="71"/>
      <c r="L130" s="71">
        <v>0.09681712962962963</v>
      </c>
      <c r="M130" s="69" t="s">
        <v>1420</v>
      </c>
      <c r="N130" s="69" t="s">
        <v>1421</v>
      </c>
      <c r="O130" s="69" t="s">
        <v>1422</v>
      </c>
      <c r="P130" s="72">
        <v>58.6</v>
      </c>
      <c r="Q130" s="69" t="s">
        <v>1423</v>
      </c>
      <c r="R130" s="69" t="s">
        <v>1226</v>
      </c>
    </row>
    <row r="131">
      <c r="A131" s="10">
        <f t="shared" si="1"/>
        <v>7</v>
      </c>
      <c r="B131" s="67">
        <f t="shared" si="2"/>
        <v>54.99</v>
      </c>
      <c r="I131" s="69" t="s">
        <v>826</v>
      </c>
      <c r="J131" s="73">
        <v>8.101851851851852E-5</v>
      </c>
      <c r="K131" s="71"/>
      <c r="L131" s="71">
        <v>0.09690972222222222</v>
      </c>
      <c r="M131" s="69" t="s">
        <v>228</v>
      </c>
      <c r="N131" s="69" t="s">
        <v>1424</v>
      </c>
      <c r="O131" s="69" t="s">
        <v>1425</v>
      </c>
      <c r="P131" s="72">
        <v>54.99</v>
      </c>
      <c r="Q131" s="69" t="s">
        <v>1426</v>
      </c>
      <c r="R131" s="69" t="s">
        <v>1427</v>
      </c>
    </row>
    <row r="132">
      <c r="A132" s="10">
        <f t="shared" si="1"/>
        <v>57</v>
      </c>
      <c r="B132" s="67">
        <f t="shared" si="2"/>
        <v>67.22</v>
      </c>
      <c r="I132" s="69" t="s">
        <v>831</v>
      </c>
      <c r="J132" s="73">
        <v>6.597222222222222E-4</v>
      </c>
      <c r="K132" s="71"/>
      <c r="L132" s="71">
        <v>0.09758101851851853</v>
      </c>
      <c r="M132" s="69" t="s">
        <v>408</v>
      </c>
      <c r="N132" s="69" t="s">
        <v>1428</v>
      </c>
      <c r="O132" s="69" t="s">
        <v>1429</v>
      </c>
      <c r="P132" s="72">
        <v>67.22</v>
      </c>
      <c r="Q132" s="69" t="s">
        <v>1430</v>
      </c>
      <c r="R132" s="69" t="s">
        <v>321</v>
      </c>
    </row>
    <row r="133">
      <c r="A133" s="10">
        <f t="shared" si="1"/>
        <v>43</v>
      </c>
      <c r="B133" s="67">
        <f t="shared" si="2"/>
        <v>61.31</v>
      </c>
      <c r="I133" s="69" t="s">
        <v>835</v>
      </c>
      <c r="J133" s="73">
        <v>4.976851851851852E-4</v>
      </c>
      <c r="K133" s="71"/>
      <c r="L133" s="71">
        <v>0.09807870370370371</v>
      </c>
      <c r="M133" s="69" t="s">
        <v>765</v>
      </c>
      <c r="N133" s="69" t="s">
        <v>1431</v>
      </c>
      <c r="O133" s="69" t="s">
        <v>1432</v>
      </c>
      <c r="P133" s="72">
        <v>61.31</v>
      </c>
      <c r="Q133" s="69" t="s">
        <v>1433</v>
      </c>
      <c r="R133" s="69" t="s">
        <v>1434</v>
      </c>
    </row>
    <row r="134">
      <c r="A134" s="10">
        <f t="shared" si="1"/>
        <v>21</v>
      </c>
      <c r="B134" s="67">
        <f t="shared" si="2"/>
        <v>54.18</v>
      </c>
      <c r="I134" s="69" t="s">
        <v>839</v>
      </c>
      <c r="J134" s="73">
        <v>2.4305555555555555E-4</v>
      </c>
      <c r="K134" s="71"/>
      <c r="L134" s="71">
        <v>0.09833333333333333</v>
      </c>
      <c r="M134" s="69" t="s">
        <v>306</v>
      </c>
      <c r="N134" s="69" t="s">
        <v>800</v>
      </c>
      <c r="O134" s="69" t="s">
        <v>1435</v>
      </c>
      <c r="P134" s="72">
        <v>54.18</v>
      </c>
      <c r="Q134" s="69" t="s">
        <v>1436</v>
      </c>
      <c r="R134" s="69" t="s">
        <v>1086</v>
      </c>
    </row>
    <row r="135">
      <c r="A135" s="10">
        <f t="shared" si="1"/>
        <v>79</v>
      </c>
      <c r="B135" s="67">
        <f t="shared" si="2"/>
        <v>42.51</v>
      </c>
      <c r="I135" s="69" t="s">
        <v>843</v>
      </c>
      <c r="J135" s="73">
        <v>9.143518518518518E-4</v>
      </c>
      <c r="K135" s="71"/>
      <c r="L135" s="71">
        <v>0.09924768518518519</v>
      </c>
      <c r="M135" s="69" t="s">
        <v>1437</v>
      </c>
      <c r="N135" s="69" t="s">
        <v>1438</v>
      </c>
      <c r="O135" s="69" t="s">
        <v>1439</v>
      </c>
      <c r="P135" s="72">
        <v>42.51</v>
      </c>
      <c r="Q135" s="69" t="s">
        <v>1440</v>
      </c>
      <c r="R135" s="69" t="s">
        <v>574</v>
      </c>
    </row>
    <row r="136">
      <c r="A136" s="10">
        <f t="shared" si="1"/>
        <v>45</v>
      </c>
      <c r="B136" s="67">
        <f t="shared" si="2"/>
        <v>40.6</v>
      </c>
      <c r="I136" s="69" t="s">
        <v>848</v>
      </c>
      <c r="J136" s="73">
        <v>5.208333333333333E-4</v>
      </c>
      <c r="K136" s="71"/>
      <c r="L136" s="71">
        <v>0.09978009259259259</v>
      </c>
      <c r="M136" s="69" t="s">
        <v>1123</v>
      </c>
      <c r="N136" s="69" t="s">
        <v>1441</v>
      </c>
      <c r="O136" s="74">
        <f>+0.72 %</f>
        <v>0.0072</v>
      </c>
      <c r="P136" s="72">
        <v>40.6</v>
      </c>
      <c r="Q136" s="69" t="s">
        <v>1214</v>
      </c>
      <c r="R136" s="69" t="s">
        <v>1442</v>
      </c>
    </row>
    <row r="137">
      <c r="A137" s="10">
        <f t="shared" si="1"/>
        <v>55</v>
      </c>
      <c r="B137" s="67">
        <f t="shared" si="2"/>
        <v>57.83</v>
      </c>
      <c r="I137" s="69" t="s">
        <v>853</v>
      </c>
      <c r="J137" s="73">
        <v>6.365740740740741E-4</v>
      </c>
      <c r="K137" s="71"/>
      <c r="L137" s="71">
        <v>0.10042824074074073</v>
      </c>
      <c r="M137" s="69" t="s">
        <v>560</v>
      </c>
      <c r="N137" s="69" t="s">
        <v>1443</v>
      </c>
      <c r="O137" s="69" t="s">
        <v>1444</v>
      </c>
      <c r="P137" s="72">
        <v>57.83</v>
      </c>
      <c r="Q137" s="69" t="s">
        <v>1445</v>
      </c>
      <c r="R137" s="69" t="s">
        <v>1446</v>
      </c>
    </row>
    <row r="138">
      <c r="A138" s="10">
        <f t="shared" si="1"/>
        <v>8</v>
      </c>
      <c r="B138" s="67">
        <f t="shared" si="2"/>
        <v>55.48</v>
      </c>
      <c r="I138" s="69" t="s">
        <v>859</v>
      </c>
      <c r="J138" s="73">
        <v>9.259259259259259E-5</v>
      </c>
      <c r="K138" s="71"/>
      <c r="L138" s="71">
        <v>0.10052083333333334</v>
      </c>
      <c r="M138" s="69" t="s">
        <v>1155</v>
      </c>
      <c r="N138" s="69" t="s">
        <v>1447</v>
      </c>
      <c r="O138" s="69" t="s">
        <v>1448</v>
      </c>
      <c r="P138" s="72">
        <v>55.48</v>
      </c>
      <c r="Q138" s="69" t="s">
        <v>1449</v>
      </c>
      <c r="R138" s="69" t="s">
        <v>254</v>
      </c>
    </row>
    <row r="139">
      <c r="A139" s="10">
        <f t="shared" si="1"/>
        <v>125</v>
      </c>
      <c r="B139" s="67">
        <f t="shared" si="2"/>
        <v>41.36</v>
      </c>
      <c r="I139" s="69" t="s">
        <v>864</v>
      </c>
      <c r="J139" s="73">
        <v>0.0014467592592592592</v>
      </c>
      <c r="K139" s="71"/>
      <c r="L139" s="71">
        <v>0.10197916666666666</v>
      </c>
      <c r="M139" s="69" t="s">
        <v>581</v>
      </c>
      <c r="N139" s="69" t="s">
        <v>1450</v>
      </c>
      <c r="O139" s="74">
        <f>+0.35 %</f>
        <v>0.0035</v>
      </c>
      <c r="P139" s="72">
        <v>41.36</v>
      </c>
      <c r="Q139" s="69" t="s">
        <v>588</v>
      </c>
      <c r="R139" s="69" t="s">
        <v>1451</v>
      </c>
    </row>
    <row r="140">
      <c r="A140" s="10">
        <f t="shared" si="1"/>
        <v>239</v>
      </c>
      <c r="B140" s="67">
        <f t="shared" si="2"/>
        <v>45.58</v>
      </c>
      <c r="I140" s="69" t="s">
        <v>868</v>
      </c>
      <c r="J140" s="73">
        <v>0.002766203703703704</v>
      </c>
      <c r="K140" s="71"/>
      <c r="L140" s="71">
        <v>0.10474537037037036</v>
      </c>
      <c r="M140" s="69" t="s">
        <v>1452</v>
      </c>
      <c r="N140" s="69" t="s">
        <v>1453</v>
      </c>
      <c r="O140" s="69" t="s">
        <v>845</v>
      </c>
      <c r="P140" s="72">
        <v>45.58</v>
      </c>
      <c r="Q140" s="69" t="s">
        <v>1454</v>
      </c>
      <c r="R140" s="69" t="s">
        <v>1127</v>
      </c>
    </row>
    <row r="141">
      <c r="A141" s="10">
        <f t="shared" si="1"/>
        <v>56</v>
      </c>
      <c r="B141" s="67">
        <f t="shared" si="2"/>
        <v>41.35</v>
      </c>
      <c r="I141" s="75" t="s">
        <v>871</v>
      </c>
      <c r="J141" s="76">
        <v>6.481481481481481E-4</v>
      </c>
      <c r="K141" s="77"/>
      <c r="L141" s="77">
        <v>0.10540509259259259</v>
      </c>
      <c r="M141" s="75" t="s">
        <v>1455</v>
      </c>
      <c r="N141" s="75" t="s">
        <v>1456</v>
      </c>
      <c r="O141" s="78">
        <f>+0.47 %</f>
        <v>0.0047</v>
      </c>
      <c r="P141" s="72">
        <v>41.35</v>
      </c>
      <c r="Q141" s="75" t="s">
        <v>1457</v>
      </c>
      <c r="R141" s="75">
        <v>232.0</v>
      </c>
    </row>
  </sheetData>
  <mergeCells count="2">
    <mergeCell ref="A1:B1"/>
    <mergeCell ref="C1:F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hidden="1" min="5" max="5" width="17.75"/>
    <col customWidth="1" hidden="1" min="6" max="6" width="15.63"/>
    <col customWidth="1" min="7" max="7" width="19.13"/>
  </cols>
  <sheetData>
    <row r="2">
      <c r="A2" s="3" t="s">
        <v>1458</v>
      </c>
      <c r="B2" s="3" t="s">
        <v>1459</v>
      </c>
      <c r="C2" s="3" t="s">
        <v>1460</v>
      </c>
      <c r="D2" s="3" t="s">
        <v>1461</v>
      </c>
      <c r="E2" s="3" t="s">
        <v>1462</v>
      </c>
      <c r="F2" s="3" t="s">
        <v>1463</v>
      </c>
      <c r="G2" s="3" t="s">
        <v>1464</v>
      </c>
    </row>
    <row r="3">
      <c r="A3" s="3">
        <v>85.0</v>
      </c>
      <c r="B3" s="3">
        <v>1.0</v>
      </c>
      <c r="C3" s="3">
        <v>300.0</v>
      </c>
      <c r="D3" s="79">
        <f t="shared" ref="D3:D8" si="2">$A$3*C3/100</f>
        <v>255</v>
      </c>
      <c r="E3" s="79">
        <f t="shared" ref="E3:F3" si="1">C3</f>
        <v>300</v>
      </c>
      <c r="F3" s="79">
        <f t="shared" si="1"/>
        <v>255</v>
      </c>
      <c r="G3" s="80" t="str">
        <f t="shared" ref="G3:G5" si="4">trunc(F3/60)&amp;":"&amp;Round((F3-trunc(F3/60))/10,0)</f>
        <v>4:25</v>
      </c>
    </row>
    <row r="4">
      <c r="A4" s="80"/>
      <c r="B4" s="3">
        <v>2.0</v>
      </c>
      <c r="C4" s="3">
        <v>345.0</v>
      </c>
      <c r="D4" s="79">
        <f t="shared" si="2"/>
        <v>293.25</v>
      </c>
      <c r="E4" s="79">
        <f t="shared" ref="E4:F4" si="3">E3+C4</f>
        <v>645</v>
      </c>
      <c r="F4" s="79">
        <f t="shared" si="3"/>
        <v>548.25</v>
      </c>
      <c r="G4" s="80" t="str">
        <f t="shared" si="4"/>
        <v>9:54</v>
      </c>
    </row>
    <row r="5">
      <c r="A5" s="80"/>
      <c r="B5" s="3">
        <v>3.0</v>
      </c>
      <c r="C5" s="3">
        <v>220.0</v>
      </c>
      <c r="D5" s="79">
        <f t="shared" si="2"/>
        <v>187</v>
      </c>
      <c r="E5" s="79">
        <f t="shared" ref="E5:F5" si="5">E4+C5</f>
        <v>865</v>
      </c>
      <c r="F5" s="79">
        <f t="shared" si="5"/>
        <v>735.25</v>
      </c>
      <c r="G5" s="80" t="str">
        <f t="shared" si="4"/>
        <v>12:72</v>
      </c>
    </row>
    <row r="6">
      <c r="A6" s="80"/>
      <c r="B6" s="3">
        <v>4.0</v>
      </c>
      <c r="C6" s="3">
        <v>525.0</v>
      </c>
      <c r="D6" s="79">
        <f t="shared" si="2"/>
        <v>446.25</v>
      </c>
      <c r="E6" s="79">
        <f t="shared" ref="E6:F6" si="6">E5+C6</f>
        <v>1390</v>
      </c>
      <c r="F6" s="79">
        <f t="shared" si="6"/>
        <v>1181.5</v>
      </c>
      <c r="G6" s="80" t="str">
        <f t="shared" ref="G6:G8" si="8">trunc(F6/60)&amp;":"&amp;Round((F6-trunc(F6/60))/100,0)</f>
        <v>19:12</v>
      </c>
    </row>
    <row r="7">
      <c r="A7" s="80"/>
      <c r="B7" s="3">
        <v>5.0</v>
      </c>
      <c r="C7" s="3">
        <v>340.0</v>
      </c>
      <c r="D7" s="79">
        <f t="shared" si="2"/>
        <v>289</v>
      </c>
      <c r="E7" s="79">
        <f t="shared" ref="E7:F7" si="7">E6+C7</f>
        <v>1730</v>
      </c>
      <c r="F7" s="79">
        <f t="shared" si="7"/>
        <v>1470.5</v>
      </c>
      <c r="G7" s="80" t="str">
        <f t="shared" si="8"/>
        <v>24:14</v>
      </c>
    </row>
    <row r="8">
      <c r="A8" s="80"/>
      <c r="B8" s="3" t="s">
        <v>1465</v>
      </c>
      <c r="C8" s="3">
        <v>200.0</v>
      </c>
      <c r="D8" s="79">
        <f t="shared" si="2"/>
        <v>170</v>
      </c>
      <c r="E8" s="79">
        <f t="shared" ref="E8:F8" si="9">E7+C8</f>
        <v>1930</v>
      </c>
      <c r="F8" s="79">
        <f t="shared" si="9"/>
        <v>1640.5</v>
      </c>
      <c r="G8" s="80" t="str">
        <f t="shared" si="8"/>
        <v>27:16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G1" s="24"/>
    </row>
    <row r="2">
      <c r="B2" s="81" t="s">
        <v>217</v>
      </c>
      <c r="C2" s="82" t="s">
        <v>218</v>
      </c>
      <c r="D2" s="82" t="s">
        <v>7</v>
      </c>
      <c r="E2" s="82" t="s">
        <v>219</v>
      </c>
      <c r="F2" s="82" t="s">
        <v>220</v>
      </c>
      <c r="G2" s="83" t="s">
        <v>221</v>
      </c>
      <c r="H2" s="82" t="s">
        <v>9</v>
      </c>
      <c r="I2" s="84" t="s">
        <v>222</v>
      </c>
    </row>
    <row r="3">
      <c r="B3" s="85" t="s">
        <v>223</v>
      </c>
      <c r="C3" s="86">
        <v>7.060185185185185E-4</v>
      </c>
      <c r="D3" s="87">
        <v>7.060185185185185E-4</v>
      </c>
      <c r="E3" s="88" t="s">
        <v>311</v>
      </c>
      <c r="F3" s="88" t="s">
        <v>311</v>
      </c>
      <c r="G3" s="89" t="s">
        <v>1049</v>
      </c>
      <c r="H3" s="88" t="s">
        <v>1050</v>
      </c>
      <c r="I3" s="90" t="s">
        <v>1466</v>
      </c>
    </row>
    <row r="4">
      <c r="B4" s="85" t="s">
        <v>227</v>
      </c>
      <c r="C4" s="91">
        <v>0.0034837962962962965</v>
      </c>
      <c r="D4" s="77">
        <v>0.004189814814814815</v>
      </c>
      <c r="E4" s="75" t="s">
        <v>1052</v>
      </c>
      <c r="F4" s="75" t="s">
        <v>262</v>
      </c>
      <c r="G4" s="92">
        <f>+0.79 %</f>
        <v>0.0079</v>
      </c>
      <c r="H4" s="75" t="s">
        <v>1053</v>
      </c>
      <c r="I4" s="93" t="s">
        <v>1261</v>
      </c>
    </row>
    <row r="5">
      <c r="B5" s="85" t="s">
        <v>232</v>
      </c>
      <c r="C5" s="91">
        <v>0.0015162037037037036</v>
      </c>
      <c r="D5" s="77">
        <v>0.005717592592592593</v>
      </c>
      <c r="E5" s="75" t="s">
        <v>1054</v>
      </c>
      <c r="F5" s="75" t="s">
        <v>1055</v>
      </c>
      <c r="G5" s="94" t="s">
        <v>269</v>
      </c>
      <c r="H5" s="75" t="s">
        <v>791</v>
      </c>
      <c r="I5" s="93" t="s">
        <v>1451</v>
      </c>
    </row>
    <row r="6">
      <c r="B6" s="85" t="s">
        <v>238</v>
      </c>
      <c r="C6" s="91">
        <v>1.273148148148148E-4</v>
      </c>
      <c r="D6" s="77">
        <v>0.005844907407407407</v>
      </c>
      <c r="E6" s="75" t="s">
        <v>228</v>
      </c>
      <c r="F6" s="75" t="s">
        <v>1056</v>
      </c>
      <c r="G6" s="92">
        <f>+0.6 %</f>
        <v>0.006</v>
      </c>
      <c r="H6" s="75" t="s">
        <v>1467</v>
      </c>
      <c r="I6" s="93" t="s">
        <v>333</v>
      </c>
    </row>
    <row r="7">
      <c r="B7" s="85" t="s">
        <v>244</v>
      </c>
      <c r="C7" s="91">
        <v>5.208333333333333E-4</v>
      </c>
      <c r="D7" s="77">
        <v>0.00636574074074074</v>
      </c>
      <c r="E7" s="75" t="s">
        <v>267</v>
      </c>
      <c r="F7" s="75" t="s">
        <v>1058</v>
      </c>
      <c r="G7" s="92">
        <f>+7.82 %</f>
        <v>0.0782</v>
      </c>
      <c r="H7" s="75" t="s">
        <v>1468</v>
      </c>
      <c r="I7" s="93" t="s">
        <v>1060</v>
      </c>
    </row>
    <row r="8">
      <c r="B8" s="85" t="s">
        <v>249</v>
      </c>
      <c r="C8" s="91">
        <v>8.796296296296296E-4</v>
      </c>
      <c r="D8" s="77">
        <v>0.007256944444444444</v>
      </c>
      <c r="E8" s="75" t="s">
        <v>261</v>
      </c>
      <c r="F8" s="75" t="s">
        <v>1061</v>
      </c>
      <c r="G8" s="92">
        <f>+5.3 %</f>
        <v>0.053</v>
      </c>
      <c r="H8" s="75" t="s">
        <v>1062</v>
      </c>
      <c r="I8" s="93" t="s">
        <v>821</v>
      </c>
    </row>
    <row r="9">
      <c r="B9" s="85" t="s">
        <v>255</v>
      </c>
      <c r="C9" s="91">
        <v>9.837962962962962E-4</v>
      </c>
      <c r="D9" s="77">
        <v>0.008240740740740741</v>
      </c>
      <c r="E9" s="75" t="s">
        <v>404</v>
      </c>
      <c r="F9" s="75" t="s">
        <v>1063</v>
      </c>
      <c r="G9" s="94" t="s">
        <v>1064</v>
      </c>
      <c r="H9" s="75" t="s">
        <v>1469</v>
      </c>
      <c r="I9" s="93" t="s">
        <v>1470</v>
      </c>
    </row>
    <row r="10">
      <c r="B10" s="85" t="s">
        <v>260</v>
      </c>
      <c r="C10" s="91">
        <v>8.912037037037037E-4</v>
      </c>
      <c r="D10" s="77">
        <v>0.009143518518518518</v>
      </c>
      <c r="E10" s="75" t="s">
        <v>474</v>
      </c>
      <c r="F10" s="75" t="s">
        <v>1066</v>
      </c>
      <c r="G10" s="92">
        <f>+0.43 %</f>
        <v>0.0043</v>
      </c>
      <c r="H10" s="75" t="s">
        <v>1471</v>
      </c>
      <c r="I10" s="93" t="s">
        <v>1068</v>
      </c>
    </row>
    <row r="11">
      <c r="B11" s="85" t="s">
        <v>266</v>
      </c>
      <c r="C11" s="91">
        <v>2.199074074074074E-4</v>
      </c>
      <c r="D11" s="77">
        <v>0.009375</v>
      </c>
      <c r="E11" s="75" t="s">
        <v>399</v>
      </c>
      <c r="F11" s="75" t="s">
        <v>1069</v>
      </c>
      <c r="G11" s="92">
        <f>+1.69 %</f>
        <v>0.0169</v>
      </c>
      <c r="H11" s="75" t="s">
        <v>1070</v>
      </c>
      <c r="I11" s="93" t="s">
        <v>1472</v>
      </c>
    </row>
    <row r="12">
      <c r="B12" s="85" t="s">
        <v>272</v>
      </c>
      <c r="C12" s="91">
        <v>0.0019560185185185184</v>
      </c>
      <c r="D12" s="77">
        <v>0.011342592592592593</v>
      </c>
      <c r="E12" s="75" t="s">
        <v>1071</v>
      </c>
      <c r="F12" s="75" t="s">
        <v>1072</v>
      </c>
      <c r="G12" s="92">
        <f>+7.31 %</f>
        <v>0.0731</v>
      </c>
      <c r="H12" s="75" t="s">
        <v>1073</v>
      </c>
      <c r="I12" s="93" t="s">
        <v>1074</v>
      </c>
    </row>
    <row r="13">
      <c r="B13" s="85" t="s">
        <v>277</v>
      </c>
      <c r="C13" s="91">
        <v>0.0025</v>
      </c>
      <c r="D13" s="77">
        <v>0.013842592592592592</v>
      </c>
      <c r="E13" s="75" t="s">
        <v>317</v>
      </c>
      <c r="F13" s="75" t="s">
        <v>1075</v>
      </c>
      <c r="G13" s="92">
        <f>+9.12 %</f>
        <v>0.0912</v>
      </c>
      <c r="H13" s="75" t="s">
        <v>1076</v>
      </c>
      <c r="I13" s="93" t="s">
        <v>484</v>
      </c>
    </row>
    <row r="14">
      <c r="B14" s="85" t="s">
        <v>280</v>
      </c>
      <c r="C14" s="91">
        <v>0.0012152777777777778</v>
      </c>
      <c r="D14" s="77">
        <v>0.01505787037037037</v>
      </c>
      <c r="E14" s="75" t="s">
        <v>434</v>
      </c>
      <c r="F14" s="75" t="s">
        <v>330</v>
      </c>
      <c r="G14" s="92">
        <f>+3.25 %</f>
        <v>0.0325</v>
      </c>
      <c r="H14" s="75" t="s">
        <v>1077</v>
      </c>
      <c r="I14" s="93" t="s">
        <v>751</v>
      </c>
    </row>
    <row r="15">
      <c r="B15" s="85" t="s">
        <v>285</v>
      </c>
      <c r="C15" s="91">
        <v>0.0019328703703703704</v>
      </c>
      <c r="D15" s="77">
        <v>0.017002314814814814</v>
      </c>
      <c r="E15" s="75" t="s">
        <v>1078</v>
      </c>
      <c r="F15" s="75" t="s">
        <v>1079</v>
      </c>
      <c r="G15" s="92">
        <f>+6.08 %</f>
        <v>0.0608</v>
      </c>
      <c r="H15" s="75" t="s">
        <v>1080</v>
      </c>
      <c r="I15" s="93" t="s">
        <v>811</v>
      </c>
    </row>
    <row r="16">
      <c r="B16" s="85" t="s">
        <v>290</v>
      </c>
      <c r="C16" s="91">
        <v>2.8935185185185184E-4</v>
      </c>
      <c r="D16" s="77">
        <v>0.017291666666666667</v>
      </c>
      <c r="E16" s="75" t="s">
        <v>497</v>
      </c>
      <c r="F16" s="75" t="s">
        <v>1081</v>
      </c>
      <c r="G16" s="92">
        <f>+5.9 %</f>
        <v>0.059</v>
      </c>
      <c r="H16" s="75" t="s">
        <v>1082</v>
      </c>
      <c r="I16" s="93" t="s">
        <v>805</v>
      </c>
    </row>
    <row r="17">
      <c r="B17" s="85" t="s">
        <v>296</v>
      </c>
      <c r="C17" s="91">
        <v>4.2824074074074075E-4</v>
      </c>
      <c r="D17" s="77">
        <v>0.01773148148148148</v>
      </c>
      <c r="E17" s="75" t="s">
        <v>370</v>
      </c>
      <c r="F17" s="75" t="s">
        <v>1083</v>
      </c>
      <c r="G17" s="94" t="s">
        <v>1084</v>
      </c>
      <c r="H17" s="75" t="s">
        <v>1473</v>
      </c>
      <c r="I17" s="93" t="s">
        <v>1474</v>
      </c>
    </row>
    <row r="18">
      <c r="B18" s="85" t="s">
        <v>301</v>
      </c>
      <c r="C18" s="91">
        <v>7.754629629629629E-4</v>
      </c>
      <c r="D18" s="77">
        <v>0.018506944444444444</v>
      </c>
      <c r="E18" s="75" t="s">
        <v>607</v>
      </c>
      <c r="F18" s="75" t="s">
        <v>1087</v>
      </c>
      <c r="G18" s="94" t="s">
        <v>1088</v>
      </c>
      <c r="H18" s="75" t="s">
        <v>1475</v>
      </c>
      <c r="I18" s="93" t="s">
        <v>1192</v>
      </c>
    </row>
    <row r="19">
      <c r="B19" s="85" t="s">
        <v>305</v>
      </c>
      <c r="C19" s="91">
        <v>5.555555555555556E-4</v>
      </c>
      <c r="D19" s="77">
        <v>0.019074074074074073</v>
      </c>
      <c r="E19" s="75" t="s">
        <v>323</v>
      </c>
      <c r="F19" s="75" t="s">
        <v>1090</v>
      </c>
      <c r="G19" s="94" t="s">
        <v>877</v>
      </c>
      <c r="H19" s="75" t="s">
        <v>1476</v>
      </c>
      <c r="I19" s="93" t="s">
        <v>1477</v>
      </c>
    </row>
    <row r="20">
      <c r="B20" s="85" t="s">
        <v>310</v>
      </c>
      <c r="C20" s="91">
        <v>1.273148148148148E-4</v>
      </c>
      <c r="D20" s="77">
        <v>0.01920138888888889</v>
      </c>
      <c r="E20" s="75" t="s">
        <v>794</v>
      </c>
      <c r="F20" s="75" t="s">
        <v>1092</v>
      </c>
      <c r="G20" s="94" t="s">
        <v>1093</v>
      </c>
      <c r="H20" s="75" t="s">
        <v>1478</v>
      </c>
      <c r="I20" s="93" t="s">
        <v>1380</v>
      </c>
    </row>
    <row r="21">
      <c r="B21" s="85" t="s">
        <v>316</v>
      </c>
      <c r="C21" s="91">
        <v>7.523148148148148E-4</v>
      </c>
      <c r="D21" s="77">
        <v>0.019965277777777776</v>
      </c>
      <c r="E21" s="75" t="s">
        <v>261</v>
      </c>
      <c r="F21" s="75" t="s">
        <v>1096</v>
      </c>
      <c r="G21" s="92">
        <f>+6.7 %</f>
        <v>0.067</v>
      </c>
      <c r="H21" s="75" t="s">
        <v>1479</v>
      </c>
      <c r="I21" s="93" t="s">
        <v>610</v>
      </c>
    </row>
    <row r="22">
      <c r="B22" s="85" t="s">
        <v>322</v>
      </c>
      <c r="C22" s="91">
        <v>7.986111111111112E-4</v>
      </c>
      <c r="D22" s="77">
        <v>0.020763888888888887</v>
      </c>
      <c r="E22" s="75" t="s">
        <v>239</v>
      </c>
      <c r="F22" s="75" t="s">
        <v>1098</v>
      </c>
      <c r="G22" s="92">
        <f>+1.3 %</f>
        <v>0.013</v>
      </c>
      <c r="H22" s="75" t="s">
        <v>1099</v>
      </c>
      <c r="I22" s="93" t="s">
        <v>1100</v>
      </c>
    </row>
    <row r="23">
      <c r="B23" s="85" t="s">
        <v>328</v>
      </c>
      <c r="C23" s="91">
        <v>3.587962962962963E-4</v>
      </c>
      <c r="D23" s="77">
        <v>0.02113425925925926</v>
      </c>
      <c r="E23" s="75" t="s">
        <v>620</v>
      </c>
      <c r="F23" s="75" t="s">
        <v>1101</v>
      </c>
      <c r="G23" s="92">
        <f>+3.88 %</f>
        <v>0.0388</v>
      </c>
      <c r="H23" s="75" t="s">
        <v>1102</v>
      </c>
      <c r="I23" s="93" t="s">
        <v>1103</v>
      </c>
    </row>
    <row r="24">
      <c r="B24" s="85" t="s">
        <v>334</v>
      </c>
      <c r="C24" s="91">
        <v>9.027777777777777E-4</v>
      </c>
      <c r="D24" s="77">
        <v>0.022037037037037036</v>
      </c>
      <c r="E24" s="75" t="s">
        <v>765</v>
      </c>
      <c r="F24" s="75" t="s">
        <v>1104</v>
      </c>
      <c r="G24" s="92">
        <f>+1.18 %</f>
        <v>0.0118</v>
      </c>
      <c r="H24" s="75" t="s">
        <v>1105</v>
      </c>
      <c r="I24" s="93" t="s">
        <v>780</v>
      </c>
    </row>
    <row r="25">
      <c r="B25" s="85" t="s">
        <v>339</v>
      </c>
      <c r="C25" s="91">
        <v>0.0019444444444444444</v>
      </c>
      <c r="D25" s="77">
        <v>0.023981481481481482</v>
      </c>
      <c r="E25" s="75" t="s">
        <v>813</v>
      </c>
      <c r="F25" s="75" t="s">
        <v>1106</v>
      </c>
      <c r="G25" s="92">
        <f>+13.4 %</f>
        <v>0.134</v>
      </c>
      <c r="H25" s="75" t="s">
        <v>1107</v>
      </c>
      <c r="I25" s="93" t="s">
        <v>1108</v>
      </c>
    </row>
    <row r="26">
      <c r="B26" s="85" t="s">
        <v>344</v>
      </c>
      <c r="C26" s="91">
        <v>0.0010069444444444444</v>
      </c>
      <c r="D26" s="77">
        <v>0.025</v>
      </c>
      <c r="E26" s="75" t="s">
        <v>281</v>
      </c>
      <c r="F26" s="75" t="s">
        <v>1109</v>
      </c>
      <c r="G26" s="92">
        <f>+9.8 %</f>
        <v>0.098</v>
      </c>
      <c r="H26" s="75" t="s">
        <v>1480</v>
      </c>
      <c r="I26" s="93" t="s">
        <v>1286</v>
      </c>
    </row>
    <row r="27">
      <c r="B27" s="85" t="s">
        <v>349</v>
      </c>
      <c r="C27" s="91">
        <v>8.680555555555555E-4</v>
      </c>
      <c r="D27" s="77">
        <v>0.025868055555555554</v>
      </c>
      <c r="E27" s="75" t="s">
        <v>229</v>
      </c>
      <c r="F27" s="75" t="s">
        <v>1112</v>
      </c>
      <c r="G27" s="92">
        <f>+1.94 %</f>
        <v>0.0194</v>
      </c>
      <c r="H27" s="75" t="s">
        <v>1481</v>
      </c>
      <c r="I27" s="93" t="s">
        <v>452</v>
      </c>
    </row>
    <row r="28">
      <c r="B28" s="85" t="s">
        <v>355</v>
      </c>
      <c r="C28" s="91">
        <v>9.837962962962962E-4</v>
      </c>
      <c r="D28" s="77">
        <v>0.026863425925925926</v>
      </c>
      <c r="E28" s="75" t="s">
        <v>620</v>
      </c>
      <c r="F28" s="75" t="s">
        <v>1114</v>
      </c>
      <c r="G28" s="92">
        <f>+17.89 %</f>
        <v>0.1789</v>
      </c>
      <c r="H28" s="75" t="s">
        <v>1115</v>
      </c>
      <c r="I28" s="93" t="s">
        <v>671</v>
      </c>
    </row>
    <row r="29">
      <c r="B29" s="85" t="s">
        <v>359</v>
      </c>
      <c r="C29" s="91">
        <v>5.787037037037037E-4</v>
      </c>
      <c r="D29" s="77">
        <v>0.027453703703703702</v>
      </c>
      <c r="E29" s="75" t="s">
        <v>1116</v>
      </c>
      <c r="F29" s="75" t="s">
        <v>1117</v>
      </c>
      <c r="G29" s="92">
        <f>+2.01 %</f>
        <v>0.0201</v>
      </c>
      <c r="H29" s="75" t="s">
        <v>1482</v>
      </c>
      <c r="I29" s="93" t="s">
        <v>495</v>
      </c>
    </row>
    <row r="30">
      <c r="B30" s="85" t="s">
        <v>364</v>
      </c>
      <c r="C30" s="91">
        <v>6.828703703703704E-4</v>
      </c>
      <c r="D30" s="77">
        <v>0.028136574074074074</v>
      </c>
      <c r="E30" s="75" t="s">
        <v>725</v>
      </c>
      <c r="F30" s="75" t="s">
        <v>1119</v>
      </c>
      <c r="G30" s="94" t="s">
        <v>1120</v>
      </c>
      <c r="H30" s="75" t="s">
        <v>1483</v>
      </c>
      <c r="I30" s="93" t="s">
        <v>1484</v>
      </c>
    </row>
    <row r="31">
      <c r="B31" s="85" t="s">
        <v>369</v>
      </c>
      <c r="C31" s="91">
        <v>4.166666666666667E-4</v>
      </c>
      <c r="D31" s="77">
        <v>0.028564814814814814</v>
      </c>
      <c r="E31" s="75" t="s">
        <v>1123</v>
      </c>
      <c r="F31" s="75" t="s">
        <v>1124</v>
      </c>
      <c r="G31" s="94" t="s">
        <v>1125</v>
      </c>
      <c r="H31" s="75" t="s">
        <v>1485</v>
      </c>
      <c r="I31" s="93" t="s">
        <v>1486</v>
      </c>
    </row>
    <row r="32">
      <c r="B32" s="85" t="s">
        <v>375</v>
      </c>
      <c r="C32" s="91">
        <v>0.0017708333333333332</v>
      </c>
      <c r="D32" s="77">
        <v>0.03033564814814815</v>
      </c>
      <c r="E32" s="75" t="s">
        <v>1128</v>
      </c>
      <c r="F32" s="75" t="s">
        <v>1129</v>
      </c>
      <c r="G32" s="94" t="s">
        <v>1130</v>
      </c>
      <c r="H32" s="75" t="s">
        <v>1487</v>
      </c>
      <c r="I32" s="93" t="s">
        <v>1215</v>
      </c>
    </row>
    <row r="33">
      <c r="B33" s="85" t="s">
        <v>381</v>
      </c>
      <c r="C33" s="91">
        <v>4.62962962962963E-4</v>
      </c>
      <c r="D33" s="77">
        <v>0.030810185185185184</v>
      </c>
      <c r="E33" s="75" t="s">
        <v>813</v>
      </c>
      <c r="F33" s="75" t="s">
        <v>414</v>
      </c>
      <c r="G33" s="94" t="s">
        <v>1133</v>
      </c>
      <c r="H33" s="75" t="s">
        <v>1488</v>
      </c>
      <c r="I33" s="93" t="s">
        <v>1177</v>
      </c>
    </row>
    <row r="34">
      <c r="B34" s="85" t="s">
        <v>385</v>
      </c>
      <c r="C34" s="91">
        <v>0.0011921296296296296</v>
      </c>
      <c r="D34" s="77">
        <v>0.03200231481481482</v>
      </c>
      <c r="E34" s="75" t="s">
        <v>382</v>
      </c>
      <c r="F34" s="75" t="s">
        <v>1135</v>
      </c>
      <c r="G34" s="92">
        <f>+15.67 %</f>
        <v>0.1567</v>
      </c>
      <c r="H34" s="75" t="s">
        <v>1136</v>
      </c>
      <c r="I34" s="93" t="s">
        <v>1137</v>
      </c>
    </row>
    <row r="35">
      <c r="B35" s="85" t="s">
        <v>388</v>
      </c>
      <c r="C35" s="91">
        <v>2.199074074074074E-4</v>
      </c>
      <c r="D35" s="77">
        <v>0.032233796296296295</v>
      </c>
      <c r="E35" s="75" t="s">
        <v>360</v>
      </c>
      <c r="F35" s="75" t="s">
        <v>1138</v>
      </c>
      <c r="G35" s="94" t="s">
        <v>1139</v>
      </c>
      <c r="H35" s="75" t="s">
        <v>1489</v>
      </c>
      <c r="I35" s="93" t="s">
        <v>1222</v>
      </c>
    </row>
    <row r="36">
      <c r="B36" s="85" t="s">
        <v>393</v>
      </c>
      <c r="C36" s="91">
        <v>9.143518518518518E-4</v>
      </c>
      <c r="D36" s="77">
        <v>0.03315972222222222</v>
      </c>
      <c r="E36" s="75" t="s">
        <v>1142</v>
      </c>
      <c r="F36" s="75" t="s">
        <v>1143</v>
      </c>
      <c r="G36" s="94" t="s">
        <v>1144</v>
      </c>
      <c r="H36" s="75" t="s">
        <v>1490</v>
      </c>
      <c r="I36" s="93" t="s">
        <v>1491</v>
      </c>
    </row>
    <row r="37">
      <c r="B37" s="85" t="s">
        <v>398</v>
      </c>
      <c r="C37" s="91">
        <v>1.1574074074074075E-4</v>
      </c>
      <c r="D37" s="77">
        <v>0.033275462962962965</v>
      </c>
      <c r="E37" s="75" t="s">
        <v>399</v>
      </c>
      <c r="F37" s="75" t="s">
        <v>1146</v>
      </c>
      <c r="G37" s="94" t="s">
        <v>1120</v>
      </c>
      <c r="H37" s="75" t="s">
        <v>1147</v>
      </c>
      <c r="I37" s="93" t="s">
        <v>1492</v>
      </c>
    </row>
    <row r="38">
      <c r="B38" s="85" t="s">
        <v>403</v>
      </c>
      <c r="C38" s="91">
        <v>6.018518518518519E-4</v>
      </c>
      <c r="D38" s="77">
        <v>0.03388888888888889</v>
      </c>
      <c r="E38" s="75" t="s">
        <v>1149</v>
      </c>
      <c r="F38" s="75" t="s">
        <v>1150</v>
      </c>
      <c r="G38" s="92">
        <f>+1.29 %</f>
        <v>0.0129</v>
      </c>
      <c r="H38" s="75" t="s">
        <v>1493</v>
      </c>
      <c r="I38" s="93" t="s">
        <v>1100</v>
      </c>
    </row>
    <row r="39">
      <c r="B39" s="85" t="s">
        <v>407</v>
      </c>
      <c r="C39" s="91">
        <v>1.388888888888889E-4</v>
      </c>
      <c r="D39" s="77">
        <v>0.03403935185185185</v>
      </c>
      <c r="E39" s="75" t="s">
        <v>419</v>
      </c>
      <c r="F39" s="75" t="s">
        <v>1152</v>
      </c>
      <c r="G39" s="92">
        <f>+2.99 %</f>
        <v>0.0299</v>
      </c>
      <c r="H39" s="75" t="s">
        <v>1494</v>
      </c>
      <c r="I39" s="93" t="s">
        <v>1154</v>
      </c>
    </row>
    <row r="40">
      <c r="B40" s="85" t="s">
        <v>412</v>
      </c>
      <c r="C40" s="91">
        <v>9.259259259259259E-5</v>
      </c>
      <c r="D40" s="77">
        <v>0.034131944444444444</v>
      </c>
      <c r="E40" s="75" t="s">
        <v>1155</v>
      </c>
      <c r="F40" s="75" t="s">
        <v>1156</v>
      </c>
      <c r="G40" s="94" t="s">
        <v>1157</v>
      </c>
      <c r="H40" s="75" t="s">
        <v>1158</v>
      </c>
      <c r="I40" s="93" t="s">
        <v>321</v>
      </c>
    </row>
    <row r="41">
      <c r="B41" s="85" t="s">
        <v>418</v>
      </c>
      <c r="C41" s="91">
        <v>2.8935185185185184E-4</v>
      </c>
      <c r="D41" s="77">
        <v>0.03443287037037037</v>
      </c>
      <c r="E41" s="75" t="s">
        <v>653</v>
      </c>
      <c r="F41" s="75" t="s">
        <v>1159</v>
      </c>
      <c r="G41" s="94" t="s">
        <v>1160</v>
      </c>
      <c r="H41" s="75" t="s">
        <v>1161</v>
      </c>
      <c r="I41" s="93" t="s">
        <v>1303</v>
      </c>
    </row>
    <row r="42">
      <c r="B42" s="85" t="s">
        <v>424</v>
      </c>
      <c r="C42" s="91">
        <v>1.8518518518518518E-4</v>
      </c>
      <c r="D42" s="77">
        <v>0.034618055555555555</v>
      </c>
      <c r="E42" s="75" t="s">
        <v>291</v>
      </c>
      <c r="F42" s="75" t="s">
        <v>1162</v>
      </c>
      <c r="G42" s="94" t="s">
        <v>1163</v>
      </c>
      <c r="H42" s="75" t="s">
        <v>1495</v>
      </c>
      <c r="I42" s="93" t="s">
        <v>1496</v>
      </c>
    </row>
    <row r="43">
      <c r="B43" s="85" t="s">
        <v>427</v>
      </c>
      <c r="C43" s="91">
        <v>3.587962962962963E-4</v>
      </c>
      <c r="D43" s="77">
        <v>0.03497685185185185</v>
      </c>
      <c r="E43" s="75" t="s">
        <v>286</v>
      </c>
      <c r="F43" s="75" t="s">
        <v>1166</v>
      </c>
      <c r="G43" s="92">
        <f>+0.63 %</f>
        <v>0.0063</v>
      </c>
      <c r="H43" s="75" t="s">
        <v>410</v>
      </c>
      <c r="I43" s="93" t="s">
        <v>315</v>
      </c>
    </row>
    <row r="44">
      <c r="B44" s="85" t="s">
        <v>433</v>
      </c>
      <c r="C44" s="91">
        <v>1.9675925925925926E-4</v>
      </c>
      <c r="D44" s="77">
        <v>0.03518518518518519</v>
      </c>
      <c r="E44" s="75" t="s">
        <v>468</v>
      </c>
      <c r="F44" s="75" t="s">
        <v>1168</v>
      </c>
      <c r="G44" s="92">
        <f>+1.47 %</f>
        <v>0.0147</v>
      </c>
      <c r="H44" s="75" t="s">
        <v>1169</v>
      </c>
      <c r="I44" s="93" t="s">
        <v>1170</v>
      </c>
    </row>
    <row r="45">
      <c r="B45" s="85" t="s">
        <v>437</v>
      </c>
      <c r="C45" s="91">
        <v>6.597222222222222E-4</v>
      </c>
      <c r="D45" s="77">
        <v>0.03585648148148148</v>
      </c>
      <c r="E45" s="75" t="s">
        <v>350</v>
      </c>
      <c r="F45" s="75" t="s">
        <v>1171</v>
      </c>
      <c r="G45" s="92">
        <f>+9.33 %</f>
        <v>0.0933</v>
      </c>
      <c r="H45" s="75" t="s">
        <v>1172</v>
      </c>
      <c r="I45" s="93" t="s">
        <v>1173</v>
      </c>
    </row>
    <row r="46">
      <c r="B46" s="85" t="s">
        <v>440</v>
      </c>
      <c r="C46" s="91">
        <v>6.25E-4</v>
      </c>
      <c r="D46" s="77">
        <v>0.036493055555555556</v>
      </c>
      <c r="E46" s="75" t="s">
        <v>335</v>
      </c>
      <c r="F46" s="75" t="s">
        <v>1174</v>
      </c>
      <c r="G46" s="94" t="s">
        <v>1175</v>
      </c>
      <c r="H46" s="75" t="s">
        <v>1497</v>
      </c>
      <c r="I46" s="93" t="s">
        <v>1226</v>
      </c>
    </row>
    <row r="47">
      <c r="B47" s="85" t="s">
        <v>444</v>
      </c>
      <c r="C47" s="91">
        <v>8.217592592592593E-4</v>
      </c>
      <c r="D47" s="77">
        <v>0.037314814814814815</v>
      </c>
      <c r="E47" s="75" t="s">
        <v>229</v>
      </c>
      <c r="F47" s="75" t="s">
        <v>1178</v>
      </c>
      <c r="G47" s="92">
        <f>+2.73 %</f>
        <v>0.0273</v>
      </c>
      <c r="H47" s="75" t="s">
        <v>1498</v>
      </c>
      <c r="I47" s="93" t="s">
        <v>276</v>
      </c>
    </row>
    <row r="48">
      <c r="B48" s="85" t="s">
        <v>449</v>
      </c>
      <c r="C48" s="91">
        <v>8.333333333333334E-4</v>
      </c>
      <c r="D48" s="77">
        <v>0.038148148148148146</v>
      </c>
      <c r="E48" s="75" t="s">
        <v>678</v>
      </c>
      <c r="F48" s="75" t="s">
        <v>1180</v>
      </c>
      <c r="G48" s="94" t="s">
        <v>1181</v>
      </c>
      <c r="H48" s="75" t="s">
        <v>1499</v>
      </c>
      <c r="I48" s="93" t="s">
        <v>1474</v>
      </c>
    </row>
    <row r="49">
      <c r="B49" s="85" t="s">
        <v>453</v>
      </c>
      <c r="C49" s="91">
        <v>3.125E-4</v>
      </c>
      <c r="D49" s="77">
        <v>0.03847222222222222</v>
      </c>
      <c r="E49" s="75" t="s">
        <v>576</v>
      </c>
      <c r="F49" s="75" t="s">
        <v>1182</v>
      </c>
      <c r="G49" s="94" t="s">
        <v>1183</v>
      </c>
      <c r="H49" s="75" t="s">
        <v>1500</v>
      </c>
      <c r="I49" s="93" t="s">
        <v>1501</v>
      </c>
    </row>
    <row r="50">
      <c r="B50" s="85" t="s">
        <v>458</v>
      </c>
      <c r="C50" s="91">
        <v>0.0016203703703703703</v>
      </c>
      <c r="D50" s="77">
        <v>0.04009259259259259</v>
      </c>
      <c r="E50" s="75" t="s">
        <v>486</v>
      </c>
      <c r="F50" s="75" t="s">
        <v>1186</v>
      </c>
      <c r="G50" s="92">
        <f>+7.31 %</f>
        <v>0.0731</v>
      </c>
      <c r="H50" s="75" t="s">
        <v>1502</v>
      </c>
      <c r="I50" s="93" t="s">
        <v>711</v>
      </c>
    </row>
    <row r="51">
      <c r="B51" s="85" t="s">
        <v>462</v>
      </c>
      <c r="C51" s="91">
        <v>0.0013078703703703703</v>
      </c>
      <c r="D51" s="77">
        <v>0.041400462962962965</v>
      </c>
      <c r="E51" s="75" t="s">
        <v>1188</v>
      </c>
      <c r="F51" s="75" t="s">
        <v>1189</v>
      </c>
      <c r="G51" s="94" t="s">
        <v>1190</v>
      </c>
      <c r="H51" s="75" t="s">
        <v>1503</v>
      </c>
      <c r="I51" s="93" t="s">
        <v>1192</v>
      </c>
    </row>
    <row r="52">
      <c r="B52" s="85" t="s">
        <v>467</v>
      </c>
      <c r="C52" s="91">
        <v>6.712962962962962E-4</v>
      </c>
      <c r="D52" s="77">
        <v>0.042083333333333334</v>
      </c>
      <c r="E52" s="75" t="s">
        <v>691</v>
      </c>
      <c r="F52" s="75" t="s">
        <v>1193</v>
      </c>
      <c r="G52" s="94" t="s">
        <v>1194</v>
      </c>
      <c r="H52" s="75" t="s">
        <v>862</v>
      </c>
      <c r="I52" s="93" t="s">
        <v>506</v>
      </c>
    </row>
    <row r="53">
      <c r="B53" s="85" t="s">
        <v>473</v>
      </c>
      <c r="C53" s="91">
        <v>1.0416666666666667E-4</v>
      </c>
      <c r="D53" s="77">
        <v>0.0421875</v>
      </c>
      <c r="E53" s="75" t="s">
        <v>419</v>
      </c>
      <c r="F53" s="75" t="s">
        <v>1196</v>
      </c>
      <c r="G53" s="94" t="s">
        <v>1197</v>
      </c>
      <c r="H53" s="75" t="s">
        <v>1504</v>
      </c>
      <c r="I53" s="93" t="s">
        <v>1051</v>
      </c>
    </row>
    <row r="54">
      <c r="B54" s="85" t="s">
        <v>477</v>
      </c>
      <c r="C54" s="91">
        <v>5.092592592592592E-4</v>
      </c>
      <c r="D54" s="77">
        <v>0.042708333333333334</v>
      </c>
      <c r="E54" s="75" t="s">
        <v>1116</v>
      </c>
      <c r="F54" s="75" t="s">
        <v>1200</v>
      </c>
      <c r="G54" s="92">
        <f>+2.42 %</f>
        <v>0.0242</v>
      </c>
      <c r="H54" s="75" t="s">
        <v>1505</v>
      </c>
      <c r="I54" s="93" t="s">
        <v>1506</v>
      </c>
    </row>
    <row r="55">
      <c r="B55" s="85" t="s">
        <v>482</v>
      </c>
      <c r="C55" s="91">
        <v>0.0028125</v>
      </c>
      <c r="D55" s="77">
        <v>0.04553240740740741</v>
      </c>
      <c r="E55" s="75" t="s">
        <v>1202</v>
      </c>
      <c r="F55" s="75" t="s">
        <v>1203</v>
      </c>
      <c r="G55" s="92">
        <f>+1.63 %</f>
        <v>0.0163</v>
      </c>
      <c r="H55" s="75" t="s">
        <v>1204</v>
      </c>
      <c r="I55" s="93" t="s">
        <v>1170</v>
      </c>
    </row>
    <row r="56">
      <c r="B56" s="85" t="s">
        <v>485</v>
      </c>
      <c r="C56" s="91">
        <v>0.002210648148148148</v>
      </c>
      <c r="D56" s="77">
        <v>0.04774305555555555</v>
      </c>
      <c r="E56" s="75" t="s">
        <v>1205</v>
      </c>
      <c r="F56" s="75" t="s">
        <v>1206</v>
      </c>
      <c r="G56" s="94" t="s">
        <v>1207</v>
      </c>
      <c r="H56" s="75" t="s">
        <v>1208</v>
      </c>
      <c r="I56" s="93" t="s">
        <v>1507</v>
      </c>
    </row>
    <row r="57">
      <c r="B57" s="85" t="s">
        <v>491</v>
      </c>
      <c r="C57" s="91">
        <v>2.0833333333333335E-4</v>
      </c>
      <c r="D57" s="77">
        <v>0.04795138888888889</v>
      </c>
      <c r="E57" s="75" t="s">
        <v>818</v>
      </c>
      <c r="F57" s="75" t="s">
        <v>1210</v>
      </c>
      <c r="G57" s="92">
        <f>+2.78 %</f>
        <v>0.0278</v>
      </c>
      <c r="H57" s="75" t="s">
        <v>609</v>
      </c>
      <c r="I57" s="93" t="s">
        <v>284</v>
      </c>
    </row>
    <row r="58">
      <c r="B58" s="85" t="s">
        <v>496</v>
      </c>
      <c r="C58" s="91">
        <v>2.8935185185185184E-4</v>
      </c>
      <c r="D58" s="77">
        <v>0.048240740740740744</v>
      </c>
      <c r="E58" s="75" t="s">
        <v>350</v>
      </c>
      <c r="F58" s="75" t="s">
        <v>1212</v>
      </c>
      <c r="G58" s="94" t="s">
        <v>1213</v>
      </c>
      <c r="H58" s="75" t="s">
        <v>583</v>
      </c>
      <c r="I58" s="93" t="s">
        <v>1508</v>
      </c>
    </row>
    <row r="59">
      <c r="B59" s="85" t="s">
        <v>501</v>
      </c>
      <c r="C59" s="91">
        <v>5.787037037037037E-4</v>
      </c>
      <c r="D59" s="77">
        <v>0.04883101851851852</v>
      </c>
      <c r="E59" s="75" t="s">
        <v>731</v>
      </c>
      <c r="F59" s="75" t="s">
        <v>1216</v>
      </c>
      <c r="G59" s="94" t="s">
        <v>1217</v>
      </c>
      <c r="H59" s="75" t="s">
        <v>1509</v>
      </c>
      <c r="I59" s="93" t="s">
        <v>321</v>
      </c>
    </row>
    <row r="60">
      <c r="B60" s="85" t="s">
        <v>507</v>
      </c>
      <c r="C60" s="91">
        <v>7.407407407407407E-4</v>
      </c>
      <c r="D60" s="77">
        <v>0.04958333333333333</v>
      </c>
      <c r="E60" s="75" t="s">
        <v>641</v>
      </c>
      <c r="F60" s="75" t="s">
        <v>1219</v>
      </c>
      <c r="G60" s="94" t="s">
        <v>1220</v>
      </c>
      <c r="H60" s="75" t="s">
        <v>1221</v>
      </c>
      <c r="I60" s="93" t="s">
        <v>1141</v>
      </c>
    </row>
    <row r="61">
      <c r="B61" s="85" t="s">
        <v>510</v>
      </c>
      <c r="C61" s="91">
        <v>1.0416666666666667E-4</v>
      </c>
      <c r="D61" s="77">
        <v>0.0496875</v>
      </c>
      <c r="E61" s="75" t="s">
        <v>794</v>
      </c>
      <c r="F61" s="75" t="s">
        <v>1223</v>
      </c>
      <c r="G61" s="94" t="s">
        <v>1224</v>
      </c>
      <c r="H61" s="75" t="s">
        <v>1510</v>
      </c>
      <c r="I61" s="93" t="s">
        <v>1474</v>
      </c>
    </row>
    <row r="62">
      <c r="B62" s="85" t="s">
        <v>513</v>
      </c>
      <c r="C62" s="91">
        <v>0.0017476851851851852</v>
      </c>
      <c r="D62" s="77">
        <v>0.05143518518518519</v>
      </c>
      <c r="E62" s="75" t="s">
        <v>1227</v>
      </c>
      <c r="F62" s="75" t="s">
        <v>1228</v>
      </c>
      <c r="G62" s="92">
        <f>+2.99 %</f>
        <v>0.0299</v>
      </c>
      <c r="H62" s="75" t="s">
        <v>1511</v>
      </c>
      <c r="I62" s="93" t="s">
        <v>706</v>
      </c>
    </row>
    <row r="63">
      <c r="B63" s="85" t="s">
        <v>519</v>
      </c>
      <c r="C63" s="91">
        <v>3.587962962962963E-4</v>
      </c>
      <c r="D63" s="77">
        <v>0.051805555555555556</v>
      </c>
      <c r="E63" s="75" t="s">
        <v>1230</v>
      </c>
      <c r="F63" s="75" t="s">
        <v>1231</v>
      </c>
      <c r="G63" s="94" t="s">
        <v>1232</v>
      </c>
      <c r="H63" s="75" t="s">
        <v>1512</v>
      </c>
      <c r="I63" s="93" t="s">
        <v>1513</v>
      </c>
    </row>
    <row r="64">
      <c r="B64" s="85" t="s">
        <v>525</v>
      </c>
      <c r="C64" s="91">
        <v>2.314814814814815E-4</v>
      </c>
      <c r="D64" s="77">
        <v>0.05204861111111111</v>
      </c>
      <c r="E64" s="75" t="s">
        <v>753</v>
      </c>
      <c r="F64" s="75" t="s">
        <v>1235</v>
      </c>
      <c r="G64" s="94" t="s">
        <v>1236</v>
      </c>
      <c r="H64" s="75" t="s">
        <v>1514</v>
      </c>
      <c r="I64" s="93" t="s">
        <v>1086</v>
      </c>
    </row>
    <row r="65">
      <c r="B65" s="85" t="s">
        <v>530</v>
      </c>
      <c r="C65" s="91">
        <v>0.0010069444444444444</v>
      </c>
      <c r="D65" s="77">
        <v>0.05305555555555556</v>
      </c>
      <c r="E65" s="75" t="s">
        <v>404</v>
      </c>
      <c r="F65" s="75" t="s">
        <v>1239</v>
      </c>
      <c r="G65" s="92">
        <f>+2.52 %</f>
        <v>0.0252</v>
      </c>
      <c r="H65" s="75" t="s">
        <v>1515</v>
      </c>
      <c r="I65" s="93" t="s">
        <v>631</v>
      </c>
    </row>
    <row r="66">
      <c r="B66" s="85" t="s">
        <v>535</v>
      </c>
      <c r="C66" s="91">
        <v>2.8935185185185184E-4</v>
      </c>
      <c r="D66" s="77">
        <v>0.053356481481481484</v>
      </c>
      <c r="E66" s="75" t="s">
        <v>818</v>
      </c>
      <c r="F66" s="75" t="s">
        <v>1241</v>
      </c>
      <c r="G66" s="92">
        <f>+4.71 %</f>
        <v>0.0471</v>
      </c>
      <c r="H66" s="75" t="s">
        <v>1516</v>
      </c>
      <c r="I66" s="93" t="s">
        <v>579</v>
      </c>
    </row>
    <row r="67">
      <c r="B67" s="85" t="s">
        <v>538</v>
      </c>
      <c r="C67" s="91">
        <v>0.0038194444444444443</v>
      </c>
      <c r="D67" s="77">
        <v>0.0571875</v>
      </c>
      <c r="E67" s="75" t="s">
        <v>1243</v>
      </c>
      <c r="F67" s="75" t="s">
        <v>1244</v>
      </c>
      <c r="G67" s="94" t="s">
        <v>1245</v>
      </c>
      <c r="H67" s="75" t="s">
        <v>20</v>
      </c>
      <c r="I67" s="93" t="s">
        <v>1517</v>
      </c>
    </row>
    <row r="68">
      <c r="B68" s="85" t="s">
        <v>544</v>
      </c>
      <c r="C68" s="91">
        <v>1.273148148148148E-4</v>
      </c>
      <c r="D68" s="77">
        <v>0.05731481481481481</v>
      </c>
      <c r="E68" s="75" t="s">
        <v>1247</v>
      </c>
      <c r="F68" s="75" t="s">
        <v>1248</v>
      </c>
      <c r="G68" s="94" t="s">
        <v>1249</v>
      </c>
      <c r="H68" s="75" t="s">
        <v>1099</v>
      </c>
      <c r="I68" s="93" t="s">
        <v>374</v>
      </c>
    </row>
    <row r="69">
      <c r="B69" s="85" t="s">
        <v>548</v>
      </c>
      <c r="C69" s="91">
        <v>9.259259259259259E-5</v>
      </c>
      <c r="D69" s="77">
        <v>0.05741898148148148</v>
      </c>
      <c r="E69" s="75" t="s">
        <v>419</v>
      </c>
      <c r="F69" s="75" t="s">
        <v>1252</v>
      </c>
      <c r="G69" s="94" t="s">
        <v>1253</v>
      </c>
      <c r="H69" s="75" t="s">
        <v>1518</v>
      </c>
      <c r="I69" s="93" t="s">
        <v>1519</v>
      </c>
    </row>
    <row r="70">
      <c r="B70" s="85" t="s">
        <v>553</v>
      </c>
      <c r="C70" s="91">
        <v>0.0043055555555555555</v>
      </c>
      <c r="D70" s="77">
        <v>0.06173611111111111</v>
      </c>
      <c r="E70" s="75" t="s">
        <v>1256</v>
      </c>
      <c r="F70" s="75" t="s">
        <v>1257</v>
      </c>
      <c r="G70" s="92">
        <f>+2.54 %</f>
        <v>0.0254</v>
      </c>
      <c r="H70" s="75" t="s">
        <v>1258</v>
      </c>
      <c r="I70" s="93" t="s">
        <v>631</v>
      </c>
    </row>
    <row r="71">
      <c r="B71" s="85" t="s">
        <v>559</v>
      </c>
      <c r="C71" s="91">
        <v>2.314814814814815E-4</v>
      </c>
      <c r="D71" s="77">
        <v>0.06197916666666667</v>
      </c>
      <c r="E71" s="75" t="s">
        <v>818</v>
      </c>
      <c r="F71" s="75" t="s">
        <v>1259</v>
      </c>
      <c r="G71" s="92">
        <f>+1.23 %</f>
        <v>0.0123</v>
      </c>
      <c r="H71" s="75" t="s">
        <v>1520</v>
      </c>
      <c r="I71" s="93" t="s">
        <v>243</v>
      </c>
    </row>
    <row r="72">
      <c r="B72" s="85" t="s">
        <v>564</v>
      </c>
      <c r="C72" s="91">
        <v>5.092592592592592E-4</v>
      </c>
      <c r="D72" s="77">
        <v>0.062488425925925926</v>
      </c>
      <c r="E72" s="75" t="s">
        <v>311</v>
      </c>
      <c r="F72" s="75" t="s">
        <v>1262</v>
      </c>
      <c r="G72" s="94" t="s">
        <v>1263</v>
      </c>
      <c r="H72" s="75" t="s">
        <v>1521</v>
      </c>
      <c r="I72" s="93" t="s">
        <v>1522</v>
      </c>
    </row>
    <row r="73">
      <c r="B73" s="85" t="s">
        <v>569</v>
      </c>
      <c r="C73" s="91">
        <v>1.273148148148148E-4</v>
      </c>
      <c r="D73" s="77">
        <v>0.06262731481481482</v>
      </c>
      <c r="E73" s="75" t="s">
        <v>399</v>
      </c>
      <c r="F73" s="75" t="s">
        <v>1265</v>
      </c>
      <c r="G73" s="94" t="s">
        <v>1266</v>
      </c>
      <c r="H73" s="75" t="s">
        <v>1523</v>
      </c>
      <c r="I73" s="93" t="s">
        <v>1524</v>
      </c>
    </row>
    <row r="74">
      <c r="B74" s="85" t="s">
        <v>575</v>
      </c>
      <c r="C74" s="91">
        <v>0.0011921296296296296</v>
      </c>
      <c r="D74" s="77">
        <v>0.06381944444444444</v>
      </c>
      <c r="E74" s="75" t="s">
        <v>233</v>
      </c>
      <c r="F74" s="75" t="s">
        <v>1269</v>
      </c>
      <c r="G74" s="92">
        <f>+3.75 %</f>
        <v>0.0375</v>
      </c>
      <c r="H74" s="75" t="s">
        <v>1525</v>
      </c>
      <c r="I74" s="93" t="s">
        <v>1271</v>
      </c>
    </row>
    <row r="75">
      <c r="B75" s="85" t="s">
        <v>580</v>
      </c>
      <c r="C75" s="91">
        <v>3.356481481481481E-4</v>
      </c>
      <c r="D75" s="77">
        <v>0.06416666666666666</v>
      </c>
      <c r="E75" s="75" t="s">
        <v>497</v>
      </c>
      <c r="F75" s="75" t="s">
        <v>1272</v>
      </c>
      <c r="G75" s="92">
        <f>+8.97 %</f>
        <v>0.0897</v>
      </c>
      <c r="H75" s="75" t="s">
        <v>1526</v>
      </c>
      <c r="I75" s="93" t="s">
        <v>1527</v>
      </c>
    </row>
    <row r="76">
      <c r="B76" s="85" t="s">
        <v>584</v>
      </c>
      <c r="C76" s="91">
        <v>7.523148148148148E-4</v>
      </c>
      <c r="D76" s="77">
        <v>0.06493055555555556</v>
      </c>
      <c r="E76" s="75" t="s">
        <v>560</v>
      </c>
      <c r="F76" s="75" t="s">
        <v>1274</v>
      </c>
      <c r="G76" s="94" t="s">
        <v>1275</v>
      </c>
      <c r="H76" s="75" t="s">
        <v>1528</v>
      </c>
      <c r="I76" s="93" t="s">
        <v>1529</v>
      </c>
    </row>
    <row r="77">
      <c r="B77" s="85" t="s">
        <v>590</v>
      </c>
      <c r="C77" s="91">
        <v>6.134259259259259E-4</v>
      </c>
      <c r="D77" s="77">
        <v>0.06555555555555556</v>
      </c>
      <c r="E77" s="75" t="s">
        <v>239</v>
      </c>
      <c r="F77" s="75" t="s">
        <v>1278</v>
      </c>
      <c r="G77" s="92">
        <f>+1.4 %</f>
        <v>0.014</v>
      </c>
      <c r="H77" s="75" t="s">
        <v>1091</v>
      </c>
      <c r="I77" s="93" t="s">
        <v>457</v>
      </c>
    </row>
    <row r="78">
      <c r="B78" s="85" t="s">
        <v>594</v>
      </c>
      <c r="C78" s="91">
        <v>2.314814814814815E-4</v>
      </c>
      <c r="D78" s="77">
        <v>0.06578703703703703</v>
      </c>
      <c r="E78" s="75" t="s">
        <v>497</v>
      </c>
      <c r="F78" s="75" t="s">
        <v>1280</v>
      </c>
      <c r="G78" s="92">
        <f>+6.03 %</f>
        <v>0.0603</v>
      </c>
      <c r="H78" s="75" t="s">
        <v>1530</v>
      </c>
      <c r="I78" s="93" t="s">
        <v>711</v>
      </c>
    </row>
    <row r="79">
      <c r="B79" s="85" t="s">
        <v>597</v>
      </c>
      <c r="C79" s="91">
        <v>0.002002314814814815</v>
      </c>
      <c r="D79" s="77">
        <v>0.06778935185185185</v>
      </c>
      <c r="E79" s="75" t="s">
        <v>389</v>
      </c>
      <c r="F79" s="75" t="s">
        <v>1282</v>
      </c>
      <c r="G79" s="92">
        <f>+7.31 %</f>
        <v>0.0731</v>
      </c>
      <c r="H79" s="75" t="s">
        <v>1283</v>
      </c>
      <c r="I79" s="93" t="s">
        <v>671</v>
      </c>
    </row>
    <row r="80">
      <c r="B80" s="85" t="s">
        <v>601</v>
      </c>
      <c r="C80" s="91">
        <v>0.0022685185185185187</v>
      </c>
      <c r="D80" s="77">
        <v>0.07006944444444445</v>
      </c>
      <c r="E80" s="75" t="s">
        <v>725</v>
      </c>
      <c r="F80" s="75" t="s">
        <v>1284</v>
      </c>
      <c r="G80" s="92">
        <f>+9.26 %</f>
        <v>0.0926</v>
      </c>
      <c r="H80" s="75" t="s">
        <v>1285</v>
      </c>
      <c r="I80" s="93" t="s">
        <v>1286</v>
      </c>
    </row>
    <row r="81">
      <c r="B81" s="85" t="s">
        <v>606</v>
      </c>
      <c r="C81" s="91">
        <v>3.0092592592592595E-4</v>
      </c>
      <c r="D81" s="77">
        <v>0.07038194444444444</v>
      </c>
      <c r="E81" s="75" t="s">
        <v>360</v>
      </c>
      <c r="F81" s="75" t="s">
        <v>1287</v>
      </c>
      <c r="G81" s="92">
        <f>+3.19 %</f>
        <v>0.0319</v>
      </c>
      <c r="H81" s="75" t="s">
        <v>1531</v>
      </c>
      <c r="I81" s="93" t="s">
        <v>639</v>
      </c>
    </row>
    <row r="82">
      <c r="B82" s="85" t="s">
        <v>611</v>
      </c>
      <c r="C82" s="91">
        <v>6.828703703703704E-4</v>
      </c>
      <c r="D82" s="77">
        <v>0.07106481481481482</v>
      </c>
      <c r="E82" s="75" t="s">
        <v>748</v>
      </c>
      <c r="F82" s="75" t="s">
        <v>1289</v>
      </c>
      <c r="G82" s="94" t="s">
        <v>1290</v>
      </c>
      <c r="H82" s="75" t="s">
        <v>1532</v>
      </c>
      <c r="I82" s="93" t="s">
        <v>1533</v>
      </c>
    </row>
    <row r="83">
      <c r="B83" s="85" t="s">
        <v>616</v>
      </c>
      <c r="C83" s="91">
        <v>8.333333333333334E-4</v>
      </c>
      <c r="D83" s="77">
        <v>0.07190972222222222</v>
      </c>
      <c r="E83" s="75" t="s">
        <v>394</v>
      </c>
      <c r="F83" s="75" t="s">
        <v>1293</v>
      </c>
      <c r="G83" s="92">
        <f>+1.23 %</f>
        <v>0.0123</v>
      </c>
      <c r="H83" s="75" t="s">
        <v>1534</v>
      </c>
      <c r="I83" s="93" t="s">
        <v>1261</v>
      </c>
    </row>
    <row r="84">
      <c r="B84" s="85" t="s">
        <v>619</v>
      </c>
      <c r="C84" s="91">
        <v>7.407407407407407E-4</v>
      </c>
      <c r="D84" s="77">
        <v>0.07265046296296296</v>
      </c>
      <c r="E84" s="75" t="s">
        <v>1295</v>
      </c>
      <c r="F84" s="75" t="s">
        <v>1296</v>
      </c>
      <c r="G84" s="92">
        <f>+0.62 %</f>
        <v>0.0062</v>
      </c>
      <c r="H84" s="75" t="s">
        <v>1297</v>
      </c>
      <c r="I84" s="93" t="s">
        <v>1535</v>
      </c>
    </row>
    <row r="85">
      <c r="B85" s="85" t="s">
        <v>624</v>
      </c>
      <c r="C85" s="91">
        <v>5.092592592592592E-4</v>
      </c>
      <c r="D85" s="77">
        <v>0.07317129629629629</v>
      </c>
      <c r="E85" s="75" t="s">
        <v>256</v>
      </c>
      <c r="F85" s="75" t="s">
        <v>1298</v>
      </c>
      <c r="G85" s="92">
        <f>+3.27 %</f>
        <v>0.0327</v>
      </c>
      <c r="H85" s="75" t="s">
        <v>1299</v>
      </c>
      <c r="I85" s="93" t="s">
        <v>639</v>
      </c>
    </row>
    <row r="86">
      <c r="B86" s="85" t="s">
        <v>629</v>
      </c>
      <c r="C86" s="91">
        <v>5.787037037037037E-4</v>
      </c>
      <c r="D86" s="77">
        <v>0.07375</v>
      </c>
      <c r="E86" s="75" t="s">
        <v>612</v>
      </c>
      <c r="F86" s="75" t="s">
        <v>1300</v>
      </c>
      <c r="G86" s="94" t="s">
        <v>1301</v>
      </c>
      <c r="H86" s="75" t="s">
        <v>1536</v>
      </c>
      <c r="I86" s="93" t="s">
        <v>518</v>
      </c>
    </row>
    <row r="87">
      <c r="B87" s="85" t="s">
        <v>632</v>
      </c>
      <c r="C87" s="91">
        <v>6.018518518518519E-4</v>
      </c>
      <c r="D87" s="77">
        <v>0.07435185185185185</v>
      </c>
      <c r="E87" s="75" t="s">
        <v>454</v>
      </c>
      <c r="F87" s="75" t="s">
        <v>1304</v>
      </c>
      <c r="G87" s="92">
        <f>+5.36 %</f>
        <v>0.0536</v>
      </c>
      <c r="H87" s="75" t="s">
        <v>1537</v>
      </c>
      <c r="I87" s="93" t="s">
        <v>852</v>
      </c>
    </row>
    <row r="88">
      <c r="B88" s="85" t="s">
        <v>635</v>
      </c>
      <c r="C88" s="91">
        <v>4.861111111111111E-4</v>
      </c>
      <c r="D88" s="77">
        <v>0.07484953703703703</v>
      </c>
      <c r="E88" s="75" t="s">
        <v>286</v>
      </c>
      <c r="F88" s="75" t="s">
        <v>1306</v>
      </c>
      <c r="G88" s="92">
        <f>+1.81 %</f>
        <v>0.0181</v>
      </c>
      <c r="H88" s="75" t="s">
        <v>1538</v>
      </c>
      <c r="I88" s="93" t="s">
        <v>500</v>
      </c>
    </row>
    <row r="89">
      <c r="B89" s="85" t="s">
        <v>640</v>
      </c>
      <c r="C89" s="91">
        <v>8.333333333333334E-4</v>
      </c>
      <c r="D89" s="77">
        <v>0.07569444444444444</v>
      </c>
      <c r="E89" s="75" t="s">
        <v>576</v>
      </c>
      <c r="F89" s="75" t="s">
        <v>1308</v>
      </c>
      <c r="G89" s="92">
        <f>+7.63 %</f>
        <v>0.0763</v>
      </c>
      <c r="H89" s="75" t="s">
        <v>1539</v>
      </c>
      <c r="I89" s="93" t="s">
        <v>484</v>
      </c>
    </row>
    <row r="90">
      <c r="B90" s="85" t="s">
        <v>646</v>
      </c>
      <c r="C90" s="91">
        <v>5.787037037037037E-4</v>
      </c>
      <c r="D90" s="77">
        <v>0.07627314814814815</v>
      </c>
      <c r="E90" s="75" t="s">
        <v>340</v>
      </c>
      <c r="F90" s="75" t="s">
        <v>1310</v>
      </c>
      <c r="G90" s="94" t="s">
        <v>1311</v>
      </c>
      <c r="H90" s="75" t="s">
        <v>722</v>
      </c>
      <c r="I90" s="93" t="s">
        <v>1540</v>
      </c>
    </row>
    <row r="91">
      <c r="B91" s="85" t="s">
        <v>652</v>
      </c>
      <c r="C91" s="91">
        <v>9.722222222222222E-4</v>
      </c>
      <c r="D91" s="77">
        <v>0.07725694444444445</v>
      </c>
      <c r="E91" s="75" t="s">
        <v>394</v>
      </c>
      <c r="F91" s="75" t="s">
        <v>1314</v>
      </c>
      <c r="G91" s="92">
        <f>+3.25 %</f>
        <v>0.0325</v>
      </c>
      <c r="H91" s="75" t="s">
        <v>1169</v>
      </c>
      <c r="I91" s="93" t="s">
        <v>751</v>
      </c>
    </row>
    <row r="92">
      <c r="B92" s="85" t="s">
        <v>657</v>
      </c>
      <c r="C92" s="91">
        <v>5.092592592592592E-4</v>
      </c>
      <c r="D92" s="77">
        <v>0.0777662037037037</v>
      </c>
      <c r="E92" s="75" t="s">
        <v>813</v>
      </c>
      <c r="F92" s="75" t="s">
        <v>1315</v>
      </c>
      <c r="G92" s="94" t="s">
        <v>1316</v>
      </c>
      <c r="H92" s="75" t="s">
        <v>1541</v>
      </c>
      <c r="I92" s="93" t="s">
        <v>1317</v>
      </c>
    </row>
    <row r="93">
      <c r="B93" s="85" t="s">
        <v>660</v>
      </c>
      <c r="C93" s="91">
        <v>1.5046296296296297E-4</v>
      </c>
      <c r="D93" s="77">
        <v>0.07792824074074074</v>
      </c>
      <c r="E93" s="75" t="s">
        <v>1318</v>
      </c>
      <c r="F93" s="75" t="s">
        <v>1319</v>
      </c>
      <c r="G93" s="94" t="s">
        <v>1320</v>
      </c>
      <c r="H93" s="75" t="s">
        <v>1542</v>
      </c>
      <c r="I93" s="93" t="s">
        <v>1322</v>
      </c>
    </row>
    <row r="94">
      <c r="B94" s="85" t="s">
        <v>663</v>
      </c>
      <c r="C94" s="91">
        <v>1.7361111111111112E-4</v>
      </c>
      <c r="D94" s="77">
        <v>0.07811342592592592</v>
      </c>
      <c r="E94" s="75" t="s">
        <v>360</v>
      </c>
      <c r="F94" s="75" t="s">
        <v>1323</v>
      </c>
      <c r="G94" s="92">
        <f>+0.97 %</f>
        <v>0.0097</v>
      </c>
      <c r="H94" s="75" t="s">
        <v>1543</v>
      </c>
      <c r="I94" s="93" t="s">
        <v>315</v>
      </c>
    </row>
    <row r="95">
      <c r="B95" s="85" t="s">
        <v>668</v>
      </c>
      <c r="C95" s="91">
        <v>4.7453703703703704E-4</v>
      </c>
      <c r="D95" s="77">
        <v>0.07858796296296296</v>
      </c>
      <c r="E95" s="75" t="s">
        <v>273</v>
      </c>
      <c r="F95" s="75" t="s">
        <v>1325</v>
      </c>
      <c r="G95" s="92">
        <f>+6.25 %</f>
        <v>0.0625</v>
      </c>
      <c r="H95" s="75" t="s">
        <v>1326</v>
      </c>
      <c r="I95" s="93" t="s">
        <v>838</v>
      </c>
    </row>
    <row r="96">
      <c r="B96" s="85" t="s">
        <v>672</v>
      </c>
      <c r="C96" s="91">
        <v>2.8935185185185184E-4</v>
      </c>
      <c r="D96" s="77">
        <v>0.07888888888888888</v>
      </c>
      <c r="E96" s="75" t="s">
        <v>360</v>
      </c>
      <c r="F96" s="75" t="s">
        <v>1327</v>
      </c>
      <c r="G96" s="92">
        <f>+3.98 %</f>
        <v>0.0398</v>
      </c>
      <c r="H96" s="75" t="s">
        <v>1328</v>
      </c>
      <c r="I96" s="93" t="s">
        <v>1103</v>
      </c>
    </row>
    <row r="97">
      <c r="B97" s="85" t="s">
        <v>677</v>
      </c>
      <c r="C97" s="91">
        <v>1.273148148148148E-4</v>
      </c>
      <c r="D97" s="77">
        <v>0.07902777777777778</v>
      </c>
      <c r="E97" s="75" t="s">
        <v>1247</v>
      </c>
      <c r="F97" s="75" t="s">
        <v>1329</v>
      </c>
      <c r="G97" s="92">
        <f>+0.62 %</f>
        <v>0.0062</v>
      </c>
      <c r="H97" s="75" t="s">
        <v>1544</v>
      </c>
      <c r="I97" s="93" t="s">
        <v>1545</v>
      </c>
    </row>
    <row r="98">
      <c r="B98" s="85" t="s">
        <v>681</v>
      </c>
      <c r="C98" s="91">
        <v>9.953703703703704E-4</v>
      </c>
      <c r="D98" s="77">
        <v>0.08002314814814815</v>
      </c>
      <c r="E98" s="75" t="s">
        <v>620</v>
      </c>
      <c r="F98" s="75" t="s">
        <v>699</v>
      </c>
      <c r="G98" s="95">
        <v>0.0</v>
      </c>
      <c r="H98" s="75" t="s">
        <v>1546</v>
      </c>
      <c r="I98" s="93" t="s">
        <v>248</v>
      </c>
    </row>
    <row r="99">
      <c r="B99" s="85" t="s">
        <v>686</v>
      </c>
      <c r="C99" s="91">
        <v>5.208333333333333E-4</v>
      </c>
      <c r="D99" s="77">
        <v>0.08054398148148148</v>
      </c>
      <c r="E99" s="75" t="s">
        <v>445</v>
      </c>
      <c r="F99" s="75" t="s">
        <v>1332</v>
      </c>
      <c r="G99" s="94" t="s">
        <v>1333</v>
      </c>
      <c r="H99" s="75" t="s">
        <v>1547</v>
      </c>
      <c r="I99" s="93" t="s">
        <v>1209</v>
      </c>
    </row>
    <row r="100">
      <c r="B100" s="85" t="s">
        <v>690</v>
      </c>
      <c r="C100" s="91">
        <v>1.0416666666666667E-4</v>
      </c>
      <c r="D100" s="77">
        <v>0.08065972222222222</v>
      </c>
      <c r="E100" s="75" t="s">
        <v>854</v>
      </c>
      <c r="F100" s="75" t="s">
        <v>1335</v>
      </c>
      <c r="G100" s="94" t="s">
        <v>1336</v>
      </c>
      <c r="H100" s="75" t="s">
        <v>1337</v>
      </c>
      <c r="I100" s="93" t="s">
        <v>265</v>
      </c>
    </row>
    <row r="101">
      <c r="B101" s="85" t="s">
        <v>695</v>
      </c>
      <c r="C101" s="91">
        <v>0.002025462962962963</v>
      </c>
      <c r="D101" s="77">
        <v>0.08269675925925926</v>
      </c>
      <c r="E101" s="75" t="s">
        <v>1339</v>
      </c>
      <c r="F101" s="75" t="s">
        <v>1340</v>
      </c>
      <c r="G101" s="92">
        <f>+6.47 %</f>
        <v>0.0647</v>
      </c>
      <c r="H101" s="75" t="s">
        <v>1341</v>
      </c>
      <c r="I101" s="93" t="s">
        <v>1060</v>
      </c>
    </row>
    <row r="102">
      <c r="B102" s="85" t="s">
        <v>698</v>
      </c>
      <c r="C102" s="91">
        <v>5.671296296296297E-4</v>
      </c>
      <c r="D102" s="77">
        <v>0.08326388888888889</v>
      </c>
      <c r="E102" s="75" t="s">
        <v>382</v>
      </c>
      <c r="F102" s="75" t="s">
        <v>1342</v>
      </c>
      <c r="G102" s="92">
        <f>+4.54 %</f>
        <v>0.0454</v>
      </c>
      <c r="H102" s="75" t="s">
        <v>1343</v>
      </c>
      <c r="I102" s="93" t="s">
        <v>756</v>
      </c>
    </row>
    <row r="103">
      <c r="B103" s="85" t="s">
        <v>702</v>
      </c>
      <c r="C103" s="91">
        <v>4.7453703703703704E-4</v>
      </c>
      <c r="D103" s="77">
        <v>0.08375</v>
      </c>
      <c r="E103" s="75" t="s">
        <v>818</v>
      </c>
      <c r="F103" s="75" t="s">
        <v>1344</v>
      </c>
      <c r="G103" s="92">
        <f>+10 %</f>
        <v>0.1</v>
      </c>
      <c r="H103" s="75" t="s">
        <v>1548</v>
      </c>
      <c r="I103" s="93" t="s">
        <v>874</v>
      </c>
    </row>
    <row r="104">
      <c r="B104" s="85" t="s">
        <v>707</v>
      </c>
      <c r="C104" s="91">
        <v>2.4305555555555555E-4</v>
      </c>
      <c r="D104" s="77">
        <v>0.08400462962962962</v>
      </c>
      <c r="E104" s="75" t="s">
        <v>382</v>
      </c>
      <c r="F104" s="75" t="s">
        <v>1346</v>
      </c>
      <c r="G104" s="94" t="s">
        <v>1347</v>
      </c>
      <c r="H104" s="75" t="s">
        <v>1549</v>
      </c>
      <c r="I104" s="93" t="s">
        <v>321</v>
      </c>
    </row>
    <row r="105">
      <c r="B105" s="85" t="s">
        <v>712</v>
      </c>
      <c r="C105" s="91">
        <v>0.001099537037037037</v>
      </c>
      <c r="D105" s="77">
        <v>0.08510416666666666</v>
      </c>
      <c r="E105" s="75" t="s">
        <v>474</v>
      </c>
      <c r="F105" s="75" t="s">
        <v>1349</v>
      </c>
      <c r="G105" s="92">
        <f>+5.5 %</f>
        <v>0.055</v>
      </c>
      <c r="H105" s="75" t="s">
        <v>1550</v>
      </c>
      <c r="I105" s="93" t="s">
        <v>852</v>
      </c>
    </row>
    <row r="106">
      <c r="B106" s="85" t="s">
        <v>718</v>
      </c>
      <c r="C106" s="91">
        <v>0.0018055555555555555</v>
      </c>
      <c r="D106" s="77">
        <v>0.0869212962962963</v>
      </c>
      <c r="E106" s="75" t="s">
        <v>1351</v>
      </c>
      <c r="F106" s="75" t="s">
        <v>1352</v>
      </c>
      <c r="G106" s="92">
        <f>+1.41 %</f>
        <v>0.0141</v>
      </c>
      <c r="H106" s="75" t="s">
        <v>1353</v>
      </c>
      <c r="I106" s="93" t="s">
        <v>1354</v>
      </c>
    </row>
    <row r="107">
      <c r="B107" s="85" t="s">
        <v>724</v>
      </c>
      <c r="C107" s="91">
        <v>0.0010185185185185184</v>
      </c>
      <c r="D107" s="77">
        <v>0.08793981481481482</v>
      </c>
      <c r="E107" s="75" t="s">
        <v>765</v>
      </c>
      <c r="F107" s="75" t="s">
        <v>1355</v>
      </c>
      <c r="G107" s="92">
        <f>+3.51 %</f>
        <v>0.0351</v>
      </c>
      <c r="H107" s="75" t="s">
        <v>1356</v>
      </c>
      <c r="I107" s="93" t="s">
        <v>1271</v>
      </c>
    </row>
    <row r="108">
      <c r="B108" s="85" t="s">
        <v>730</v>
      </c>
      <c r="C108" s="91">
        <v>1.7361111111111112E-4</v>
      </c>
      <c r="D108" s="77">
        <v>0.088125</v>
      </c>
      <c r="E108" s="75" t="s">
        <v>794</v>
      </c>
      <c r="F108" s="75" t="s">
        <v>1357</v>
      </c>
      <c r="G108" s="94" t="s">
        <v>1249</v>
      </c>
      <c r="H108" s="75" t="s">
        <v>1551</v>
      </c>
      <c r="I108" s="93" t="s">
        <v>481</v>
      </c>
    </row>
    <row r="109">
      <c r="B109" s="85" t="s">
        <v>734</v>
      </c>
      <c r="C109" s="91">
        <v>0.0016898148148148148</v>
      </c>
      <c r="D109" s="77">
        <v>0.08981481481481482</v>
      </c>
      <c r="E109" s="75" t="s">
        <v>678</v>
      </c>
      <c r="F109" s="75" t="s">
        <v>1358</v>
      </c>
      <c r="G109" s="92">
        <f>+5.85 %</f>
        <v>0.0585</v>
      </c>
      <c r="H109" s="75" t="s">
        <v>1552</v>
      </c>
      <c r="I109" s="93" t="s">
        <v>363</v>
      </c>
    </row>
    <row r="110">
      <c r="B110" s="85" t="s">
        <v>739</v>
      </c>
      <c r="C110" s="91">
        <v>4.2824074074074075E-4</v>
      </c>
      <c r="D110" s="77">
        <v>0.09025462962962963</v>
      </c>
      <c r="E110" s="75" t="s">
        <v>1360</v>
      </c>
      <c r="F110" s="75" t="s">
        <v>1361</v>
      </c>
      <c r="G110" s="92">
        <f>+6.71 %</f>
        <v>0.0671</v>
      </c>
      <c r="H110" s="75" t="s">
        <v>1553</v>
      </c>
      <c r="I110" s="93" t="s">
        <v>1111</v>
      </c>
    </row>
    <row r="111">
      <c r="B111" s="85" t="s">
        <v>742</v>
      </c>
      <c r="C111" s="91">
        <v>1.1574074074074075E-4</v>
      </c>
      <c r="D111" s="77">
        <v>0.09038194444444445</v>
      </c>
      <c r="E111" s="75" t="s">
        <v>854</v>
      </c>
      <c r="F111" s="75" t="s">
        <v>1363</v>
      </c>
      <c r="G111" s="94" t="s">
        <v>1364</v>
      </c>
      <c r="H111" s="75" t="s">
        <v>1554</v>
      </c>
      <c r="I111" s="93" t="s">
        <v>321</v>
      </c>
    </row>
    <row r="112">
      <c r="B112" s="85" t="s">
        <v>747</v>
      </c>
      <c r="C112" s="91">
        <v>1.5046296296296297E-4</v>
      </c>
      <c r="D112" s="77">
        <v>0.09053240740740741</v>
      </c>
      <c r="E112" s="75" t="s">
        <v>360</v>
      </c>
      <c r="F112" s="75" t="s">
        <v>1366</v>
      </c>
      <c r="G112" s="92">
        <f>+4.55 %</f>
        <v>0.0455</v>
      </c>
      <c r="H112" s="75" t="s">
        <v>1555</v>
      </c>
      <c r="I112" s="93" t="s">
        <v>756</v>
      </c>
    </row>
    <row r="113">
      <c r="B113" s="85" t="s">
        <v>752</v>
      </c>
      <c r="C113" s="91">
        <v>0.0010532407407407407</v>
      </c>
      <c r="D113" s="77">
        <v>0.09159722222222222</v>
      </c>
      <c r="E113" s="75" t="s">
        <v>1360</v>
      </c>
      <c r="F113" s="75" t="s">
        <v>1368</v>
      </c>
      <c r="G113" s="92">
        <f>+21.56 %</f>
        <v>0.2156</v>
      </c>
      <c r="H113" s="75" t="s">
        <v>1369</v>
      </c>
      <c r="I113" s="93" t="s">
        <v>1370</v>
      </c>
    </row>
    <row r="114">
      <c r="B114" s="85" t="s">
        <v>757</v>
      </c>
      <c r="C114" s="91">
        <v>1.8518518518518518E-4</v>
      </c>
      <c r="D114" s="77">
        <v>0.09179398148148148</v>
      </c>
      <c r="E114" s="75" t="s">
        <v>1371</v>
      </c>
      <c r="F114" s="75" t="s">
        <v>1372</v>
      </c>
      <c r="G114" s="94" t="s">
        <v>1373</v>
      </c>
      <c r="H114" s="75" t="s">
        <v>1556</v>
      </c>
      <c r="I114" s="93" t="s">
        <v>321</v>
      </c>
    </row>
    <row r="115">
      <c r="B115" s="85" t="s">
        <v>760</v>
      </c>
      <c r="C115" s="91">
        <v>1.9675925925925926E-4</v>
      </c>
      <c r="D115" s="77">
        <v>0.09199074074074073</v>
      </c>
      <c r="E115" s="75" t="s">
        <v>1318</v>
      </c>
      <c r="F115" s="75" t="s">
        <v>754</v>
      </c>
      <c r="G115" s="92">
        <f>+9.14 %</f>
        <v>0.0914</v>
      </c>
      <c r="H115" s="75" t="s">
        <v>1557</v>
      </c>
      <c r="I115" s="93" t="s">
        <v>1376</v>
      </c>
    </row>
    <row r="116">
      <c r="B116" s="85" t="s">
        <v>764</v>
      </c>
      <c r="C116" s="91">
        <v>1.9675925925925926E-4</v>
      </c>
      <c r="D116" s="77">
        <v>0.09219907407407407</v>
      </c>
      <c r="E116" s="75" t="s">
        <v>468</v>
      </c>
      <c r="F116" s="75" t="s">
        <v>1377</v>
      </c>
      <c r="G116" s="94" t="s">
        <v>1378</v>
      </c>
      <c r="H116" s="75" t="s">
        <v>1558</v>
      </c>
      <c r="I116" s="93" t="s">
        <v>568</v>
      </c>
    </row>
    <row r="117">
      <c r="B117" s="85" t="s">
        <v>768</v>
      </c>
      <c r="C117" s="91">
        <v>1.1574074074074075E-4</v>
      </c>
      <c r="D117" s="77">
        <v>0.09231481481481481</v>
      </c>
      <c r="E117" s="75" t="s">
        <v>1155</v>
      </c>
      <c r="F117" s="75" t="s">
        <v>1381</v>
      </c>
      <c r="G117" s="94" t="s">
        <v>762</v>
      </c>
      <c r="H117" s="75" t="s">
        <v>1382</v>
      </c>
      <c r="I117" s="93" t="s">
        <v>729</v>
      </c>
    </row>
    <row r="118">
      <c r="B118" s="85" t="s">
        <v>772</v>
      </c>
      <c r="C118" s="91">
        <v>2.0833333333333335E-4</v>
      </c>
      <c r="D118" s="77">
        <v>0.09253472222222223</v>
      </c>
      <c r="E118" s="75" t="s">
        <v>441</v>
      </c>
      <c r="F118" s="75" t="s">
        <v>1383</v>
      </c>
      <c r="G118" s="94" t="s">
        <v>1384</v>
      </c>
      <c r="H118" s="75" t="s">
        <v>1385</v>
      </c>
      <c r="I118" s="93" t="s">
        <v>321</v>
      </c>
    </row>
    <row r="119">
      <c r="B119" s="85" t="s">
        <v>777</v>
      </c>
      <c r="C119" s="91">
        <v>2.662037037037037E-4</v>
      </c>
      <c r="D119" s="77">
        <v>0.0928125</v>
      </c>
      <c r="E119" s="75" t="s">
        <v>445</v>
      </c>
      <c r="F119" s="75" t="s">
        <v>1386</v>
      </c>
      <c r="G119" s="94" t="s">
        <v>1387</v>
      </c>
      <c r="H119" s="75" t="s">
        <v>1559</v>
      </c>
      <c r="I119" s="93" t="s">
        <v>1560</v>
      </c>
    </row>
    <row r="120">
      <c r="B120" s="85" t="s">
        <v>781</v>
      </c>
      <c r="C120" s="91">
        <v>1.8518518518518518E-4</v>
      </c>
      <c r="D120" s="77">
        <v>0.09300925925925926</v>
      </c>
      <c r="E120" s="75" t="s">
        <v>1371</v>
      </c>
      <c r="F120" s="75" t="s">
        <v>1389</v>
      </c>
      <c r="G120" s="94" t="s">
        <v>1390</v>
      </c>
      <c r="H120" s="75" t="s">
        <v>1561</v>
      </c>
      <c r="I120" s="93" t="s">
        <v>1484</v>
      </c>
    </row>
    <row r="121">
      <c r="B121" s="85" t="s">
        <v>784</v>
      </c>
      <c r="C121" s="91">
        <v>3.8194444444444446E-4</v>
      </c>
      <c r="D121" s="77">
        <v>0.0933912037037037</v>
      </c>
      <c r="E121" s="75" t="s">
        <v>281</v>
      </c>
      <c r="F121" s="75" t="s">
        <v>1392</v>
      </c>
      <c r="G121" s="94" t="s">
        <v>1393</v>
      </c>
      <c r="H121" s="75" t="s">
        <v>1562</v>
      </c>
      <c r="I121" s="93" t="s">
        <v>374</v>
      </c>
    </row>
    <row r="122">
      <c r="B122" s="85" t="s">
        <v>789</v>
      </c>
      <c r="C122" s="91">
        <v>2.777777777777778E-4</v>
      </c>
      <c r="D122" s="77">
        <v>0.09368055555555556</v>
      </c>
      <c r="E122" s="75" t="s">
        <v>1395</v>
      </c>
      <c r="F122" s="75" t="s">
        <v>1396</v>
      </c>
      <c r="G122" s="94" t="s">
        <v>1397</v>
      </c>
      <c r="H122" s="75" t="s">
        <v>1563</v>
      </c>
      <c r="I122" s="93" t="s">
        <v>1177</v>
      </c>
    </row>
    <row r="123">
      <c r="B123" s="85" t="s">
        <v>793</v>
      </c>
      <c r="C123" s="91">
        <v>4.050925925925926E-4</v>
      </c>
      <c r="D123" s="77">
        <v>0.09408564814814815</v>
      </c>
      <c r="E123" s="75" t="s">
        <v>1123</v>
      </c>
      <c r="F123" s="75" t="s">
        <v>1399</v>
      </c>
      <c r="G123" s="94" t="s">
        <v>1400</v>
      </c>
      <c r="H123" s="75" t="s">
        <v>1564</v>
      </c>
      <c r="I123" s="93" t="s">
        <v>1565</v>
      </c>
    </row>
    <row r="124">
      <c r="B124" s="85" t="s">
        <v>798</v>
      </c>
      <c r="C124" s="91">
        <v>9.259259259259259E-5</v>
      </c>
      <c r="D124" s="77">
        <v>0.09417824074074074</v>
      </c>
      <c r="E124" s="75" t="s">
        <v>1155</v>
      </c>
      <c r="F124" s="75" t="s">
        <v>1403</v>
      </c>
      <c r="G124" s="94" t="s">
        <v>1404</v>
      </c>
      <c r="H124" s="75" t="s">
        <v>1566</v>
      </c>
      <c r="I124" s="93" t="s">
        <v>321</v>
      </c>
    </row>
    <row r="125">
      <c r="B125" s="85" t="s">
        <v>802</v>
      </c>
      <c r="C125" s="91">
        <v>2.199074074074074E-4</v>
      </c>
      <c r="D125" s="77">
        <v>0.09440972222222223</v>
      </c>
      <c r="E125" s="75" t="s">
        <v>267</v>
      </c>
      <c r="F125" s="75" t="s">
        <v>1406</v>
      </c>
      <c r="G125" s="92">
        <f>+5.32 %</f>
        <v>0.0532</v>
      </c>
      <c r="H125" s="75" t="s">
        <v>1567</v>
      </c>
      <c r="I125" s="93" t="s">
        <v>1408</v>
      </c>
    </row>
    <row r="126">
      <c r="B126" s="85" t="s">
        <v>806</v>
      </c>
      <c r="C126" s="91">
        <v>3.0092592592592595E-4</v>
      </c>
      <c r="D126" s="77">
        <v>0.09471064814814815</v>
      </c>
      <c r="E126" s="75" t="s">
        <v>753</v>
      </c>
      <c r="F126" s="75" t="s">
        <v>1409</v>
      </c>
      <c r="G126" s="94" t="s">
        <v>1410</v>
      </c>
      <c r="H126" s="75" t="s">
        <v>1568</v>
      </c>
      <c r="I126" s="93" t="s">
        <v>321</v>
      </c>
    </row>
    <row r="127">
      <c r="B127" s="85" t="s">
        <v>809</v>
      </c>
      <c r="C127" s="91">
        <v>2.199074074074074E-4</v>
      </c>
      <c r="D127" s="77">
        <v>0.09494212962962963</v>
      </c>
      <c r="E127" s="75" t="s">
        <v>1371</v>
      </c>
      <c r="F127" s="75" t="s">
        <v>1412</v>
      </c>
      <c r="G127" s="92">
        <f>+5.92 %</f>
        <v>0.0592</v>
      </c>
      <c r="H127" s="75" t="s">
        <v>1569</v>
      </c>
      <c r="I127" s="93" t="s">
        <v>811</v>
      </c>
    </row>
    <row r="128">
      <c r="B128" s="85" t="s">
        <v>812</v>
      </c>
      <c r="C128" s="91">
        <v>6.597222222222222E-4</v>
      </c>
      <c r="D128" s="77">
        <v>0.09560185185185185</v>
      </c>
      <c r="E128" s="75" t="s">
        <v>486</v>
      </c>
      <c r="F128" s="75" t="s">
        <v>1414</v>
      </c>
      <c r="G128" s="94" t="s">
        <v>1415</v>
      </c>
      <c r="H128" s="75" t="s">
        <v>1570</v>
      </c>
      <c r="I128" s="93" t="s">
        <v>1571</v>
      </c>
    </row>
    <row r="129">
      <c r="B129" s="85" t="s">
        <v>817</v>
      </c>
      <c r="C129" s="91">
        <v>8.564814814814815E-4</v>
      </c>
      <c r="D129" s="77">
        <v>0.09646990740740741</v>
      </c>
      <c r="E129" s="75" t="s">
        <v>849</v>
      </c>
      <c r="F129" s="75" t="s">
        <v>1417</v>
      </c>
      <c r="G129" s="94" t="s">
        <v>1418</v>
      </c>
      <c r="H129" s="75" t="s">
        <v>1572</v>
      </c>
      <c r="I129" s="93" t="s">
        <v>1573</v>
      </c>
    </row>
    <row r="130">
      <c r="B130" s="85" t="s">
        <v>822</v>
      </c>
      <c r="C130" s="91">
        <v>4.166666666666667E-4</v>
      </c>
      <c r="D130" s="77">
        <v>0.09689814814814815</v>
      </c>
      <c r="E130" s="75" t="s">
        <v>1420</v>
      </c>
      <c r="F130" s="75" t="s">
        <v>1421</v>
      </c>
      <c r="G130" s="94" t="s">
        <v>1422</v>
      </c>
      <c r="H130" s="75" t="s">
        <v>1574</v>
      </c>
      <c r="I130" s="93" t="s">
        <v>1575</v>
      </c>
    </row>
    <row r="131">
      <c r="B131" s="85" t="s">
        <v>826</v>
      </c>
      <c r="C131" s="91">
        <v>8.101851851851852E-5</v>
      </c>
      <c r="D131" s="77">
        <v>0.09697916666666667</v>
      </c>
      <c r="E131" s="75" t="s">
        <v>228</v>
      </c>
      <c r="F131" s="75" t="s">
        <v>1424</v>
      </c>
      <c r="G131" s="94" t="s">
        <v>1425</v>
      </c>
      <c r="H131" s="75" t="s">
        <v>1576</v>
      </c>
      <c r="I131" s="93" t="s">
        <v>1524</v>
      </c>
    </row>
    <row r="132">
      <c r="B132" s="85" t="s">
        <v>831</v>
      </c>
      <c r="C132" s="91">
        <v>6.597222222222222E-4</v>
      </c>
      <c r="D132" s="77">
        <v>0.09765046296296297</v>
      </c>
      <c r="E132" s="75" t="s">
        <v>408</v>
      </c>
      <c r="F132" s="75" t="s">
        <v>1428</v>
      </c>
      <c r="G132" s="94" t="s">
        <v>1429</v>
      </c>
      <c r="H132" s="75" t="s">
        <v>1577</v>
      </c>
      <c r="I132" s="93" t="s">
        <v>321</v>
      </c>
    </row>
    <row r="133">
      <c r="B133" s="85" t="s">
        <v>835</v>
      </c>
      <c r="C133" s="91">
        <v>4.976851851851852E-4</v>
      </c>
      <c r="D133" s="77">
        <v>0.09814814814814815</v>
      </c>
      <c r="E133" s="75" t="s">
        <v>765</v>
      </c>
      <c r="F133" s="75" t="s">
        <v>1431</v>
      </c>
      <c r="G133" s="94" t="s">
        <v>1432</v>
      </c>
      <c r="H133" s="75" t="s">
        <v>1578</v>
      </c>
      <c r="I133" s="93" t="s">
        <v>1579</v>
      </c>
    </row>
    <row r="134">
      <c r="B134" s="85" t="s">
        <v>839</v>
      </c>
      <c r="C134" s="91">
        <v>2.4305555555555555E-4</v>
      </c>
      <c r="D134" s="77">
        <v>0.09840277777777778</v>
      </c>
      <c r="E134" s="75" t="s">
        <v>306</v>
      </c>
      <c r="F134" s="75" t="s">
        <v>800</v>
      </c>
      <c r="G134" s="94" t="s">
        <v>1435</v>
      </c>
      <c r="H134" s="75" t="s">
        <v>1580</v>
      </c>
      <c r="I134" s="93" t="s">
        <v>1474</v>
      </c>
    </row>
    <row r="135">
      <c r="B135" s="85" t="s">
        <v>843</v>
      </c>
      <c r="C135" s="91">
        <v>9.143518518518518E-4</v>
      </c>
      <c r="D135" s="77">
        <v>0.0993287037037037</v>
      </c>
      <c r="E135" s="75" t="s">
        <v>1437</v>
      </c>
      <c r="F135" s="75" t="s">
        <v>1438</v>
      </c>
      <c r="G135" s="94" t="s">
        <v>1439</v>
      </c>
      <c r="H135" s="75" t="s">
        <v>1440</v>
      </c>
      <c r="I135" s="93" t="s">
        <v>574</v>
      </c>
    </row>
    <row r="136">
      <c r="B136" s="85" t="s">
        <v>848</v>
      </c>
      <c r="C136" s="91">
        <v>5.208333333333333E-4</v>
      </c>
      <c r="D136" s="77">
        <v>0.09984953703703704</v>
      </c>
      <c r="E136" s="75" t="s">
        <v>1123</v>
      </c>
      <c r="F136" s="75" t="s">
        <v>1441</v>
      </c>
      <c r="G136" s="92">
        <f>+0.72 %</f>
        <v>0.0072</v>
      </c>
      <c r="H136" s="75" t="s">
        <v>1214</v>
      </c>
      <c r="I136" s="93" t="s">
        <v>1442</v>
      </c>
    </row>
    <row r="137">
      <c r="B137" s="85" t="s">
        <v>853</v>
      </c>
      <c r="C137" s="91">
        <v>6.365740740740741E-4</v>
      </c>
      <c r="D137" s="77">
        <v>0.10049768518518519</v>
      </c>
      <c r="E137" s="75" t="s">
        <v>560</v>
      </c>
      <c r="F137" s="75" t="s">
        <v>1443</v>
      </c>
      <c r="G137" s="94" t="s">
        <v>1444</v>
      </c>
      <c r="H137" s="75" t="s">
        <v>1581</v>
      </c>
      <c r="I137" s="93" t="s">
        <v>1582</v>
      </c>
    </row>
    <row r="138">
      <c r="B138" s="85" t="s">
        <v>859</v>
      </c>
      <c r="C138" s="91">
        <v>9.259259259259259E-5</v>
      </c>
      <c r="D138" s="77">
        <v>0.10059027777777778</v>
      </c>
      <c r="E138" s="75" t="s">
        <v>1155</v>
      </c>
      <c r="F138" s="75" t="s">
        <v>1447</v>
      </c>
      <c r="G138" s="94" t="s">
        <v>1448</v>
      </c>
      <c r="H138" s="75" t="s">
        <v>1583</v>
      </c>
      <c r="I138" s="93" t="s">
        <v>1584</v>
      </c>
    </row>
    <row r="139">
      <c r="B139" s="85" t="s">
        <v>864</v>
      </c>
      <c r="C139" s="91">
        <v>0.0014467592592592592</v>
      </c>
      <c r="D139" s="77">
        <v>0.10204861111111112</v>
      </c>
      <c r="E139" s="75" t="s">
        <v>581</v>
      </c>
      <c r="F139" s="75" t="s">
        <v>1450</v>
      </c>
      <c r="G139" s="92">
        <f>+0.35 %</f>
        <v>0.0035</v>
      </c>
      <c r="H139" s="75" t="s">
        <v>588</v>
      </c>
      <c r="I139" s="93" t="s">
        <v>1451</v>
      </c>
    </row>
    <row r="140">
      <c r="B140" s="85" t="s">
        <v>868</v>
      </c>
      <c r="C140" s="91">
        <v>0.002777777777777778</v>
      </c>
      <c r="D140" s="77">
        <v>0.10482638888888889</v>
      </c>
      <c r="E140" s="75" t="s">
        <v>1452</v>
      </c>
      <c r="F140" s="75" t="s">
        <v>1453</v>
      </c>
      <c r="G140" s="94" t="s">
        <v>845</v>
      </c>
      <c r="H140" s="75" t="s">
        <v>1585</v>
      </c>
      <c r="I140" s="93" t="s">
        <v>1586</v>
      </c>
    </row>
    <row r="141">
      <c r="B141" s="85" t="s">
        <v>871</v>
      </c>
      <c r="C141" s="91">
        <v>6.481481481481481E-4</v>
      </c>
      <c r="D141" s="77">
        <v>0.10548611111111111</v>
      </c>
      <c r="E141" s="75" t="s">
        <v>1455</v>
      </c>
      <c r="F141" s="75" t="s">
        <v>1456</v>
      </c>
      <c r="G141" s="92">
        <f>+0.47 %</f>
        <v>0.0047</v>
      </c>
      <c r="H141" s="75" t="s">
        <v>1587</v>
      </c>
      <c r="I141" s="93" t="s">
        <v>490</v>
      </c>
    </row>
    <row r="142">
      <c r="B142" s="81" t="s">
        <v>1588</v>
      </c>
      <c r="C142" s="96">
        <v>0.10548611111111111</v>
      </c>
      <c r="D142" s="97">
        <v>0.10548611111111111</v>
      </c>
      <c r="E142" s="98" t="s">
        <v>1589</v>
      </c>
      <c r="F142" s="98" t="s">
        <v>1589</v>
      </c>
      <c r="G142" s="99">
        <v>9.0E-4</v>
      </c>
      <c r="H142" s="98" t="s">
        <v>1590</v>
      </c>
      <c r="I142" s="100" t="s">
        <v>1591</v>
      </c>
    </row>
    <row r="143">
      <c r="G143" s="24"/>
    </row>
    <row r="144">
      <c r="G144" s="24"/>
    </row>
    <row r="145">
      <c r="G145" s="24"/>
    </row>
    <row r="146">
      <c r="G146" s="24"/>
    </row>
    <row r="147">
      <c r="G147" s="24"/>
    </row>
    <row r="148">
      <c r="G148" s="24"/>
    </row>
    <row r="149">
      <c r="G149" s="24"/>
    </row>
    <row r="150">
      <c r="G150" s="24"/>
    </row>
    <row r="151">
      <c r="G151" s="24"/>
    </row>
    <row r="152">
      <c r="G152" s="24"/>
    </row>
    <row r="153">
      <c r="G153" s="24"/>
    </row>
    <row r="154">
      <c r="G154" s="24"/>
    </row>
    <row r="155">
      <c r="G155" s="24"/>
    </row>
    <row r="156">
      <c r="G156" s="24"/>
    </row>
    <row r="157">
      <c r="G157" s="24"/>
    </row>
    <row r="158">
      <c r="G158" s="24"/>
    </row>
    <row r="159">
      <c r="G159" s="24"/>
    </row>
    <row r="160">
      <c r="G160" s="24"/>
    </row>
    <row r="161">
      <c r="G161" s="24"/>
    </row>
    <row r="162">
      <c r="G162" s="24"/>
    </row>
    <row r="163">
      <c r="G163" s="24"/>
    </row>
    <row r="164">
      <c r="G164" s="24"/>
    </row>
    <row r="165">
      <c r="G165" s="24"/>
    </row>
    <row r="166">
      <c r="G166" s="24"/>
    </row>
    <row r="167">
      <c r="G167" s="24"/>
    </row>
    <row r="168">
      <c r="G168" s="24"/>
    </row>
    <row r="169">
      <c r="G169" s="24"/>
    </row>
    <row r="170">
      <c r="G170" s="24"/>
    </row>
    <row r="171">
      <c r="G171" s="24"/>
    </row>
    <row r="172">
      <c r="G172" s="24"/>
    </row>
    <row r="173">
      <c r="G173" s="24"/>
    </row>
    <row r="174">
      <c r="G174" s="24"/>
    </row>
    <row r="175">
      <c r="G175" s="24"/>
    </row>
    <row r="176">
      <c r="G176" s="24"/>
    </row>
    <row r="177">
      <c r="G177" s="24"/>
    </row>
    <row r="178">
      <c r="G178" s="24"/>
    </row>
    <row r="179">
      <c r="G179" s="24"/>
    </row>
    <row r="180">
      <c r="G180" s="24"/>
    </row>
    <row r="181">
      <c r="G181" s="24"/>
    </row>
    <row r="182">
      <c r="G182" s="24"/>
    </row>
    <row r="183">
      <c r="G183" s="24"/>
    </row>
    <row r="184">
      <c r="G184" s="24"/>
    </row>
    <row r="185">
      <c r="G185" s="24"/>
    </row>
    <row r="186">
      <c r="G186" s="24"/>
    </row>
    <row r="187">
      <c r="G187" s="24"/>
    </row>
    <row r="188">
      <c r="G188" s="24"/>
    </row>
    <row r="189">
      <c r="G189" s="24"/>
    </row>
    <row r="190">
      <c r="G190" s="24"/>
    </row>
    <row r="191">
      <c r="G191" s="24"/>
    </row>
    <row r="192">
      <c r="G192" s="24"/>
    </row>
    <row r="193">
      <c r="G193" s="24"/>
    </row>
    <row r="194">
      <c r="G194" s="24"/>
    </row>
    <row r="195">
      <c r="G195" s="24"/>
    </row>
    <row r="196">
      <c r="G196" s="24"/>
    </row>
    <row r="197">
      <c r="G197" s="24"/>
    </row>
    <row r="198">
      <c r="G198" s="24"/>
    </row>
    <row r="199">
      <c r="G199" s="24"/>
    </row>
    <row r="200">
      <c r="G200" s="24"/>
    </row>
    <row r="201">
      <c r="G201" s="24"/>
    </row>
    <row r="202">
      <c r="G202" s="24"/>
    </row>
    <row r="203">
      <c r="G203" s="24"/>
    </row>
    <row r="204">
      <c r="G204" s="24"/>
    </row>
    <row r="205">
      <c r="G205" s="24"/>
    </row>
    <row r="206">
      <c r="G206" s="24"/>
    </row>
    <row r="207">
      <c r="G207" s="24"/>
    </row>
    <row r="208">
      <c r="G208" s="24"/>
    </row>
    <row r="209">
      <c r="G209" s="24"/>
    </row>
    <row r="210">
      <c r="G210" s="24"/>
    </row>
    <row r="211">
      <c r="G211" s="24"/>
    </row>
    <row r="212">
      <c r="G212" s="24"/>
    </row>
    <row r="213">
      <c r="G213" s="24"/>
    </row>
    <row r="214">
      <c r="G214" s="24"/>
    </row>
    <row r="215">
      <c r="G215" s="24"/>
    </row>
    <row r="216">
      <c r="G216" s="24"/>
    </row>
    <row r="217">
      <c r="G217" s="24"/>
    </row>
    <row r="218">
      <c r="G218" s="24"/>
    </row>
    <row r="219">
      <c r="G219" s="24"/>
    </row>
    <row r="220">
      <c r="G220" s="24"/>
    </row>
    <row r="221">
      <c r="G221" s="24"/>
    </row>
    <row r="222">
      <c r="G222" s="24"/>
    </row>
    <row r="223">
      <c r="G223" s="24"/>
    </row>
    <row r="224">
      <c r="G224" s="24"/>
    </row>
    <row r="225">
      <c r="G225" s="24"/>
    </row>
    <row r="226">
      <c r="G226" s="24"/>
    </row>
    <row r="227">
      <c r="G227" s="24"/>
    </row>
    <row r="228">
      <c r="G228" s="24"/>
    </row>
    <row r="229">
      <c r="G229" s="24"/>
    </row>
    <row r="230">
      <c r="G230" s="24"/>
    </row>
    <row r="231">
      <c r="G231" s="24"/>
    </row>
    <row r="232">
      <c r="G232" s="24"/>
    </row>
    <row r="233">
      <c r="G233" s="24"/>
    </row>
    <row r="234">
      <c r="G234" s="24"/>
    </row>
    <row r="235">
      <c r="G235" s="24"/>
    </row>
    <row r="236">
      <c r="G236" s="24"/>
    </row>
    <row r="237">
      <c r="G237" s="24"/>
    </row>
    <row r="238">
      <c r="G238" s="24"/>
    </row>
    <row r="239">
      <c r="G239" s="24"/>
    </row>
    <row r="240">
      <c r="G240" s="24"/>
    </row>
    <row r="241">
      <c r="G241" s="24"/>
    </row>
    <row r="242">
      <c r="G242" s="24"/>
    </row>
    <row r="243">
      <c r="G243" s="24"/>
    </row>
    <row r="244">
      <c r="G244" s="24"/>
    </row>
    <row r="245">
      <c r="G245" s="24"/>
    </row>
    <row r="246">
      <c r="G246" s="24"/>
    </row>
    <row r="247">
      <c r="G247" s="24"/>
    </row>
    <row r="248">
      <c r="G248" s="24"/>
    </row>
    <row r="249">
      <c r="G249" s="24"/>
    </row>
    <row r="250">
      <c r="G250" s="24"/>
    </row>
    <row r="251">
      <c r="G251" s="24"/>
    </row>
    <row r="252">
      <c r="G252" s="24"/>
    </row>
    <row r="253">
      <c r="G253" s="24"/>
    </row>
    <row r="254">
      <c r="G254" s="24"/>
    </row>
    <row r="255">
      <c r="G255" s="24"/>
    </row>
    <row r="256">
      <c r="G256" s="24"/>
    </row>
    <row r="257">
      <c r="G257" s="24"/>
    </row>
    <row r="258">
      <c r="G258" s="24"/>
    </row>
    <row r="259">
      <c r="G259" s="24"/>
    </row>
    <row r="260">
      <c r="G260" s="24"/>
    </row>
    <row r="261">
      <c r="G261" s="24"/>
    </row>
    <row r="262">
      <c r="G262" s="24"/>
    </row>
    <row r="263">
      <c r="G263" s="24"/>
    </row>
    <row r="264">
      <c r="G264" s="24"/>
    </row>
    <row r="265">
      <c r="G265" s="24"/>
    </row>
    <row r="266">
      <c r="G266" s="24"/>
    </row>
    <row r="267">
      <c r="G267" s="24"/>
    </row>
    <row r="268">
      <c r="G268" s="24"/>
    </row>
    <row r="269">
      <c r="G269" s="24"/>
    </row>
    <row r="270">
      <c r="G270" s="24"/>
    </row>
    <row r="271">
      <c r="G271" s="24"/>
    </row>
    <row r="272">
      <c r="G272" s="24"/>
    </row>
    <row r="273">
      <c r="G273" s="24"/>
    </row>
    <row r="274">
      <c r="G274" s="24"/>
    </row>
    <row r="275">
      <c r="G275" s="24"/>
    </row>
    <row r="276">
      <c r="G276" s="24"/>
    </row>
    <row r="277">
      <c r="G277" s="24"/>
    </row>
    <row r="278">
      <c r="G278" s="24"/>
    </row>
    <row r="279">
      <c r="G279" s="24"/>
    </row>
    <row r="280">
      <c r="G280" s="24"/>
    </row>
    <row r="281">
      <c r="G281" s="24"/>
    </row>
    <row r="282">
      <c r="G282" s="24"/>
    </row>
    <row r="283">
      <c r="G283" s="24"/>
    </row>
    <row r="284">
      <c r="G284" s="24"/>
    </row>
    <row r="285">
      <c r="G285" s="24"/>
    </row>
    <row r="286">
      <c r="G286" s="24"/>
    </row>
    <row r="287">
      <c r="G287" s="24"/>
    </row>
    <row r="288">
      <c r="G288" s="24"/>
    </row>
    <row r="289">
      <c r="G289" s="24"/>
    </row>
    <row r="290">
      <c r="G290" s="24"/>
    </row>
    <row r="291">
      <c r="G291" s="24"/>
    </row>
    <row r="292">
      <c r="G292" s="24"/>
    </row>
    <row r="293">
      <c r="G293" s="24"/>
    </row>
    <row r="294">
      <c r="G294" s="24"/>
    </row>
    <row r="295">
      <c r="G295" s="24"/>
    </row>
    <row r="296">
      <c r="G296" s="24"/>
    </row>
    <row r="297">
      <c r="G297" s="24"/>
    </row>
    <row r="298">
      <c r="G298" s="24"/>
    </row>
    <row r="299">
      <c r="G299" s="24"/>
    </row>
    <row r="300">
      <c r="G300" s="24"/>
    </row>
    <row r="301">
      <c r="G301" s="24"/>
    </row>
    <row r="302">
      <c r="G302" s="24"/>
    </row>
    <row r="303">
      <c r="G303" s="24"/>
    </row>
    <row r="304">
      <c r="G304" s="24"/>
    </row>
    <row r="305">
      <c r="G305" s="24"/>
    </row>
    <row r="306">
      <c r="G306" s="24"/>
    </row>
    <row r="307">
      <c r="G307" s="24"/>
    </row>
    <row r="308">
      <c r="G308" s="24"/>
    </row>
    <row r="309">
      <c r="G309" s="24"/>
    </row>
    <row r="310">
      <c r="G310" s="24"/>
    </row>
    <row r="311">
      <c r="G311" s="24"/>
    </row>
    <row r="312">
      <c r="G312" s="24"/>
    </row>
    <row r="313">
      <c r="G313" s="24"/>
    </row>
    <row r="314">
      <c r="G314" s="24"/>
    </row>
    <row r="315">
      <c r="G315" s="24"/>
    </row>
    <row r="316">
      <c r="G316" s="24"/>
    </row>
    <row r="317">
      <c r="G317" s="24"/>
    </row>
    <row r="318">
      <c r="G318" s="24"/>
    </row>
    <row r="319">
      <c r="G319" s="24"/>
    </row>
    <row r="320">
      <c r="G320" s="24"/>
    </row>
    <row r="321">
      <c r="G321" s="24"/>
    </row>
    <row r="322">
      <c r="G322" s="24"/>
    </row>
    <row r="323">
      <c r="G323" s="24"/>
    </row>
    <row r="324">
      <c r="G324" s="24"/>
    </row>
    <row r="325">
      <c r="G325" s="24"/>
    </row>
    <row r="326">
      <c r="G326" s="24"/>
    </row>
    <row r="327">
      <c r="G327" s="24"/>
    </row>
    <row r="328">
      <c r="G328" s="24"/>
    </row>
    <row r="329">
      <c r="G329" s="24"/>
    </row>
    <row r="330">
      <c r="G330" s="24"/>
    </row>
    <row r="331">
      <c r="G331" s="24"/>
    </row>
    <row r="332">
      <c r="G332" s="24"/>
    </row>
    <row r="333">
      <c r="G333" s="24"/>
    </row>
    <row r="334">
      <c r="G334" s="24"/>
    </row>
    <row r="335">
      <c r="G335" s="24"/>
    </row>
    <row r="336">
      <c r="G336" s="24"/>
    </row>
    <row r="337">
      <c r="G337" s="24"/>
    </row>
    <row r="338">
      <c r="G338" s="24"/>
    </row>
    <row r="339">
      <c r="G339" s="24"/>
    </row>
    <row r="340">
      <c r="G340" s="24"/>
    </row>
    <row r="341">
      <c r="G341" s="24"/>
    </row>
    <row r="342">
      <c r="G342" s="24"/>
    </row>
    <row r="343">
      <c r="G343" s="24"/>
    </row>
    <row r="344">
      <c r="G344" s="24"/>
    </row>
    <row r="345">
      <c r="G345" s="24"/>
    </row>
    <row r="346">
      <c r="G346" s="24"/>
    </row>
    <row r="347">
      <c r="G347" s="24"/>
    </row>
    <row r="348">
      <c r="G348" s="24"/>
    </row>
    <row r="349">
      <c r="G349" s="24"/>
    </row>
    <row r="350">
      <c r="G350" s="24"/>
    </row>
    <row r="351">
      <c r="G351" s="24"/>
    </row>
    <row r="352">
      <c r="G352" s="24"/>
    </row>
    <row r="353">
      <c r="G353" s="24"/>
    </row>
    <row r="354">
      <c r="G354" s="24"/>
    </row>
    <row r="355">
      <c r="G355" s="24"/>
    </row>
    <row r="356">
      <c r="G356" s="24"/>
    </row>
    <row r="357">
      <c r="G357" s="24"/>
    </row>
    <row r="358">
      <c r="G358" s="24"/>
    </row>
    <row r="359">
      <c r="G359" s="24"/>
    </row>
    <row r="360">
      <c r="G360" s="24"/>
    </row>
    <row r="361">
      <c r="G361" s="24"/>
    </row>
    <row r="362">
      <c r="G362" s="24"/>
    </row>
    <row r="363">
      <c r="G363" s="24"/>
    </row>
    <row r="364">
      <c r="G364" s="24"/>
    </row>
    <row r="365">
      <c r="G365" s="24"/>
    </row>
    <row r="366">
      <c r="G366" s="24"/>
    </row>
    <row r="367">
      <c r="G367" s="24"/>
    </row>
    <row r="368">
      <c r="G368" s="24"/>
    </row>
    <row r="369">
      <c r="G369" s="24"/>
    </row>
    <row r="370">
      <c r="G370" s="24"/>
    </row>
    <row r="371">
      <c r="G371" s="24"/>
    </row>
    <row r="372">
      <c r="G372" s="24"/>
    </row>
    <row r="373">
      <c r="G373" s="24"/>
    </row>
    <row r="374">
      <c r="G374" s="24"/>
    </row>
    <row r="375">
      <c r="G375" s="24"/>
    </row>
    <row r="376">
      <c r="G376" s="24"/>
    </row>
    <row r="377">
      <c r="G377" s="24"/>
    </row>
    <row r="378">
      <c r="G378" s="24"/>
    </row>
    <row r="379">
      <c r="G379" s="24"/>
    </row>
    <row r="380">
      <c r="G380" s="24"/>
    </row>
    <row r="381">
      <c r="G381" s="24"/>
    </row>
    <row r="382">
      <c r="G382" s="24"/>
    </row>
    <row r="383">
      <c r="G383" s="24"/>
    </row>
    <row r="384">
      <c r="G384" s="24"/>
    </row>
    <row r="385">
      <c r="G385" s="24"/>
    </row>
    <row r="386">
      <c r="G386" s="24"/>
    </row>
    <row r="387">
      <c r="G387" s="24"/>
    </row>
    <row r="388">
      <c r="G388" s="24"/>
    </row>
    <row r="389">
      <c r="G389" s="24"/>
    </row>
    <row r="390">
      <c r="G390" s="24"/>
    </row>
    <row r="391">
      <c r="G391" s="24"/>
    </row>
    <row r="392">
      <c r="G392" s="24"/>
    </row>
    <row r="393">
      <c r="G393" s="24"/>
    </row>
    <row r="394">
      <c r="G394" s="24"/>
    </row>
    <row r="395">
      <c r="G395" s="24"/>
    </row>
    <row r="396">
      <c r="G396" s="24"/>
    </row>
    <row r="397">
      <c r="G397" s="24"/>
    </row>
    <row r="398">
      <c r="G398" s="24"/>
    </row>
    <row r="399">
      <c r="G399" s="24"/>
    </row>
    <row r="400">
      <c r="G400" s="24"/>
    </row>
    <row r="401">
      <c r="G401" s="24"/>
    </row>
    <row r="402">
      <c r="G402" s="24"/>
    </row>
    <row r="403">
      <c r="G403" s="24"/>
    </row>
    <row r="404">
      <c r="G404" s="24"/>
    </row>
    <row r="405">
      <c r="G405" s="24"/>
    </row>
    <row r="406">
      <c r="G406" s="24"/>
    </row>
    <row r="407">
      <c r="G407" s="24"/>
    </row>
    <row r="408">
      <c r="G408" s="24"/>
    </row>
    <row r="409">
      <c r="G409" s="24"/>
    </row>
    <row r="410">
      <c r="G410" s="24"/>
    </row>
    <row r="411">
      <c r="G411" s="24"/>
    </row>
    <row r="412">
      <c r="G412" s="24"/>
    </row>
    <row r="413">
      <c r="G413" s="24"/>
    </row>
    <row r="414">
      <c r="G414" s="24"/>
    </row>
    <row r="415">
      <c r="G415" s="24"/>
    </row>
    <row r="416">
      <c r="G416" s="24"/>
    </row>
    <row r="417">
      <c r="G417" s="24"/>
    </row>
    <row r="418">
      <c r="G418" s="24"/>
    </row>
    <row r="419">
      <c r="G419" s="24"/>
    </row>
    <row r="420">
      <c r="G420" s="24"/>
    </row>
    <row r="421">
      <c r="G421" s="24"/>
    </row>
    <row r="422">
      <c r="G422" s="24"/>
    </row>
    <row r="423">
      <c r="G423" s="24"/>
    </row>
    <row r="424">
      <c r="G424" s="24"/>
    </row>
    <row r="425">
      <c r="G425" s="24"/>
    </row>
    <row r="426">
      <c r="G426" s="24"/>
    </row>
    <row r="427">
      <c r="G427" s="24"/>
    </row>
    <row r="428">
      <c r="G428" s="24"/>
    </row>
    <row r="429">
      <c r="G429" s="24"/>
    </row>
    <row r="430">
      <c r="G430" s="24"/>
    </row>
    <row r="431">
      <c r="G431" s="24"/>
    </row>
    <row r="432">
      <c r="G432" s="24"/>
    </row>
    <row r="433">
      <c r="G433" s="24"/>
    </row>
    <row r="434">
      <c r="G434" s="24"/>
    </row>
    <row r="435">
      <c r="G435" s="24"/>
    </row>
    <row r="436">
      <c r="G436" s="24"/>
    </row>
    <row r="437">
      <c r="G437" s="24"/>
    </row>
    <row r="438">
      <c r="G438" s="24"/>
    </row>
    <row r="439">
      <c r="G439" s="24"/>
    </row>
    <row r="440">
      <c r="G440" s="24"/>
    </row>
    <row r="441">
      <c r="G441" s="24"/>
    </row>
    <row r="442">
      <c r="G442" s="24"/>
    </row>
    <row r="443">
      <c r="G443" s="24"/>
    </row>
    <row r="444">
      <c r="G444" s="24"/>
    </row>
    <row r="445">
      <c r="G445" s="24"/>
    </row>
    <row r="446">
      <c r="G446" s="24"/>
    </row>
    <row r="447">
      <c r="G447" s="24"/>
    </row>
    <row r="448">
      <c r="G448" s="24"/>
    </row>
    <row r="449">
      <c r="G449" s="24"/>
    </row>
    <row r="450">
      <c r="G450" s="24"/>
    </row>
    <row r="451">
      <c r="G451" s="24"/>
    </row>
    <row r="452">
      <c r="G452" s="24"/>
    </row>
    <row r="453">
      <c r="G453" s="24"/>
    </row>
    <row r="454">
      <c r="G454" s="24"/>
    </row>
    <row r="455">
      <c r="G455" s="24"/>
    </row>
    <row r="456">
      <c r="G456" s="24"/>
    </row>
    <row r="457">
      <c r="G457" s="24"/>
    </row>
    <row r="458">
      <c r="G458" s="24"/>
    </row>
    <row r="459">
      <c r="G459" s="24"/>
    </row>
    <row r="460">
      <c r="G460" s="24"/>
    </row>
    <row r="461">
      <c r="G461" s="24"/>
    </row>
    <row r="462">
      <c r="G462" s="24"/>
    </row>
    <row r="463">
      <c r="G463" s="24"/>
    </row>
    <row r="464">
      <c r="G464" s="24"/>
    </row>
    <row r="465">
      <c r="G465" s="24"/>
    </row>
    <row r="466">
      <c r="G466" s="24"/>
    </row>
    <row r="467">
      <c r="G467" s="24"/>
    </row>
    <row r="468">
      <c r="G468" s="24"/>
    </row>
    <row r="469">
      <c r="G469" s="24"/>
    </row>
    <row r="470">
      <c r="G470" s="24"/>
    </row>
    <row r="471">
      <c r="G471" s="24"/>
    </row>
    <row r="472">
      <c r="G472" s="24"/>
    </row>
    <row r="473">
      <c r="G473" s="24"/>
    </row>
    <row r="474">
      <c r="G474" s="24"/>
    </row>
    <row r="475">
      <c r="G475" s="24"/>
    </row>
    <row r="476">
      <c r="G476" s="24"/>
    </row>
    <row r="477">
      <c r="G477" s="24"/>
    </row>
    <row r="478">
      <c r="G478" s="24"/>
    </row>
    <row r="479">
      <c r="G479" s="24"/>
    </row>
    <row r="480">
      <c r="G480" s="24"/>
    </row>
    <row r="481">
      <c r="G481" s="24"/>
    </row>
    <row r="482">
      <c r="G482" s="24"/>
    </row>
    <row r="483">
      <c r="G483" s="24"/>
    </row>
    <row r="484">
      <c r="G484" s="24"/>
    </row>
    <row r="485">
      <c r="G485" s="24"/>
    </row>
    <row r="486">
      <c r="G486" s="24"/>
    </row>
    <row r="487">
      <c r="G487" s="24"/>
    </row>
    <row r="488">
      <c r="G488" s="24"/>
    </row>
    <row r="489">
      <c r="G489" s="24"/>
    </row>
    <row r="490">
      <c r="G490" s="24"/>
    </row>
    <row r="491">
      <c r="G491" s="24"/>
    </row>
    <row r="492">
      <c r="G492" s="24"/>
    </row>
    <row r="493">
      <c r="G493" s="24"/>
    </row>
    <row r="494">
      <c r="G494" s="24"/>
    </row>
    <row r="495">
      <c r="G495" s="24"/>
    </row>
    <row r="496">
      <c r="G496" s="24"/>
    </row>
    <row r="497">
      <c r="G497" s="24"/>
    </row>
    <row r="498">
      <c r="G498" s="24"/>
    </row>
    <row r="499">
      <c r="G499" s="24"/>
    </row>
    <row r="500">
      <c r="G500" s="24"/>
    </row>
    <row r="501">
      <c r="G501" s="24"/>
    </row>
    <row r="502">
      <c r="G502" s="24"/>
    </row>
    <row r="503">
      <c r="G503" s="24"/>
    </row>
    <row r="504">
      <c r="G504" s="24"/>
    </row>
    <row r="505">
      <c r="G505" s="24"/>
    </row>
    <row r="506">
      <c r="G506" s="24"/>
    </row>
    <row r="507">
      <c r="G507" s="24"/>
    </row>
    <row r="508">
      <c r="G508" s="24"/>
    </row>
    <row r="509">
      <c r="G509" s="24"/>
    </row>
    <row r="510">
      <c r="G510" s="24"/>
    </row>
    <row r="511">
      <c r="G511" s="24"/>
    </row>
    <row r="512">
      <c r="G512" s="24"/>
    </row>
    <row r="513">
      <c r="G513" s="24"/>
    </row>
    <row r="514">
      <c r="G514" s="24"/>
    </row>
    <row r="515">
      <c r="G515" s="24"/>
    </row>
    <row r="516">
      <c r="G516" s="24"/>
    </row>
    <row r="517">
      <c r="G517" s="24"/>
    </row>
    <row r="518">
      <c r="G518" s="24"/>
    </row>
    <row r="519">
      <c r="G519" s="24"/>
    </row>
    <row r="520">
      <c r="G520" s="24"/>
    </row>
    <row r="521">
      <c r="G521" s="24"/>
    </row>
    <row r="522">
      <c r="G522" s="24"/>
    </row>
    <row r="523">
      <c r="G523" s="24"/>
    </row>
    <row r="524">
      <c r="G524" s="24"/>
    </row>
    <row r="525">
      <c r="G525" s="24"/>
    </row>
    <row r="526">
      <c r="G526" s="24"/>
    </row>
    <row r="527">
      <c r="G527" s="24"/>
    </row>
    <row r="528">
      <c r="G528" s="24"/>
    </row>
    <row r="529">
      <c r="G529" s="24"/>
    </row>
    <row r="530">
      <c r="G530" s="24"/>
    </row>
    <row r="531">
      <c r="G531" s="24"/>
    </row>
    <row r="532">
      <c r="G532" s="24"/>
    </row>
    <row r="533">
      <c r="G533" s="24"/>
    </row>
    <row r="534">
      <c r="G534" s="24"/>
    </row>
    <row r="535">
      <c r="G535" s="24"/>
    </row>
    <row r="536">
      <c r="G536" s="24"/>
    </row>
    <row r="537">
      <c r="G537" s="24"/>
    </row>
    <row r="538">
      <c r="G538" s="24"/>
    </row>
    <row r="539">
      <c r="G539" s="24"/>
    </row>
    <row r="540">
      <c r="G540" s="24"/>
    </row>
    <row r="541">
      <c r="G541" s="24"/>
    </row>
    <row r="542">
      <c r="G542" s="24"/>
    </row>
    <row r="543">
      <c r="G543" s="24"/>
    </row>
    <row r="544">
      <c r="G544" s="24"/>
    </row>
    <row r="545">
      <c r="G545" s="24"/>
    </row>
    <row r="546">
      <c r="G546" s="24"/>
    </row>
    <row r="547">
      <c r="G547" s="24"/>
    </row>
    <row r="548">
      <c r="G548" s="24"/>
    </row>
    <row r="549">
      <c r="G549" s="24"/>
    </row>
    <row r="550">
      <c r="G550" s="24"/>
    </row>
    <row r="551">
      <c r="G551" s="24"/>
    </row>
    <row r="552">
      <c r="G552" s="24"/>
    </row>
    <row r="553">
      <c r="G553" s="24"/>
    </row>
    <row r="554">
      <c r="G554" s="24"/>
    </row>
    <row r="555">
      <c r="G555" s="24"/>
    </row>
    <row r="556">
      <c r="G556" s="24"/>
    </row>
    <row r="557">
      <c r="G557" s="24"/>
    </row>
    <row r="558">
      <c r="G558" s="24"/>
    </row>
    <row r="559">
      <c r="G559" s="24"/>
    </row>
    <row r="560">
      <c r="G560" s="24"/>
    </row>
    <row r="561">
      <c r="G561" s="24"/>
    </row>
    <row r="562">
      <c r="G562" s="24"/>
    </row>
    <row r="563">
      <c r="G563" s="24"/>
    </row>
    <row r="564">
      <c r="G564" s="24"/>
    </row>
    <row r="565">
      <c r="G565" s="24"/>
    </row>
    <row r="566">
      <c r="G566" s="24"/>
    </row>
    <row r="567">
      <c r="G567" s="24"/>
    </row>
    <row r="568">
      <c r="G568" s="24"/>
    </row>
    <row r="569">
      <c r="G569" s="24"/>
    </row>
    <row r="570">
      <c r="G570" s="24"/>
    </row>
    <row r="571">
      <c r="G571" s="24"/>
    </row>
    <row r="572">
      <c r="G572" s="24"/>
    </row>
    <row r="573">
      <c r="G573" s="24"/>
    </row>
    <row r="574">
      <c r="G574" s="24"/>
    </row>
    <row r="575">
      <c r="G575" s="24"/>
    </row>
    <row r="576">
      <c r="G576" s="24"/>
    </row>
    <row r="577">
      <c r="G577" s="24"/>
    </row>
    <row r="578">
      <c r="G578" s="24"/>
    </row>
    <row r="579">
      <c r="G579" s="24"/>
    </row>
    <row r="580">
      <c r="G580" s="24"/>
    </row>
    <row r="581">
      <c r="G581" s="24"/>
    </row>
    <row r="582">
      <c r="G582" s="24"/>
    </row>
    <row r="583">
      <c r="G583" s="24"/>
    </row>
    <row r="584">
      <c r="G584" s="24"/>
    </row>
    <row r="585">
      <c r="G585" s="24"/>
    </row>
    <row r="586">
      <c r="G586" s="24"/>
    </row>
    <row r="587">
      <c r="G587" s="24"/>
    </row>
    <row r="588">
      <c r="G588" s="24"/>
    </row>
    <row r="589">
      <c r="G589" s="24"/>
    </row>
    <row r="590">
      <c r="G590" s="24"/>
    </row>
    <row r="591">
      <c r="G591" s="24"/>
    </row>
    <row r="592">
      <c r="G592" s="24"/>
    </row>
    <row r="593">
      <c r="G593" s="24"/>
    </row>
    <row r="594">
      <c r="G594" s="24"/>
    </row>
    <row r="595">
      <c r="G595" s="24"/>
    </row>
    <row r="596">
      <c r="G596" s="24"/>
    </row>
    <row r="597">
      <c r="G597" s="24"/>
    </row>
    <row r="598">
      <c r="G598" s="24"/>
    </row>
    <row r="599">
      <c r="G599" s="24"/>
    </row>
    <row r="600">
      <c r="G600" s="24"/>
    </row>
    <row r="601">
      <c r="G601" s="24"/>
    </row>
    <row r="602">
      <c r="G602" s="24"/>
    </row>
    <row r="603">
      <c r="G603" s="24"/>
    </row>
    <row r="604">
      <c r="G604" s="24"/>
    </row>
    <row r="605">
      <c r="G605" s="24"/>
    </row>
    <row r="606">
      <c r="G606" s="24"/>
    </row>
    <row r="607">
      <c r="G607" s="24"/>
    </row>
    <row r="608">
      <c r="G608" s="24"/>
    </row>
    <row r="609">
      <c r="G609" s="24"/>
    </row>
    <row r="610">
      <c r="G610" s="24"/>
    </row>
    <row r="611">
      <c r="G611" s="24"/>
    </row>
    <row r="612">
      <c r="G612" s="24"/>
    </row>
    <row r="613">
      <c r="G613" s="24"/>
    </row>
    <row r="614">
      <c r="G614" s="24"/>
    </row>
    <row r="615">
      <c r="G615" s="24"/>
    </row>
    <row r="616">
      <c r="G616" s="24"/>
    </row>
    <row r="617">
      <c r="G617" s="24"/>
    </row>
    <row r="618">
      <c r="G618" s="24"/>
    </row>
    <row r="619">
      <c r="G619" s="24"/>
    </row>
    <row r="620">
      <c r="G620" s="24"/>
    </row>
    <row r="621">
      <c r="G621" s="24"/>
    </row>
    <row r="622">
      <c r="G622" s="24"/>
    </row>
    <row r="623">
      <c r="G623" s="24"/>
    </row>
    <row r="624">
      <c r="G624" s="24"/>
    </row>
    <row r="625">
      <c r="G625" s="24"/>
    </row>
    <row r="626">
      <c r="G626" s="24"/>
    </row>
    <row r="627">
      <c r="G627" s="24"/>
    </row>
    <row r="628">
      <c r="G628" s="24"/>
    </row>
    <row r="629">
      <c r="G629" s="24"/>
    </row>
    <row r="630">
      <c r="G630" s="24"/>
    </row>
    <row r="631">
      <c r="G631" s="24"/>
    </row>
    <row r="632">
      <c r="G632" s="24"/>
    </row>
    <row r="633">
      <c r="G633" s="24"/>
    </row>
    <row r="634">
      <c r="G634" s="24"/>
    </row>
    <row r="635">
      <c r="G635" s="24"/>
    </row>
    <row r="636">
      <c r="G636" s="24"/>
    </row>
    <row r="637">
      <c r="G637" s="24"/>
    </row>
    <row r="638">
      <c r="G638" s="24"/>
    </row>
    <row r="639">
      <c r="G639" s="24"/>
    </row>
    <row r="640">
      <c r="G640" s="24"/>
    </row>
    <row r="641">
      <c r="G641" s="24"/>
    </row>
    <row r="642">
      <c r="G642" s="24"/>
    </row>
    <row r="643">
      <c r="G643" s="24"/>
    </row>
    <row r="644">
      <c r="G644" s="24"/>
    </row>
    <row r="645">
      <c r="G645" s="24"/>
    </row>
    <row r="646">
      <c r="G646" s="24"/>
    </row>
    <row r="647">
      <c r="G647" s="24"/>
    </row>
    <row r="648">
      <c r="G648" s="24"/>
    </row>
    <row r="649">
      <c r="G649" s="24"/>
    </row>
    <row r="650">
      <c r="G650" s="24"/>
    </row>
    <row r="651">
      <c r="G651" s="24"/>
    </row>
    <row r="652">
      <c r="G652" s="24"/>
    </row>
    <row r="653">
      <c r="G653" s="24"/>
    </row>
    <row r="654">
      <c r="G654" s="24"/>
    </row>
    <row r="655">
      <c r="G655" s="24"/>
    </row>
    <row r="656">
      <c r="G656" s="24"/>
    </row>
    <row r="657">
      <c r="G657" s="24"/>
    </row>
    <row r="658">
      <c r="G658" s="24"/>
    </row>
    <row r="659">
      <c r="G659" s="24"/>
    </row>
    <row r="660">
      <c r="G660" s="24"/>
    </row>
    <row r="661">
      <c r="G661" s="24"/>
    </row>
    <row r="662">
      <c r="G662" s="24"/>
    </row>
    <row r="663">
      <c r="G663" s="24"/>
    </row>
    <row r="664">
      <c r="G664" s="24"/>
    </row>
    <row r="665">
      <c r="G665" s="24"/>
    </row>
    <row r="666">
      <c r="G666" s="24"/>
    </row>
    <row r="667">
      <c r="G667" s="24"/>
    </row>
    <row r="668">
      <c r="G668" s="24"/>
    </row>
    <row r="669">
      <c r="G669" s="24"/>
    </row>
    <row r="670">
      <c r="G670" s="24"/>
    </row>
    <row r="671">
      <c r="G671" s="24"/>
    </row>
    <row r="672">
      <c r="G672" s="24"/>
    </row>
    <row r="673">
      <c r="G673" s="24"/>
    </row>
    <row r="674">
      <c r="G674" s="24"/>
    </row>
    <row r="675">
      <c r="G675" s="24"/>
    </row>
    <row r="676">
      <c r="G676" s="24"/>
    </row>
    <row r="677">
      <c r="G677" s="24"/>
    </row>
    <row r="678">
      <c r="G678" s="24"/>
    </row>
    <row r="679">
      <c r="G679" s="24"/>
    </row>
    <row r="680">
      <c r="G680" s="24"/>
    </row>
    <row r="681">
      <c r="G681" s="24"/>
    </row>
    <row r="682">
      <c r="G682" s="24"/>
    </row>
    <row r="683">
      <c r="G683" s="24"/>
    </row>
    <row r="684">
      <c r="G684" s="24"/>
    </row>
    <row r="685">
      <c r="G685" s="24"/>
    </row>
    <row r="686">
      <c r="G686" s="24"/>
    </row>
    <row r="687">
      <c r="G687" s="24"/>
    </row>
    <row r="688">
      <c r="G688" s="24"/>
    </row>
    <row r="689">
      <c r="G689" s="24"/>
    </row>
    <row r="690">
      <c r="G690" s="24"/>
    </row>
    <row r="691">
      <c r="G691" s="24"/>
    </row>
    <row r="692">
      <c r="G692" s="24"/>
    </row>
    <row r="693">
      <c r="G693" s="24"/>
    </row>
    <row r="694">
      <c r="G694" s="24"/>
    </row>
    <row r="695">
      <c r="G695" s="24"/>
    </row>
    <row r="696">
      <c r="G696" s="24"/>
    </row>
    <row r="697">
      <c r="G697" s="24"/>
    </row>
    <row r="698">
      <c r="G698" s="24"/>
    </row>
    <row r="699">
      <c r="G699" s="24"/>
    </row>
    <row r="700">
      <c r="G700" s="24"/>
    </row>
    <row r="701">
      <c r="G701" s="24"/>
    </row>
    <row r="702">
      <c r="G702" s="24"/>
    </row>
    <row r="703">
      <c r="G703" s="24"/>
    </row>
    <row r="704">
      <c r="G704" s="24"/>
    </row>
    <row r="705">
      <c r="G705" s="24"/>
    </row>
    <row r="706">
      <c r="G706" s="24"/>
    </row>
    <row r="707">
      <c r="G707" s="24"/>
    </row>
    <row r="708">
      <c r="G708" s="24"/>
    </row>
    <row r="709">
      <c r="G709" s="24"/>
    </row>
    <row r="710">
      <c r="G710" s="24"/>
    </row>
    <row r="711">
      <c r="G711" s="24"/>
    </row>
    <row r="712">
      <c r="G712" s="24"/>
    </row>
    <row r="713">
      <c r="G713" s="24"/>
    </row>
    <row r="714">
      <c r="G714" s="24"/>
    </row>
    <row r="715">
      <c r="G715" s="24"/>
    </row>
    <row r="716">
      <c r="G716" s="24"/>
    </row>
    <row r="717">
      <c r="G717" s="24"/>
    </row>
    <row r="718">
      <c r="G718" s="24"/>
    </row>
    <row r="719">
      <c r="G719" s="24"/>
    </row>
    <row r="720">
      <c r="G720" s="24"/>
    </row>
    <row r="721">
      <c r="G721" s="24"/>
    </row>
    <row r="722">
      <c r="G722" s="24"/>
    </row>
    <row r="723">
      <c r="G723" s="24"/>
    </row>
    <row r="724">
      <c r="G724" s="24"/>
    </row>
    <row r="725">
      <c r="G725" s="24"/>
    </row>
    <row r="726">
      <c r="G726" s="24"/>
    </row>
    <row r="727">
      <c r="G727" s="24"/>
    </row>
    <row r="728">
      <c r="G728" s="24"/>
    </row>
    <row r="729">
      <c r="G729" s="24"/>
    </row>
    <row r="730">
      <c r="G730" s="24"/>
    </row>
    <row r="731">
      <c r="G731" s="24"/>
    </row>
    <row r="732">
      <c r="G732" s="24"/>
    </row>
    <row r="733">
      <c r="G733" s="24"/>
    </row>
    <row r="734">
      <c r="G734" s="24"/>
    </row>
    <row r="735">
      <c r="G735" s="24"/>
    </row>
    <row r="736">
      <c r="G736" s="24"/>
    </row>
    <row r="737">
      <c r="G737" s="24"/>
    </row>
    <row r="738">
      <c r="G738" s="24"/>
    </row>
    <row r="739">
      <c r="G739" s="24"/>
    </row>
    <row r="740">
      <c r="G740" s="24"/>
    </row>
    <row r="741">
      <c r="G741" s="24"/>
    </row>
    <row r="742">
      <c r="G742" s="24"/>
    </row>
    <row r="743">
      <c r="G743" s="24"/>
    </row>
    <row r="744">
      <c r="G744" s="24"/>
    </row>
    <row r="745">
      <c r="G745" s="24"/>
    </row>
    <row r="746">
      <c r="G746" s="24"/>
    </row>
    <row r="747">
      <c r="G747" s="24"/>
    </row>
    <row r="748">
      <c r="G748" s="24"/>
    </row>
    <row r="749">
      <c r="G749" s="24"/>
    </row>
    <row r="750">
      <c r="G750" s="24"/>
    </row>
    <row r="751">
      <c r="G751" s="24"/>
    </row>
    <row r="752">
      <c r="G752" s="24"/>
    </row>
    <row r="753">
      <c r="G753" s="24"/>
    </row>
    <row r="754">
      <c r="G754" s="24"/>
    </row>
    <row r="755">
      <c r="G755" s="24"/>
    </row>
    <row r="756">
      <c r="G756" s="24"/>
    </row>
    <row r="757">
      <c r="G757" s="24"/>
    </row>
    <row r="758">
      <c r="G758" s="24"/>
    </row>
    <row r="759">
      <c r="G759" s="24"/>
    </row>
    <row r="760">
      <c r="G760" s="24"/>
    </row>
    <row r="761">
      <c r="G761" s="24"/>
    </row>
    <row r="762">
      <c r="G762" s="24"/>
    </row>
    <row r="763">
      <c r="G763" s="24"/>
    </row>
    <row r="764">
      <c r="G764" s="24"/>
    </row>
    <row r="765">
      <c r="G765" s="24"/>
    </row>
    <row r="766">
      <c r="G766" s="24"/>
    </row>
    <row r="767">
      <c r="G767" s="24"/>
    </row>
    <row r="768">
      <c r="G768" s="24"/>
    </row>
    <row r="769">
      <c r="G769" s="24"/>
    </row>
    <row r="770">
      <c r="G770" s="24"/>
    </row>
    <row r="771">
      <c r="G771" s="24"/>
    </row>
    <row r="772">
      <c r="G772" s="24"/>
    </row>
    <row r="773">
      <c r="G773" s="24"/>
    </row>
    <row r="774">
      <c r="G774" s="24"/>
    </row>
    <row r="775">
      <c r="G775" s="24"/>
    </row>
    <row r="776">
      <c r="G776" s="24"/>
    </row>
    <row r="777">
      <c r="G777" s="24"/>
    </row>
    <row r="778">
      <c r="G778" s="24"/>
    </row>
    <row r="779">
      <c r="G779" s="24"/>
    </row>
    <row r="780">
      <c r="G780" s="24"/>
    </row>
    <row r="781">
      <c r="G781" s="24"/>
    </row>
    <row r="782">
      <c r="G782" s="24"/>
    </row>
    <row r="783">
      <c r="G783" s="24"/>
    </row>
    <row r="784">
      <c r="G784" s="24"/>
    </row>
    <row r="785">
      <c r="G785" s="24"/>
    </row>
    <row r="786">
      <c r="G786" s="24"/>
    </row>
    <row r="787">
      <c r="G787" s="24"/>
    </row>
    <row r="788">
      <c r="G788" s="24"/>
    </row>
    <row r="789">
      <c r="G789" s="24"/>
    </row>
    <row r="790">
      <c r="G790" s="24"/>
    </row>
    <row r="791">
      <c r="G791" s="24"/>
    </row>
    <row r="792">
      <c r="G792" s="24"/>
    </row>
    <row r="793">
      <c r="G793" s="24"/>
    </row>
    <row r="794">
      <c r="G794" s="24"/>
    </row>
    <row r="795">
      <c r="G795" s="24"/>
    </row>
    <row r="796">
      <c r="G796" s="24"/>
    </row>
    <row r="797">
      <c r="G797" s="24"/>
    </row>
    <row r="798">
      <c r="G798" s="24"/>
    </row>
    <row r="799">
      <c r="G799" s="24"/>
    </row>
    <row r="800">
      <c r="G800" s="24"/>
    </row>
    <row r="801">
      <c r="G801" s="24"/>
    </row>
    <row r="802">
      <c r="G802" s="24"/>
    </row>
    <row r="803">
      <c r="G803" s="24"/>
    </row>
    <row r="804">
      <c r="G804" s="24"/>
    </row>
    <row r="805">
      <c r="G805" s="24"/>
    </row>
    <row r="806">
      <c r="G806" s="24"/>
    </row>
    <row r="807">
      <c r="G807" s="24"/>
    </row>
    <row r="808">
      <c r="G808" s="24"/>
    </row>
    <row r="809">
      <c r="G809" s="24"/>
    </row>
    <row r="810">
      <c r="G810" s="24"/>
    </row>
    <row r="811">
      <c r="G811" s="24"/>
    </row>
    <row r="812">
      <c r="G812" s="24"/>
    </row>
    <row r="813">
      <c r="G813" s="24"/>
    </row>
    <row r="814">
      <c r="G814" s="24"/>
    </row>
    <row r="815">
      <c r="G815" s="24"/>
    </row>
    <row r="816">
      <c r="G816" s="24"/>
    </row>
    <row r="817">
      <c r="G817" s="24"/>
    </row>
    <row r="818">
      <c r="G818" s="24"/>
    </row>
    <row r="819">
      <c r="G819" s="24"/>
    </row>
    <row r="820">
      <c r="G820" s="24"/>
    </row>
    <row r="821">
      <c r="G821" s="24"/>
    </row>
    <row r="822">
      <c r="G822" s="24"/>
    </row>
    <row r="823">
      <c r="G823" s="24"/>
    </row>
    <row r="824">
      <c r="G824" s="24"/>
    </row>
    <row r="825">
      <c r="G825" s="24"/>
    </row>
    <row r="826">
      <c r="G826" s="24"/>
    </row>
    <row r="827">
      <c r="G827" s="24"/>
    </row>
    <row r="828">
      <c r="G828" s="24"/>
    </row>
    <row r="829">
      <c r="G829" s="24"/>
    </row>
    <row r="830">
      <c r="G830" s="24"/>
    </row>
    <row r="831">
      <c r="G831" s="24"/>
    </row>
    <row r="832">
      <c r="G832" s="24"/>
    </row>
    <row r="833">
      <c r="G833" s="24"/>
    </row>
    <row r="834">
      <c r="G834" s="24"/>
    </row>
    <row r="835">
      <c r="G835" s="24"/>
    </row>
    <row r="836">
      <c r="G836" s="24"/>
    </row>
    <row r="837">
      <c r="G837" s="24"/>
    </row>
    <row r="838">
      <c r="G838" s="24"/>
    </row>
    <row r="839">
      <c r="G839" s="24"/>
    </row>
    <row r="840">
      <c r="G840" s="24"/>
    </row>
    <row r="841">
      <c r="G841" s="24"/>
    </row>
    <row r="842">
      <c r="G842" s="24"/>
    </row>
    <row r="843">
      <c r="G843" s="24"/>
    </row>
    <row r="844">
      <c r="G844" s="24"/>
    </row>
    <row r="845">
      <c r="G845" s="24"/>
    </row>
    <row r="846">
      <c r="G846" s="24"/>
    </row>
    <row r="847">
      <c r="G847" s="24"/>
    </row>
    <row r="848">
      <c r="G848" s="24"/>
    </row>
    <row r="849">
      <c r="G849" s="24"/>
    </row>
    <row r="850">
      <c r="G850" s="24"/>
    </row>
    <row r="851">
      <c r="G851" s="24"/>
    </row>
    <row r="852">
      <c r="G852" s="24"/>
    </row>
    <row r="853">
      <c r="G853" s="24"/>
    </row>
    <row r="854">
      <c r="G854" s="24"/>
    </row>
    <row r="855">
      <c r="G855" s="24"/>
    </row>
    <row r="856">
      <c r="G856" s="24"/>
    </row>
    <row r="857">
      <c r="G857" s="24"/>
    </row>
    <row r="858">
      <c r="G858" s="24"/>
    </row>
    <row r="859">
      <c r="G859" s="24"/>
    </row>
    <row r="860">
      <c r="G860" s="24"/>
    </row>
    <row r="861">
      <c r="G861" s="24"/>
    </row>
    <row r="862">
      <c r="G862" s="24"/>
    </row>
    <row r="863">
      <c r="G863" s="24"/>
    </row>
    <row r="864">
      <c r="G864" s="24"/>
    </row>
    <row r="865">
      <c r="G865" s="24"/>
    </row>
    <row r="866">
      <c r="G866" s="24"/>
    </row>
    <row r="867">
      <c r="G867" s="24"/>
    </row>
    <row r="868">
      <c r="G868" s="24"/>
    </row>
    <row r="869">
      <c r="G869" s="24"/>
    </row>
    <row r="870">
      <c r="G870" s="24"/>
    </row>
    <row r="871">
      <c r="G871" s="24"/>
    </row>
    <row r="872">
      <c r="G872" s="24"/>
    </row>
    <row r="873">
      <c r="G873" s="24"/>
    </row>
    <row r="874">
      <c r="G874" s="24"/>
    </row>
    <row r="875">
      <c r="G875" s="24"/>
    </row>
    <row r="876">
      <c r="G876" s="24"/>
    </row>
    <row r="877">
      <c r="G877" s="24"/>
    </row>
    <row r="878">
      <c r="G878" s="24"/>
    </row>
    <row r="879">
      <c r="G879" s="24"/>
    </row>
    <row r="880">
      <c r="G880" s="24"/>
    </row>
    <row r="881">
      <c r="G881" s="24"/>
    </row>
    <row r="882">
      <c r="G882" s="24"/>
    </row>
    <row r="883">
      <c r="G883" s="24"/>
    </row>
    <row r="884">
      <c r="G884" s="24"/>
    </row>
    <row r="885">
      <c r="G885" s="24"/>
    </row>
    <row r="886">
      <c r="G886" s="24"/>
    </row>
    <row r="887">
      <c r="G887" s="24"/>
    </row>
    <row r="888">
      <c r="G888" s="24"/>
    </row>
    <row r="889">
      <c r="G889" s="24"/>
    </row>
    <row r="890">
      <c r="G890" s="24"/>
    </row>
    <row r="891">
      <c r="G891" s="24"/>
    </row>
    <row r="892">
      <c r="G892" s="24"/>
    </row>
    <row r="893">
      <c r="G893" s="24"/>
    </row>
    <row r="894">
      <c r="G894" s="24"/>
    </row>
    <row r="895">
      <c r="G895" s="24"/>
    </row>
    <row r="896">
      <c r="G896" s="24"/>
    </row>
    <row r="897">
      <c r="G897" s="24"/>
    </row>
    <row r="898">
      <c r="G898" s="24"/>
    </row>
    <row r="899">
      <c r="G899" s="24"/>
    </row>
    <row r="900">
      <c r="G900" s="24"/>
    </row>
    <row r="901">
      <c r="G901" s="24"/>
    </row>
    <row r="902">
      <c r="G902" s="24"/>
    </row>
    <row r="903">
      <c r="G903" s="24"/>
    </row>
    <row r="904">
      <c r="G904" s="24"/>
    </row>
    <row r="905">
      <c r="G905" s="24"/>
    </row>
    <row r="906">
      <c r="G906" s="24"/>
    </row>
    <row r="907">
      <c r="G907" s="24"/>
    </row>
    <row r="908">
      <c r="G908" s="24"/>
    </row>
    <row r="909">
      <c r="G909" s="24"/>
    </row>
    <row r="910">
      <c r="G910" s="24"/>
    </row>
    <row r="911">
      <c r="G911" s="24"/>
    </row>
    <row r="912">
      <c r="G912" s="24"/>
    </row>
    <row r="913">
      <c r="G913" s="24"/>
    </row>
    <row r="914">
      <c r="G914" s="24"/>
    </row>
    <row r="915">
      <c r="G915" s="24"/>
    </row>
    <row r="916">
      <c r="G916" s="24"/>
    </row>
    <row r="917">
      <c r="G917" s="24"/>
    </row>
    <row r="918">
      <c r="G918" s="24"/>
    </row>
    <row r="919">
      <c r="G919" s="24"/>
    </row>
    <row r="920">
      <c r="G920" s="24"/>
    </row>
    <row r="921">
      <c r="G921" s="24"/>
    </row>
    <row r="922">
      <c r="G922" s="24"/>
    </row>
    <row r="923">
      <c r="G923" s="24"/>
    </row>
    <row r="924">
      <c r="G924" s="24"/>
    </row>
    <row r="925">
      <c r="G925" s="24"/>
    </row>
    <row r="926">
      <c r="G926" s="24"/>
    </row>
    <row r="927">
      <c r="G927" s="24"/>
    </row>
    <row r="928">
      <c r="G928" s="24"/>
    </row>
    <row r="929">
      <c r="G929" s="24"/>
    </row>
    <row r="930">
      <c r="G930" s="24"/>
    </row>
    <row r="931">
      <c r="G931" s="24"/>
    </row>
    <row r="932">
      <c r="G932" s="24"/>
    </row>
    <row r="933">
      <c r="G933" s="24"/>
    </row>
    <row r="934">
      <c r="G934" s="24"/>
    </row>
    <row r="935">
      <c r="G935" s="24"/>
    </row>
    <row r="936">
      <c r="G936" s="24"/>
    </row>
    <row r="937">
      <c r="G937" s="24"/>
    </row>
    <row r="938">
      <c r="G938" s="24"/>
    </row>
    <row r="939">
      <c r="G939" s="24"/>
    </row>
    <row r="940">
      <c r="G940" s="24"/>
    </row>
    <row r="941">
      <c r="G941" s="24"/>
    </row>
    <row r="942">
      <c r="G942" s="24"/>
    </row>
    <row r="943">
      <c r="G943" s="24"/>
    </row>
    <row r="944">
      <c r="G944" s="24"/>
    </row>
    <row r="945">
      <c r="G945" s="24"/>
    </row>
    <row r="946">
      <c r="G946" s="24"/>
    </row>
    <row r="947">
      <c r="G947" s="24"/>
    </row>
    <row r="948">
      <c r="G948" s="24"/>
    </row>
    <row r="949">
      <c r="G949" s="24"/>
    </row>
    <row r="950">
      <c r="G950" s="24"/>
    </row>
    <row r="951">
      <c r="G951" s="24"/>
    </row>
    <row r="952">
      <c r="G952" s="24"/>
    </row>
    <row r="953">
      <c r="G953" s="24"/>
    </row>
    <row r="954">
      <c r="G954" s="24"/>
    </row>
    <row r="955">
      <c r="G955" s="24"/>
    </row>
    <row r="956">
      <c r="G956" s="24"/>
    </row>
    <row r="957">
      <c r="G957" s="24"/>
    </row>
    <row r="958">
      <c r="G958" s="24"/>
    </row>
    <row r="959">
      <c r="G959" s="24"/>
    </row>
    <row r="960">
      <c r="G960" s="24"/>
    </row>
    <row r="961">
      <c r="G961" s="24"/>
    </row>
    <row r="962">
      <c r="G962" s="24"/>
    </row>
    <row r="963">
      <c r="G963" s="24"/>
    </row>
    <row r="964">
      <c r="G964" s="24"/>
    </row>
    <row r="965">
      <c r="G965" s="24"/>
    </row>
    <row r="966">
      <c r="G966" s="24"/>
    </row>
    <row r="967">
      <c r="G967" s="24"/>
    </row>
    <row r="968">
      <c r="G968" s="24"/>
    </row>
    <row r="969">
      <c r="G969" s="24"/>
    </row>
    <row r="970">
      <c r="G970" s="24"/>
    </row>
    <row r="971">
      <c r="G971" s="24"/>
    </row>
    <row r="972">
      <c r="G972" s="24"/>
    </row>
    <row r="973">
      <c r="G973" s="24"/>
    </row>
    <row r="974">
      <c r="G974" s="24"/>
    </row>
    <row r="975">
      <c r="G975" s="24"/>
    </row>
    <row r="976">
      <c r="G976" s="24"/>
    </row>
    <row r="977">
      <c r="G977" s="24"/>
    </row>
    <row r="978">
      <c r="G978" s="24"/>
    </row>
    <row r="979">
      <c r="G979" s="24"/>
    </row>
    <row r="980">
      <c r="G980" s="24"/>
    </row>
    <row r="981">
      <c r="G981" s="24"/>
    </row>
    <row r="982">
      <c r="G982" s="24"/>
    </row>
    <row r="983">
      <c r="G983" s="24"/>
    </row>
    <row r="984">
      <c r="G984" s="24"/>
    </row>
    <row r="985">
      <c r="G985" s="24"/>
    </row>
    <row r="986">
      <c r="G986" s="24"/>
    </row>
    <row r="987">
      <c r="G987" s="24"/>
    </row>
    <row r="988">
      <c r="G988" s="24"/>
    </row>
    <row r="989">
      <c r="G989" s="24"/>
    </row>
    <row r="990">
      <c r="G990" s="24"/>
    </row>
    <row r="991">
      <c r="G991" s="24"/>
    </row>
    <row r="992">
      <c r="G992" s="24"/>
    </row>
    <row r="993">
      <c r="G993" s="24"/>
    </row>
    <row r="994">
      <c r="G994" s="24"/>
    </row>
    <row r="995">
      <c r="G995" s="24"/>
    </row>
    <row r="996">
      <c r="G996" s="24"/>
    </row>
    <row r="997">
      <c r="G997" s="24"/>
    </row>
    <row r="998">
      <c r="G998" s="24"/>
    </row>
    <row r="999">
      <c r="G999" s="24"/>
    </row>
    <row r="1000">
      <c r="G1000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A1" s="101"/>
      <c r="B1" s="101"/>
      <c r="C1" s="101"/>
      <c r="D1" s="101"/>
      <c r="E1" s="101"/>
      <c r="F1" s="64"/>
      <c r="G1" s="64"/>
      <c r="H1" s="64"/>
    </row>
    <row r="2" ht="21.0" customHeight="1">
      <c r="A2" s="101"/>
      <c r="B2" s="39" t="s">
        <v>1592</v>
      </c>
      <c r="C2" s="40"/>
      <c r="D2" s="40"/>
      <c r="E2" s="41"/>
      <c r="F2" s="39" t="s">
        <v>1593</v>
      </c>
      <c r="G2" s="40"/>
      <c r="H2" s="41"/>
    </row>
    <row r="3">
      <c r="A3" s="1"/>
      <c r="B3" s="102" t="s">
        <v>1594</v>
      </c>
      <c r="C3" s="102" t="s">
        <v>1595</v>
      </c>
      <c r="D3" s="102" t="s">
        <v>1596</v>
      </c>
      <c r="E3" s="102" t="s">
        <v>1597</v>
      </c>
      <c r="F3" s="44" t="s">
        <v>1598</v>
      </c>
      <c r="G3" s="44" t="s">
        <v>1599</v>
      </c>
      <c r="H3" s="102" t="s">
        <v>1600</v>
      </c>
    </row>
    <row r="4">
      <c r="A4" s="7"/>
      <c r="B4" s="103" t="s">
        <v>1601</v>
      </c>
      <c r="C4" s="51" t="s">
        <v>1602</v>
      </c>
      <c r="D4" s="51" t="s">
        <v>1603</v>
      </c>
      <c r="E4" s="104">
        <v>230.0</v>
      </c>
      <c r="F4" s="47" t="str">
        <f t="shared" ref="F4:F46" si="1">B4/1000&amp;"km - "&amp;C4/1000&amp;"km"</f>
        <v>0km - 0.5km</v>
      </c>
      <c r="G4" s="51" t="s">
        <v>1604</v>
      </c>
      <c r="H4" s="105" t="s">
        <v>1605</v>
      </c>
    </row>
    <row r="5">
      <c r="A5" s="7"/>
      <c r="B5" s="106" t="s">
        <v>1602</v>
      </c>
      <c r="C5" s="54" t="s">
        <v>1606</v>
      </c>
      <c r="D5" s="54" t="s">
        <v>1607</v>
      </c>
      <c r="E5" s="107">
        <v>213.0</v>
      </c>
      <c r="F5" s="55" t="str">
        <f t="shared" si="1"/>
        <v>0.5km - 1km</v>
      </c>
      <c r="G5" s="54" t="s">
        <v>1608</v>
      </c>
      <c r="H5" s="108" t="s">
        <v>1609</v>
      </c>
    </row>
    <row r="6">
      <c r="A6" s="7"/>
      <c r="B6" s="106" t="s">
        <v>1606</v>
      </c>
      <c r="C6" s="54" t="s">
        <v>1610</v>
      </c>
      <c r="D6" s="54" t="s">
        <v>1611</v>
      </c>
      <c r="E6" s="107">
        <v>224.0</v>
      </c>
      <c r="F6" s="55" t="str">
        <f t="shared" si="1"/>
        <v>1km - 1.5km</v>
      </c>
      <c r="G6" s="54" t="s">
        <v>1612</v>
      </c>
      <c r="H6" s="108" t="s">
        <v>1613</v>
      </c>
    </row>
    <row r="7">
      <c r="A7" s="7"/>
      <c r="B7" s="106" t="s">
        <v>1610</v>
      </c>
      <c r="C7" s="54" t="s">
        <v>1614</v>
      </c>
      <c r="D7" s="54" t="s">
        <v>1615</v>
      </c>
      <c r="E7" s="107">
        <v>224.0</v>
      </c>
      <c r="F7" s="55" t="str">
        <f t="shared" si="1"/>
        <v>1.5km - 2km</v>
      </c>
      <c r="G7" s="54" t="s">
        <v>1612</v>
      </c>
      <c r="H7" s="108" t="s">
        <v>1616</v>
      </c>
    </row>
    <row r="8">
      <c r="A8" s="7"/>
      <c r="B8" s="106" t="s">
        <v>1614</v>
      </c>
      <c r="C8" s="54" t="s">
        <v>1617</v>
      </c>
      <c r="D8" s="54" t="s">
        <v>1618</v>
      </c>
      <c r="E8" s="107">
        <v>227.0</v>
      </c>
      <c r="F8" s="55" t="str">
        <f t="shared" si="1"/>
        <v>2km - 2.5km</v>
      </c>
      <c r="G8" s="54" t="s">
        <v>1037</v>
      </c>
      <c r="H8" s="108" t="s">
        <v>1619</v>
      </c>
    </row>
    <row r="9">
      <c r="A9" s="7"/>
      <c r="B9" s="106" t="s">
        <v>1617</v>
      </c>
      <c r="C9" s="54" t="s">
        <v>1620</v>
      </c>
      <c r="D9" s="54" t="s">
        <v>1621</v>
      </c>
      <c r="E9" s="107">
        <v>226.0</v>
      </c>
      <c r="F9" s="55" t="str">
        <f t="shared" si="1"/>
        <v>2.5km - 3km</v>
      </c>
      <c r="G9" s="54" t="s">
        <v>1622</v>
      </c>
      <c r="H9" s="108" t="s">
        <v>1623</v>
      </c>
    </row>
    <row r="10">
      <c r="A10" s="7"/>
      <c r="B10" s="106" t="s">
        <v>1620</v>
      </c>
      <c r="C10" s="54" t="s">
        <v>1624</v>
      </c>
      <c r="D10" s="54" t="s">
        <v>1625</v>
      </c>
      <c r="E10" s="107">
        <v>250.0</v>
      </c>
      <c r="F10" s="55" t="str">
        <f t="shared" si="1"/>
        <v>3km - 3.5km</v>
      </c>
      <c r="G10" s="54" t="s">
        <v>1626</v>
      </c>
      <c r="H10" s="108" t="s">
        <v>1627</v>
      </c>
    </row>
    <row r="11">
      <c r="A11" s="7"/>
      <c r="B11" s="106" t="s">
        <v>1624</v>
      </c>
      <c r="C11" s="54" t="s">
        <v>1628</v>
      </c>
      <c r="D11" s="54" t="s">
        <v>1629</v>
      </c>
      <c r="E11" s="107">
        <v>242.0</v>
      </c>
      <c r="F11" s="55" t="str">
        <f t="shared" si="1"/>
        <v>3.5km - 4km</v>
      </c>
      <c r="G11" s="54" t="s">
        <v>1630</v>
      </c>
      <c r="H11" s="108" t="s">
        <v>1631</v>
      </c>
    </row>
    <row r="12">
      <c r="A12" s="7"/>
      <c r="B12" s="106" t="s">
        <v>1628</v>
      </c>
      <c r="C12" s="54" t="s">
        <v>1632</v>
      </c>
      <c r="D12" s="54" t="s">
        <v>1633</v>
      </c>
      <c r="E12" s="107">
        <v>196.0</v>
      </c>
      <c r="F12" s="55" t="str">
        <f t="shared" si="1"/>
        <v>4km - 4.5km</v>
      </c>
      <c r="G12" s="54" t="s">
        <v>1634</v>
      </c>
      <c r="H12" s="108" t="s">
        <v>1635</v>
      </c>
    </row>
    <row r="13">
      <c r="A13" s="7"/>
      <c r="B13" s="106" t="s">
        <v>1632</v>
      </c>
      <c r="C13" s="54" t="s">
        <v>1636</v>
      </c>
      <c r="D13" s="54" t="s">
        <v>1615</v>
      </c>
      <c r="E13" s="107">
        <v>224.0</v>
      </c>
      <c r="F13" s="55" t="str">
        <f t="shared" si="1"/>
        <v>4.5km - 5km</v>
      </c>
      <c r="G13" s="54" t="s">
        <v>1612</v>
      </c>
      <c r="H13" s="108" t="s">
        <v>1637</v>
      </c>
    </row>
    <row r="14">
      <c r="A14" s="7"/>
      <c r="B14" s="106" t="s">
        <v>1636</v>
      </c>
      <c r="C14" s="54" t="s">
        <v>1638</v>
      </c>
      <c r="D14" s="54" t="s">
        <v>1639</v>
      </c>
      <c r="E14" s="107">
        <v>225.0</v>
      </c>
      <c r="F14" s="55" t="str">
        <f t="shared" si="1"/>
        <v>5km - 5.5km</v>
      </c>
      <c r="G14" s="54" t="s">
        <v>1640</v>
      </c>
      <c r="H14" s="108" t="s">
        <v>1641</v>
      </c>
    </row>
    <row r="15">
      <c r="A15" s="7"/>
      <c r="B15" s="106" t="s">
        <v>1638</v>
      </c>
      <c r="C15" s="54" t="s">
        <v>1642</v>
      </c>
      <c r="D15" s="54" t="s">
        <v>1643</v>
      </c>
      <c r="E15" s="107">
        <v>226.0</v>
      </c>
      <c r="F15" s="55" t="str">
        <f t="shared" si="1"/>
        <v>5.5km - 6km</v>
      </c>
      <c r="G15" s="54" t="s">
        <v>1622</v>
      </c>
      <c r="H15" s="108" t="s">
        <v>1644</v>
      </c>
    </row>
    <row r="16">
      <c r="A16" s="7"/>
      <c r="B16" s="106" t="s">
        <v>1642</v>
      </c>
      <c r="C16" s="54" t="s">
        <v>1645</v>
      </c>
      <c r="D16" s="54" t="s">
        <v>1646</v>
      </c>
      <c r="E16" s="107">
        <v>232.0</v>
      </c>
      <c r="F16" s="55" t="str">
        <f t="shared" si="1"/>
        <v>6km - 6.5km</v>
      </c>
      <c r="G16" s="54" t="s">
        <v>1647</v>
      </c>
      <c r="H16" s="108" t="s">
        <v>1648</v>
      </c>
    </row>
    <row r="17">
      <c r="A17" s="7"/>
      <c r="B17" s="106" t="s">
        <v>1645</v>
      </c>
      <c r="C17" s="54" t="s">
        <v>1649</v>
      </c>
      <c r="D17" s="54" t="s">
        <v>1650</v>
      </c>
      <c r="E17" s="107">
        <v>220.0</v>
      </c>
      <c r="F17" s="55" t="str">
        <f t="shared" si="1"/>
        <v>6.5km - 7km</v>
      </c>
      <c r="G17" s="54" t="s">
        <v>1651</v>
      </c>
      <c r="H17" s="108" t="s">
        <v>1652</v>
      </c>
    </row>
    <row r="18">
      <c r="A18" s="7"/>
      <c r="B18" s="106" t="s">
        <v>1649</v>
      </c>
      <c r="C18" s="54" t="s">
        <v>1653</v>
      </c>
      <c r="D18" s="54" t="s">
        <v>1654</v>
      </c>
      <c r="E18" s="107">
        <v>219.0</v>
      </c>
      <c r="F18" s="55" t="str">
        <f t="shared" si="1"/>
        <v>7km - 7.5km</v>
      </c>
      <c r="G18" s="54" t="s">
        <v>1655</v>
      </c>
      <c r="H18" s="108" t="s">
        <v>1656</v>
      </c>
    </row>
    <row r="19">
      <c r="A19" s="7"/>
      <c r="B19" s="106" t="s">
        <v>1653</v>
      </c>
      <c r="C19" s="54" t="s">
        <v>1657</v>
      </c>
      <c r="D19" s="54" t="s">
        <v>1658</v>
      </c>
      <c r="E19" s="107">
        <v>220.0</v>
      </c>
      <c r="F19" s="55" t="str">
        <f t="shared" si="1"/>
        <v>7.5km - 8km</v>
      </c>
      <c r="G19" s="54" t="s">
        <v>1651</v>
      </c>
      <c r="H19" s="108" t="s">
        <v>1659</v>
      </c>
    </row>
    <row r="20">
      <c r="A20" s="7"/>
      <c r="B20" s="106" t="s">
        <v>1657</v>
      </c>
      <c r="C20" s="54" t="s">
        <v>1660</v>
      </c>
      <c r="D20" s="54" t="s">
        <v>1661</v>
      </c>
      <c r="E20" s="107">
        <v>225.0</v>
      </c>
      <c r="F20" s="55" t="str">
        <f t="shared" si="1"/>
        <v>8km - 8.5km</v>
      </c>
      <c r="G20" s="54" t="s">
        <v>1640</v>
      </c>
      <c r="H20" s="108" t="s">
        <v>1662</v>
      </c>
    </row>
    <row r="21">
      <c r="A21" s="7"/>
      <c r="B21" s="106" t="s">
        <v>1660</v>
      </c>
      <c r="C21" s="54" t="s">
        <v>1663</v>
      </c>
      <c r="D21" s="54" t="s">
        <v>1664</v>
      </c>
      <c r="E21" s="107">
        <v>223.0</v>
      </c>
      <c r="F21" s="55" t="str">
        <f t="shared" si="1"/>
        <v>8.5km - 9km</v>
      </c>
      <c r="G21" s="54" t="s">
        <v>1665</v>
      </c>
      <c r="H21" s="108" t="s">
        <v>1666</v>
      </c>
    </row>
    <row r="22">
      <c r="A22" s="7"/>
      <c r="B22" s="106" t="s">
        <v>1663</v>
      </c>
      <c r="C22" s="54" t="s">
        <v>1667</v>
      </c>
      <c r="D22" s="54" t="s">
        <v>1668</v>
      </c>
      <c r="E22" s="107">
        <v>227.0</v>
      </c>
      <c r="F22" s="55" t="str">
        <f t="shared" si="1"/>
        <v>9km - 9.5km</v>
      </c>
      <c r="G22" s="54" t="s">
        <v>1037</v>
      </c>
      <c r="H22" s="108" t="s">
        <v>1669</v>
      </c>
    </row>
    <row r="23">
      <c r="A23" s="7"/>
      <c r="B23" s="106" t="s">
        <v>1667</v>
      </c>
      <c r="C23" s="54" t="s">
        <v>1670</v>
      </c>
      <c r="D23" s="54" t="s">
        <v>1671</v>
      </c>
      <c r="E23" s="107">
        <v>231.0</v>
      </c>
      <c r="F23" s="55" t="str">
        <f t="shared" si="1"/>
        <v>9.5km - 10km</v>
      </c>
      <c r="G23" s="54" t="s">
        <v>1672</v>
      </c>
      <c r="H23" s="108" t="s">
        <v>1673</v>
      </c>
    </row>
    <row r="24">
      <c r="A24" s="7"/>
      <c r="B24" s="106" t="s">
        <v>1670</v>
      </c>
      <c r="C24" s="54" t="s">
        <v>1674</v>
      </c>
      <c r="D24" s="54" t="s">
        <v>1675</v>
      </c>
      <c r="E24" s="107">
        <v>225.0</v>
      </c>
      <c r="F24" s="55" t="str">
        <f t="shared" si="1"/>
        <v>10km - 10.5km</v>
      </c>
      <c r="G24" s="54" t="s">
        <v>1640</v>
      </c>
      <c r="H24" s="108" t="s">
        <v>1676</v>
      </c>
    </row>
    <row r="25">
      <c r="A25" s="7"/>
      <c r="B25" s="106" t="s">
        <v>1674</v>
      </c>
      <c r="C25" s="54" t="s">
        <v>1677</v>
      </c>
      <c r="D25" s="54" t="s">
        <v>1678</v>
      </c>
      <c r="E25" s="107">
        <v>220.0</v>
      </c>
      <c r="F25" s="55" t="str">
        <f t="shared" si="1"/>
        <v>10.5km - 11km</v>
      </c>
      <c r="G25" s="54" t="s">
        <v>1651</v>
      </c>
      <c r="H25" s="108" t="s">
        <v>1679</v>
      </c>
    </row>
    <row r="26">
      <c r="A26" s="7"/>
      <c r="B26" s="106" t="s">
        <v>1677</v>
      </c>
      <c r="C26" s="54" t="s">
        <v>1680</v>
      </c>
      <c r="D26" s="54" t="s">
        <v>1681</v>
      </c>
      <c r="E26" s="107">
        <v>223.0</v>
      </c>
      <c r="F26" s="55" t="str">
        <f t="shared" si="1"/>
        <v>11km - 11.5km</v>
      </c>
      <c r="G26" s="54" t="s">
        <v>1665</v>
      </c>
      <c r="H26" s="108" t="s">
        <v>1682</v>
      </c>
    </row>
    <row r="27">
      <c r="A27" s="7"/>
      <c r="B27" s="106" t="s">
        <v>1680</v>
      </c>
      <c r="C27" s="54" t="s">
        <v>1683</v>
      </c>
      <c r="D27" s="54" t="s">
        <v>1684</v>
      </c>
      <c r="E27" s="107">
        <v>226.0</v>
      </c>
      <c r="F27" s="55" t="str">
        <f t="shared" si="1"/>
        <v>11.5km - 12km</v>
      </c>
      <c r="G27" s="54" t="s">
        <v>1622</v>
      </c>
      <c r="H27" s="108" t="s">
        <v>1685</v>
      </c>
    </row>
    <row r="28">
      <c r="A28" s="7"/>
      <c r="B28" s="106" t="s">
        <v>1683</v>
      </c>
      <c r="C28" s="54" t="s">
        <v>1686</v>
      </c>
      <c r="D28" s="54" t="s">
        <v>1687</v>
      </c>
      <c r="E28" s="107">
        <v>227.0</v>
      </c>
      <c r="F28" s="55" t="str">
        <f t="shared" si="1"/>
        <v>12km - 12.5km</v>
      </c>
      <c r="G28" s="54" t="s">
        <v>1037</v>
      </c>
      <c r="H28" s="108" t="s">
        <v>1688</v>
      </c>
    </row>
    <row r="29">
      <c r="A29" s="7"/>
      <c r="B29" s="106" t="s">
        <v>1686</v>
      </c>
      <c r="C29" s="54" t="s">
        <v>1689</v>
      </c>
      <c r="D29" s="54" t="s">
        <v>1690</v>
      </c>
      <c r="E29" s="107">
        <v>226.0</v>
      </c>
      <c r="F29" s="55" t="str">
        <f t="shared" si="1"/>
        <v>12.5km - 13km</v>
      </c>
      <c r="G29" s="54" t="s">
        <v>1622</v>
      </c>
      <c r="H29" s="108" t="s">
        <v>1691</v>
      </c>
    </row>
    <row r="30">
      <c r="A30" s="7"/>
      <c r="B30" s="106" t="s">
        <v>1689</v>
      </c>
      <c r="C30" s="54" t="s">
        <v>1692</v>
      </c>
      <c r="D30" s="54" t="s">
        <v>1693</v>
      </c>
      <c r="E30" s="107">
        <v>252.0</v>
      </c>
      <c r="F30" s="55" t="str">
        <f t="shared" si="1"/>
        <v>13km - 13.5km</v>
      </c>
      <c r="G30" s="54" t="s">
        <v>1694</v>
      </c>
      <c r="H30" s="108" t="s">
        <v>1695</v>
      </c>
    </row>
    <row r="31">
      <c r="A31" s="7"/>
      <c r="B31" s="106" t="s">
        <v>1692</v>
      </c>
      <c r="C31" s="54" t="s">
        <v>1696</v>
      </c>
      <c r="D31" s="54" t="s">
        <v>1697</v>
      </c>
      <c r="E31" s="107">
        <v>242.0</v>
      </c>
      <c r="F31" s="55" t="str">
        <f t="shared" si="1"/>
        <v>13.5km - 14km</v>
      </c>
      <c r="G31" s="54" t="s">
        <v>1630</v>
      </c>
      <c r="H31" s="108" t="s">
        <v>1698</v>
      </c>
    </row>
    <row r="32">
      <c r="A32" s="7"/>
      <c r="B32" s="106" t="s">
        <v>1696</v>
      </c>
      <c r="C32" s="54" t="s">
        <v>1699</v>
      </c>
      <c r="D32" s="54" t="s">
        <v>1700</v>
      </c>
      <c r="E32" s="107">
        <v>193.0</v>
      </c>
      <c r="F32" s="55" t="str">
        <f t="shared" si="1"/>
        <v>14km - 14.5km</v>
      </c>
      <c r="G32" s="54" t="s">
        <v>1701</v>
      </c>
      <c r="H32" s="108" t="s">
        <v>1702</v>
      </c>
    </row>
    <row r="33">
      <c r="A33" s="7"/>
      <c r="B33" s="106" t="s">
        <v>1699</v>
      </c>
      <c r="C33" s="54" t="s">
        <v>1703</v>
      </c>
      <c r="D33" s="54" t="s">
        <v>1704</v>
      </c>
      <c r="E33" s="107">
        <v>225.0</v>
      </c>
      <c r="F33" s="55" t="str">
        <f t="shared" si="1"/>
        <v>14.5km - 15km</v>
      </c>
      <c r="G33" s="54" t="s">
        <v>1640</v>
      </c>
      <c r="H33" s="108" t="s">
        <v>1705</v>
      </c>
    </row>
    <row r="34">
      <c r="A34" s="7"/>
      <c r="B34" s="106" t="s">
        <v>1703</v>
      </c>
      <c r="C34" s="54" t="s">
        <v>1706</v>
      </c>
      <c r="D34" s="54" t="s">
        <v>1707</v>
      </c>
      <c r="E34" s="107">
        <v>226.0</v>
      </c>
      <c r="F34" s="55" t="str">
        <f t="shared" si="1"/>
        <v>15km - 15.5km</v>
      </c>
      <c r="G34" s="54" t="s">
        <v>1622</v>
      </c>
      <c r="H34" s="108" t="s">
        <v>1708</v>
      </c>
    </row>
    <row r="35">
      <c r="A35" s="7"/>
      <c r="B35" s="106" t="s">
        <v>1706</v>
      </c>
      <c r="C35" s="54" t="s">
        <v>1709</v>
      </c>
      <c r="D35" s="54" t="s">
        <v>1643</v>
      </c>
      <c r="E35" s="107">
        <v>226.0</v>
      </c>
      <c r="F35" s="55" t="str">
        <f t="shared" si="1"/>
        <v>15.5km - 16km</v>
      </c>
      <c r="G35" s="54" t="s">
        <v>1622</v>
      </c>
      <c r="H35" s="108" t="s">
        <v>1710</v>
      </c>
    </row>
    <row r="36">
      <c r="A36" s="7"/>
      <c r="B36" s="106" t="s">
        <v>1709</v>
      </c>
      <c r="C36" s="54" t="s">
        <v>1711</v>
      </c>
      <c r="D36" s="54" t="s">
        <v>1646</v>
      </c>
      <c r="E36" s="107">
        <v>232.0</v>
      </c>
      <c r="F36" s="55" t="str">
        <f t="shared" si="1"/>
        <v>16km - 16.5km</v>
      </c>
      <c r="G36" s="54" t="s">
        <v>1647</v>
      </c>
      <c r="H36" s="108" t="s">
        <v>1712</v>
      </c>
    </row>
    <row r="37">
      <c r="A37" s="7"/>
      <c r="B37" s="106" t="s">
        <v>1711</v>
      </c>
      <c r="C37" s="54" t="s">
        <v>1713</v>
      </c>
      <c r="D37" s="54" t="s">
        <v>1714</v>
      </c>
      <c r="E37" s="107">
        <v>220.0</v>
      </c>
      <c r="F37" s="55" t="str">
        <f t="shared" si="1"/>
        <v>16.5km - 17km</v>
      </c>
      <c r="G37" s="54" t="s">
        <v>1651</v>
      </c>
      <c r="H37" s="108" t="s">
        <v>1715</v>
      </c>
    </row>
    <row r="38">
      <c r="A38" s="7"/>
      <c r="B38" s="106" t="s">
        <v>1713</v>
      </c>
      <c r="C38" s="54" t="s">
        <v>1716</v>
      </c>
      <c r="D38" s="54" t="s">
        <v>1717</v>
      </c>
      <c r="E38" s="107">
        <v>219.0</v>
      </c>
      <c r="F38" s="55" t="str">
        <f t="shared" si="1"/>
        <v>17km - 17.5km</v>
      </c>
      <c r="G38" s="54" t="s">
        <v>1655</v>
      </c>
      <c r="H38" s="108" t="s">
        <v>1718</v>
      </c>
    </row>
    <row r="39">
      <c r="A39" s="7"/>
      <c r="B39" s="106" t="s">
        <v>1716</v>
      </c>
      <c r="C39" s="54" t="s">
        <v>1719</v>
      </c>
      <c r="D39" s="54" t="s">
        <v>1720</v>
      </c>
      <c r="E39" s="107">
        <v>218.0</v>
      </c>
      <c r="F39" s="55" t="str">
        <f t="shared" si="1"/>
        <v>17.5km - 18km</v>
      </c>
      <c r="G39" s="54" t="s">
        <v>1721</v>
      </c>
      <c r="H39" s="108" t="s">
        <v>1722</v>
      </c>
    </row>
    <row r="40">
      <c r="A40" s="7"/>
      <c r="B40" s="106" t="s">
        <v>1719</v>
      </c>
      <c r="C40" s="54" t="s">
        <v>1723</v>
      </c>
      <c r="D40" s="54" t="s">
        <v>1661</v>
      </c>
      <c r="E40" s="107">
        <v>225.0</v>
      </c>
      <c r="F40" s="55" t="str">
        <f t="shared" si="1"/>
        <v>18km - 18.5km</v>
      </c>
      <c r="G40" s="54" t="s">
        <v>1640</v>
      </c>
      <c r="H40" s="108" t="s">
        <v>1724</v>
      </c>
    </row>
    <row r="41">
      <c r="A41" s="7"/>
      <c r="B41" s="106" t="s">
        <v>1723</v>
      </c>
      <c r="C41" s="54" t="s">
        <v>1725</v>
      </c>
      <c r="D41" s="54" t="s">
        <v>1664</v>
      </c>
      <c r="E41" s="107">
        <v>223.0</v>
      </c>
      <c r="F41" s="55" t="str">
        <f t="shared" si="1"/>
        <v>18.5km - 19km</v>
      </c>
      <c r="G41" s="54" t="s">
        <v>1665</v>
      </c>
      <c r="H41" s="108" t="s">
        <v>1726</v>
      </c>
    </row>
    <row r="42">
      <c r="A42" s="7"/>
      <c r="B42" s="106" t="s">
        <v>1725</v>
      </c>
      <c r="C42" s="54" t="s">
        <v>1727</v>
      </c>
      <c r="D42" s="54" t="s">
        <v>1668</v>
      </c>
      <c r="E42" s="107">
        <v>227.0</v>
      </c>
      <c r="F42" s="55" t="str">
        <f t="shared" si="1"/>
        <v>19km - 19.5km</v>
      </c>
      <c r="G42" s="54" t="s">
        <v>1037</v>
      </c>
      <c r="H42" s="108" t="s">
        <v>1728</v>
      </c>
    </row>
    <row r="43">
      <c r="A43" s="7"/>
      <c r="B43" s="106" t="s">
        <v>1727</v>
      </c>
      <c r="C43" s="54" t="s">
        <v>1729</v>
      </c>
      <c r="D43" s="54" t="s">
        <v>1730</v>
      </c>
      <c r="E43" s="107">
        <v>236.0</v>
      </c>
      <c r="F43" s="55" t="str">
        <f t="shared" si="1"/>
        <v>19.5km - 20km</v>
      </c>
      <c r="G43" s="54" t="s">
        <v>1731</v>
      </c>
      <c r="H43" s="108" t="s">
        <v>1732</v>
      </c>
    </row>
    <row r="44">
      <c r="A44" s="7"/>
      <c r="B44" s="106" t="s">
        <v>1729</v>
      </c>
      <c r="C44" s="54" t="s">
        <v>1733</v>
      </c>
      <c r="D44" s="54" t="s">
        <v>1734</v>
      </c>
      <c r="E44" s="107">
        <v>220.0</v>
      </c>
      <c r="F44" s="55" t="str">
        <f t="shared" si="1"/>
        <v>20km - 20.5km</v>
      </c>
      <c r="G44" s="54" t="s">
        <v>1651</v>
      </c>
      <c r="H44" s="108" t="s">
        <v>1735</v>
      </c>
    </row>
    <row r="45">
      <c r="A45" s="7"/>
      <c r="B45" s="106" t="s">
        <v>1733</v>
      </c>
      <c r="C45" s="54" t="s">
        <v>1736</v>
      </c>
      <c r="D45" s="54" t="s">
        <v>1737</v>
      </c>
      <c r="E45" s="107">
        <v>221.0</v>
      </c>
      <c r="F45" s="55" t="str">
        <f t="shared" si="1"/>
        <v>20.5km - 21km</v>
      </c>
      <c r="G45" s="54" t="s">
        <v>1738</v>
      </c>
      <c r="H45" s="108" t="s">
        <v>1739</v>
      </c>
    </row>
    <row r="46">
      <c r="A46" s="7"/>
      <c r="B46" s="109" t="s">
        <v>1736</v>
      </c>
      <c r="C46" s="110" t="s">
        <v>1740</v>
      </c>
      <c r="D46" s="110" t="s">
        <v>907</v>
      </c>
      <c r="E46" s="111">
        <v>227.0</v>
      </c>
      <c r="F46" s="58" t="str">
        <f t="shared" si="1"/>
        <v>21km - 21.103km</v>
      </c>
      <c r="G46" s="110" t="s">
        <v>1037</v>
      </c>
      <c r="H46" s="112" t="s">
        <v>1741</v>
      </c>
    </row>
  </sheetData>
  <mergeCells count="2">
    <mergeCell ref="B2:E2"/>
    <mergeCell ref="F2:H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897</v>
      </c>
      <c r="B1" s="7" t="s">
        <v>896</v>
      </c>
    </row>
    <row r="2">
      <c r="A2" s="10" t="s">
        <v>1742</v>
      </c>
      <c r="B2" s="10">
        <v>107.0</v>
      </c>
    </row>
    <row r="3">
      <c r="A3" s="10">
        <v>0.9999999999999999</v>
      </c>
      <c r="B3" s="10">
        <v>223.0</v>
      </c>
    </row>
    <row r="4">
      <c r="A4" s="10">
        <v>1.2000000000000002</v>
      </c>
      <c r="B4" s="10">
        <v>307.0</v>
      </c>
    </row>
    <row r="5">
      <c r="A5" s="10">
        <v>1.4</v>
      </c>
      <c r="B5" s="10">
        <v>321.0</v>
      </c>
    </row>
    <row r="6">
      <c r="A6" s="10">
        <v>1.2999999999999998</v>
      </c>
      <c r="B6" s="10">
        <v>274.0</v>
      </c>
    </row>
    <row r="7">
      <c r="A7" s="10">
        <v>1.4000000000000004</v>
      </c>
      <c r="B7" s="10">
        <v>303.0</v>
      </c>
    </row>
    <row r="8">
      <c r="A8" s="10">
        <v>1.0999999999999996</v>
      </c>
      <c r="B8" s="10">
        <v>259.0</v>
      </c>
    </row>
    <row r="9">
      <c r="A9" s="10">
        <v>1.3999999999999995</v>
      </c>
      <c r="B9" s="10">
        <v>327.0</v>
      </c>
    </row>
    <row r="10">
      <c r="A10" s="10">
        <v>1.200000000000001</v>
      </c>
      <c r="B10" s="10">
        <v>254.0</v>
      </c>
    </row>
    <row r="11">
      <c r="A11" s="10">
        <v>0.40000000000000036</v>
      </c>
      <c r="B11" s="10">
        <v>109.0</v>
      </c>
    </row>
    <row r="12">
      <c r="A12" s="10">
        <v>1.0</v>
      </c>
      <c r="B12" s="10">
        <v>232.0</v>
      </c>
    </row>
    <row r="13">
      <c r="A13" s="10">
        <v>1.1999999999999993</v>
      </c>
      <c r="B13" s="10">
        <v>316.0</v>
      </c>
    </row>
    <row r="14">
      <c r="A14" s="10">
        <v>1.4000000000000004</v>
      </c>
      <c r="B14" s="10">
        <v>329.0</v>
      </c>
    </row>
    <row r="15">
      <c r="A15" s="10">
        <v>1.299999999999999</v>
      </c>
      <c r="B15" s="10">
        <v>280.0</v>
      </c>
    </row>
    <row r="16">
      <c r="A16" s="10">
        <v>1.4000000000000021</v>
      </c>
      <c r="B16" s="10">
        <v>301.0</v>
      </c>
    </row>
    <row r="17">
      <c r="A17" s="10">
        <v>1.0999999999999979</v>
      </c>
      <c r="B17" s="10">
        <v>265.0</v>
      </c>
    </row>
    <row r="18">
      <c r="A18" s="10">
        <v>1.4000000000000021</v>
      </c>
      <c r="B18" s="10">
        <v>336.0</v>
      </c>
    </row>
    <row r="19">
      <c r="A19" s="10">
        <v>1.1999999999999993</v>
      </c>
      <c r="B19" s="10">
        <v>252.0</v>
      </c>
    </row>
    <row r="20">
      <c r="A20" s="10">
        <v>0.3000000000000007</v>
      </c>
      <c r="B20" s="10">
        <v>84.0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897</v>
      </c>
      <c r="B1" s="7" t="s">
        <v>896</v>
      </c>
      <c r="C1" s="7" t="s">
        <v>898</v>
      </c>
      <c r="D1" s="7" t="s">
        <v>899</v>
      </c>
      <c r="E1" s="7" t="s">
        <v>900</v>
      </c>
      <c r="F1" s="7" t="s">
        <v>901</v>
      </c>
      <c r="G1" s="7" t="s">
        <v>902</v>
      </c>
      <c r="H1" s="7" t="s">
        <v>903</v>
      </c>
      <c r="I1" s="7" t="s">
        <v>904</v>
      </c>
    </row>
    <row r="2">
      <c r="A2" s="54" t="s">
        <v>1742</v>
      </c>
      <c r="B2" s="54" t="s">
        <v>906</v>
      </c>
      <c r="C2" s="54" t="s">
        <v>905</v>
      </c>
      <c r="D2" s="54" t="s">
        <v>907</v>
      </c>
      <c r="E2" s="54" t="s">
        <v>907</v>
      </c>
      <c r="F2" s="54" t="s">
        <v>905</v>
      </c>
      <c r="G2" s="54" t="s">
        <v>905</v>
      </c>
      <c r="H2" s="54" t="s">
        <v>908</v>
      </c>
      <c r="I2" s="54" t="s">
        <v>908</v>
      </c>
    </row>
    <row r="3">
      <c r="A3" s="54" t="s">
        <v>1033</v>
      </c>
      <c r="B3" s="54" t="s">
        <v>910</v>
      </c>
      <c r="C3" s="54" t="s">
        <v>911</v>
      </c>
      <c r="D3" s="54" t="s">
        <v>912</v>
      </c>
      <c r="E3" s="54" t="s">
        <v>913</v>
      </c>
      <c r="F3" s="54" t="s">
        <v>911</v>
      </c>
      <c r="G3" s="54" t="s">
        <v>909</v>
      </c>
      <c r="H3" s="54" t="s">
        <v>914</v>
      </c>
      <c r="I3" s="54" t="s">
        <v>915</v>
      </c>
    </row>
    <row r="4">
      <c r="A4" s="54" t="s">
        <v>1743</v>
      </c>
      <c r="B4" s="54" t="s">
        <v>917</v>
      </c>
      <c r="C4" s="54" t="s">
        <v>918</v>
      </c>
      <c r="D4" s="54" t="s">
        <v>919</v>
      </c>
      <c r="E4" s="54" t="s">
        <v>920</v>
      </c>
      <c r="F4" s="54" t="s">
        <v>918</v>
      </c>
      <c r="G4" s="54" t="s">
        <v>916</v>
      </c>
      <c r="H4" s="54" t="s">
        <v>921</v>
      </c>
      <c r="I4" s="54" t="s">
        <v>922</v>
      </c>
    </row>
    <row r="5">
      <c r="A5" s="54" t="s">
        <v>1744</v>
      </c>
      <c r="B5" s="54" t="s">
        <v>924</v>
      </c>
      <c r="C5" s="54" t="s">
        <v>925</v>
      </c>
      <c r="D5" s="54" t="s">
        <v>926</v>
      </c>
      <c r="E5" s="54" t="s">
        <v>927</v>
      </c>
      <c r="F5" s="54" t="s">
        <v>925</v>
      </c>
      <c r="G5" s="54" t="s">
        <v>923</v>
      </c>
      <c r="H5" s="54" t="s">
        <v>928</v>
      </c>
      <c r="I5" s="54" t="s">
        <v>929</v>
      </c>
    </row>
    <row r="6">
      <c r="A6" s="54" t="s">
        <v>1745</v>
      </c>
      <c r="B6" s="54" t="s">
        <v>931</v>
      </c>
      <c r="C6" s="54" t="s">
        <v>932</v>
      </c>
      <c r="D6" s="54" t="s">
        <v>933</v>
      </c>
      <c r="E6" s="54" t="s">
        <v>934</v>
      </c>
      <c r="F6" s="54" t="s">
        <v>932</v>
      </c>
      <c r="G6" s="54" t="s">
        <v>930</v>
      </c>
      <c r="H6" s="54" t="s">
        <v>935</v>
      </c>
      <c r="I6" s="54" t="s">
        <v>936</v>
      </c>
    </row>
    <row r="7">
      <c r="A7" s="54" t="s">
        <v>1746</v>
      </c>
      <c r="B7" s="54" t="s">
        <v>938</v>
      </c>
      <c r="C7" s="54" t="s">
        <v>939</v>
      </c>
      <c r="D7" s="54" t="s">
        <v>940</v>
      </c>
      <c r="E7" s="54" t="s">
        <v>941</v>
      </c>
      <c r="F7" s="54" t="s">
        <v>939</v>
      </c>
      <c r="G7" s="54" t="s">
        <v>937</v>
      </c>
      <c r="H7" s="54" t="s">
        <v>942</v>
      </c>
      <c r="I7" s="54" t="s">
        <v>943</v>
      </c>
    </row>
    <row r="8">
      <c r="A8" s="54" t="s">
        <v>1747</v>
      </c>
      <c r="B8" s="54" t="s">
        <v>945</v>
      </c>
      <c r="C8" s="54" t="s">
        <v>946</v>
      </c>
      <c r="D8" s="54" t="s">
        <v>947</v>
      </c>
      <c r="E8" s="54" t="s">
        <v>948</v>
      </c>
      <c r="F8" s="54" t="s">
        <v>946</v>
      </c>
      <c r="G8" s="54" t="s">
        <v>944</v>
      </c>
      <c r="H8" s="54" t="s">
        <v>949</v>
      </c>
      <c r="I8" s="54" t="s">
        <v>950</v>
      </c>
    </row>
    <row r="9">
      <c r="A9" s="54" t="s">
        <v>1748</v>
      </c>
      <c r="B9" s="54" t="s">
        <v>952</v>
      </c>
      <c r="C9" s="54" t="s">
        <v>953</v>
      </c>
      <c r="D9" s="54" t="s">
        <v>954</v>
      </c>
      <c r="E9" s="54" t="s">
        <v>955</v>
      </c>
      <c r="F9" s="54" t="s">
        <v>953</v>
      </c>
      <c r="G9" s="54" t="s">
        <v>951</v>
      </c>
      <c r="H9" s="54" t="s">
        <v>956</v>
      </c>
      <c r="I9" s="54" t="s">
        <v>957</v>
      </c>
    </row>
    <row r="10">
      <c r="A10" s="54" t="s">
        <v>1749</v>
      </c>
      <c r="B10" s="54" t="s">
        <v>959</v>
      </c>
      <c r="C10" s="54" t="s">
        <v>960</v>
      </c>
      <c r="D10" s="54" t="s">
        <v>961</v>
      </c>
      <c r="E10" s="54" t="s">
        <v>962</v>
      </c>
      <c r="F10" s="54" t="s">
        <v>960</v>
      </c>
      <c r="G10" s="54" t="s">
        <v>958</v>
      </c>
      <c r="H10" s="54" t="s">
        <v>963</v>
      </c>
      <c r="I10" s="54" t="s">
        <v>964</v>
      </c>
    </row>
    <row r="11">
      <c r="A11" s="54" t="s">
        <v>1750</v>
      </c>
      <c r="B11" s="54" t="s">
        <v>966</v>
      </c>
      <c r="C11" s="54" t="s">
        <v>967</v>
      </c>
      <c r="D11" s="54" t="s">
        <v>968</v>
      </c>
      <c r="E11" s="54" t="s">
        <v>969</v>
      </c>
      <c r="F11" s="54" t="s">
        <v>967</v>
      </c>
      <c r="G11" s="54" t="s">
        <v>965</v>
      </c>
      <c r="H11" s="54" t="s">
        <v>970</v>
      </c>
      <c r="I11" s="54" t="s">
        <v>971</v>
      </c>
    </row>
    <row r="12">
      <c r="A12" s="54" t="s">
        <v>1751</v>
      </c>
      <c r="B12" s="54" t="s">
        <v>973</v>
      </c>
      <c r="C12" s="54" t="s">
        <v>974</v>
      </c>
      <c r="D12" s="54" t="s">
        <v>975</v>
      </c>
      <c r="E12" s="54" t="s">
        <v>976</v>
      </c>
      <c r="F12" s="54" t="s">
        <v>974</v>
      </c>
      <c r="G12" s="54" t="s">
        <v>972</v>
      </c>
      <c r="H12" s="54" t="s">
        <v>977</v>
      </c>
      <c r="I12" s="54" t="s">
        <v>978</v>
      </c>
    </row>
    <row r="13">
      <c r="A13" s="54" t="s">
        <v>1752</v>
      </c>
      <c r="B13" s="54" t="s">
        <v>980</v>
      </c>
      <c r="C13" s="54" t="s">
        <v>981</v>
      </c>
      <c r="D13" s="54" t="s">
        <v>982</v>
      </c>
      <c r="E13" s="54" t="s">
        <v>983</v>
      </c>
      <c r="F13" s="54" t="s">
        <v>981</v>
      </c>
      <c r="G13" s="54" t="s">
        <v>979</v>
      </c>
      <c r="H13" s="54" t="s">
        <v>984</v>
      </c>
      <c r="I13" s="54" t="s">
        <v>985</v>
      </c>
    </row>
    <row r="14">
      <c r="A14" s="54" t="s">
        <v>1753</v>
      </c>
      <c r="B14" s="54" t="s">
        <v>987</v>
      </c>
      <c r="C14" s="54" t="s">
        <v>988</v>
      </c>
      <c r="D14" s="54" t="s">
        <v>989</v>
      </c>
      <c r="E14" s="54" t="s">
        <v>990</v>
      </c>
      <c r="F14" s="54" t="s">
        <v>988</v>
      </c>
      <c r="G14" s="54" t="s">
        <v>986</v>
      </c>
      <c r="H14" s="54" t="s">
        <v>991</v>
      </c>
      <c r="I14" s="54" t="s">
        <v>992</v>
      </c>
    </row>
    <row r="15">
      <c r="A15" s="54" t="s">
        <v>1754</v>
      </c>
      <c r="B15" s="54" t="s">
        <v>994</v>
      </c>
      <c r="C15" s="54" t="s">
        <v>995</v>
      </c>
      <c r="D15" s="54" t="s">
        <v>996</v>
      </c>
      <c r="E15" s="54" t="s">
        <v>997</v>
      </c>
      <c r="F15" s="54" t="s">
        <v>995</v>
      </c>
      <c r="G15" s="54" t="s">
        <v>993</v>
      </c>
      <c r="H15" s="54" t="s">
        <v>998</v>
      </c>
      <c r="I15" s="54" t="s">
        <v>999</v>
      </c>
    </row>
    <row r="16">
      <c r="A16" s="54" t="s">
        <v>1755</v>
      </c>
      <c r="B16" s="54" t="s">
        <v>1001</v>
      </c>
      <c r="C16" s="54" t="s">
        <v>1002</v>
      </c>
      <c r="D16" s="54" t="s">
        <v>1003</v>
      </c>
      <c r="E16" s="54" t="s">
        <v>1004</v>
      </c>
      <c r="F16" s="54" t="s">
        <v>1002</v>
      </c>
      <c r="G16" s="54" t="s">
        <v>1000</v>
      </c>
      <c r="H16" s="54" t="s">
        <v>1005</v>
      </c>
      <c r="I16" s="54" t="s">
        <v>1006</v>
      </c>
    </row>
    <row r="17">
      <c r="A17" s="54" t="s">
        <v>1756</v>
      </c>
      <c r="B17" s="54" t="s">
        <v>1008</v>
      </c>
      <c r="C17" s="54" t="s">
        <v>1009</v>
      </c>
      <c r="D17" s="54" t="s">
        <v>1010</v>
      </c>
      <c r="E17" s="54" t="s">
        <v>1011</v>
      </c>
      <c r="F17" s="54" t="s">
        <v>1009</v>
      </c>
      <c r="G17" s="54" t="s">
        <v>1007</v>
      </c>
      <c r="H17" s="54" t="s">
        <v>1012</v>
      </c>
      <c r="I17" s="54" t="s">
        <v>1013</v>
      </c>
    </row>
    <row r="18">
      <c r="A18" s="54" t="s">
        <v>1757</v>
      </c>
      <c r="B18" s="54" t="s">
        <v>1015</v>
      </c>
      <c r="C18" s="54" t="s">
        <v>1016</v>
      </c>
      <c r="D18" s="54" t="s">
        <v>1017</v>
      </c>
      <c r="E18" s="54" t="s">
        <v>1018</v>
      </c>
      <c r="F18" s="54" t="s">
        <v>1016</v>
      </c>
      <c r="G18" s="54" t="s">
        <v>1014</v>
      </c>
      <c r="H18" s="54" t="s">
        <v>1019</v>
      </c>
      <c r="I18" s="54" t="s">
        <v>1020</v>
      </c>
    </row>
    <row r="19">
      <c r="A19" s="54" t="s">
        <v>1758</v>
      </c>
      <c r="B19" s="54" t="s">
        <v>1022</v>
      </c>
      <c r="C19" s="54" t="s">
        <v>1023</v>
      </c>
      <c r="D19" s="54" t="s">
        <v>1024</v>
      </c>
      <c r="E19" s="54" t="s">
        <v>1025</v>
      </c>
      <c r="F19" s="54" t="s">
        <v>1023</v>
      </c>
      <c r="G19" s="54" t="s">
        <v>1021</v>
      </c>
      <c r="H19" s="54" t="s">
        <v>1026</v>
      </c>
      <c r="I19" s="54" t="s">
        <v>1027</v>
      </c>
    </row>
    <row r="20">
      <c r="A20" s="54" t="s">
        <v>1759</v>
      </c>
      <c r="B20" s="54" t="s">
        <v>1029</v>
      </c>
      <c r="C20" s="54" t="s">
        <v>1030</v>
      </c>
      <c r="D20" s="54" t="s">
        <v>1031</v>
      </c>
      <c r="E20" s="54" t="s">
        <v>1032</v>
      </c>
      <c r="F20" s="54" t="s">
        <v>1030</v>
      </c>
      <c r="G20" s="54" t="s">
        <v>1028</v>
      </c>
      <c r="H20" s="54" t="s">
        <v>1033</v>
      </c>
      <c r="I20" s="54" t="s">
        <v>1034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9</v>
      </c>
      <c r="H2" s="7" t="s">
        <v>10</v>
      </c>
    </row>
    <row r="3">
      <c r="B3" s="7" t="s">
        <v>11</v>
      </c>
      <c r="C3" s="7" t="s">
        <v>12</v>
      </c>
      <c r="D3" s="8">
        <v>0.019212962962962963</v>
      </c>
      <c r="E3" s="8">
        <v>0.019212962962962963</v>
      </c>
      <c r="F3" s="7" t="s">
        <v>13</v>
      </c>
      <c r="G3" s="9">
        <f>IFERROR(__xludf.DUMMYFUNCTION("split(F3,"" "")"),0.06041666666666667)</f>
        <v>0.06041666667</v>
      </c>
      <c r="H3" s="10" t="str">
        <f>IFERROR(__xludf.DUMMYFUNCTION("""COMPUTED_VALUE"""),"min/100m")</f>
        <v>min/100m</v>
      </c>
    </row>
    <row r="4">
      <c r="B4" s="7" t="s">
        <v>14</v>
      </c>
      <c r="D4" s="8">
        <v>0.020358796296296295</v>
      </c>
      <c r="E4" s="8">
        <v>0.0011458333333333333</v>
      </c>
      <c r="F4" s="7" t="s">
        <v>15</v>
      </c>
      <c r="G4" s="10" t="str">
        <f>IFERROR(__xludf.DUMMYFUNCTION("split(F4,"" "")"),"-")</f>
        <v>-</v>
      </c>
    </row>
    <row r="5">
      <c r="B5" s="7" t="s">
        <v>16</v>
      </c>
      <c r="C5" s="7" t="s">
        <v>17</v>
      </c>
      <c r="D5" s="8">
        <v>0.034513888888888886</v>
      </c>
      <c r="E5" s="8">
        <v>0.014155092592592592</v>
      </c>
      <c r="F5" s="7" t="s">
        <v>18</v>
      </c>
      <c r="G5" s="10">
        <f>IFERROR(__xludf.DUMMYFUNCTION("split(F5,"" "")"),42.09)</f>
        <v>42.09</v>
      </c>
      <c r="H5" s="10" t="str">
        <f>IFERROR(__xludf.DUMMYFUNCTION("""COMPUTED_VALUE"""),"km/h")</f>
        <v>km/h</v>
      </c>
    </row>
    <row r="6">
      <c r="B6" s="7" t="s">
        <v>16</v>
      </c>
      <c r="C6" s="7" t="s">
        <v>19</v>
      </c>
      <c r="D6" s="8">
        <v>0.04739583333333333</v>
      </c>
      <c r="E6" s="8">
        <v>0.012881944444444444</v>
      </c>
      <c r="F6" s="7" t="s">
        <v>20</v>
      </c>
      <c r="G6" s="10">
        <f>IFERROR(__xludf.DUMMYFUNCTION("split(F6,"" "")"),44.96)</f>
        <v>44.96</v>
      </c>
      <c r="H6" s="10" t="str">
        <f>IFERROR(__xludf.DUMMYFUNCTION("""COMPUTED_VALUE"""),"km/h")</f>
        <v>km/h</v>
      </c>
    </row>
    <row r="7">
      <c r="B7" s="7" t="s">
        <v>16</v>
      </c>
      <c r="C7" s="7" t="s">
        <v>21</v>
      </c>
      <c r="D7" s="8">
        <v>0.05952546296296296</v>
      </c>
      <c r="E7" s="8">
        <v>0.012129629629629629</v>
      </c>
      <c r="F7" s="7" t="s">
        <v>22</v>
      </c>
      <c r="G7" s="10">
        <f>IFERROR(__xludf.DUMMYFUNCTION("split(F7,"" "")"),39.85)</f>
        <v>39.85</v>
      </c>
      <c r="H7" s="10" t="str">
        <f>IFERROR(__xludf.DUMMYFUNCTION("""COMPUTED_VALUE"""),"km/h")</f>
        <v>km/h</v>
      </c>
    </row>
    <row r="8">
      <c r="B8" s="7" t="s">
        <v>16</v>
      </c>
      <c r="C8" s="7" t="s">
        <v>23</v>
      </c>
      <c r="D8" s="8">
        <v>0.0696412037037037</v>
      </c>
      <c r="E8" s="8">
        <v>0.010115740740740741</v>
      </c>
      <c r="F8" s="7" t="s">
        <v>24</v>
      </c>
      <c r="G8" s="10">
        <f>IFERROR(__xludf.DUMMYFUNCTION("split(F8,"" "")"),41.19)</f>
        <v>41.19</v>
      </c>
      <c r="H8" s="10" t="str">
        <f>IFERROR(__xludf.DUMMYFUNCTION("""COMPUTED_VALUE"""),"km/h")</f>
        <v>km/h</v>
      </c>
    </row>
    <row r="9">
      <c r="B9" s="7" t="s">
        <v>16</v>
      </c>
      <c r="C9" s="7" t="s">
        <v>25</v>
      </c>
      <c r="D9" s="8">
        <v>0.08127314814814815</v>
      </c>
      <c r="E9" s="8">
        <v>0.011631944444444445</v>
      </c>
      <c r="F9" s="7" t="s">
        <v>26</v>
      </c>
      <c r="G9" s="10">
        <f>IFERROR(__xludf.DUMMYFUNCTION("split(F9,"" "")"),39.04)</f>
        <v>39.04</v>
      </c>
      <c r="H9" s="10" t="str">
        <f>IFERROR(__xludf.DUMMYFUNCTION("""COMPUTED_VALUE"""),"km/h")</f>
        <v>km/h</v>
      </c>
    </row>
    <row r="10">
      <c r="B10" s="7" t="s">
        <v>16</v>
      </c>
      <c r="C10" s="7" t="s">
        <v>27</v>
      </c>
      <c r="D10" s="8">
        <v>0.09222222222222222</v>
      </c>
      <c r="E10" s="8">
        <v>0.010949074074074075</v>
      </c>
      <c r="F10" s="7" t="s">
        <v>28</v>
      </c>
      <c r="G10" s="10">
        <f>IFERROR(__xludf.DUMMYFUNCTION("split(F10,"" "")"),39.2)</f>
        <v>39.2</v>
      </c>
      <c r="H10" s="10" t="str">
        <f>IFERROR(__xludf.DUMMYFUNCTION("""COMPUTED_VALUE"""),"km/h")</f>
        <v>km/h</v>
      </c>
    </row>
    <row r="11">
      <c r="B11" s="7" t="s">
        <v>16</v>
      </c>
      <c r="C11" s="7" t="s">
        <v>29</v>
      </c>
      <c r="D11" s="8">
        <v>0.10358796296296297</v>
      </c>
      <c r="E11" s="8">
        <v>0.01136574074074074</v>
      </c>
      <c r="F11" s="7" t="s">
        <v>30</v>
      </c>
      <c r="G11" s="10">
        <f>IFERROR(__xludf.DUMMYFUNCTION("split(F11,"" "")"),42.16)</f>
        <v>42.16</v>
      </c>
      <c r="H11" s="10" t="str">
        <f>IFERROR(__xludf.DUMMYFUNCTION("""COMPUTED_VALUE"""),"km/h")</f>
        <v>km/h</v>
      </c>
    </row>
    <row r="12">
      <c r="B12" s="7" t="s">
        <v>16</v>
      </c>
      <c r="C12" s="7" t="s">
        <v>31</v>
      </c>
      <c r="D12" s="8">
        <v>0.11194444444444444</v>
      </c>
      <c r="E12" s="8">
        <v>0.008356481481481482</v>
      </c>
      <c r="F12" s="7" t="s">
        <v>32</v>
      </c>
      <c r="G12" s="10">
        <f>IFERROR(__xludf.DUMMYFUNCTION("split(F12,"" "")"),34.9)</f>
        <v>34.9</v>
      </c>
      <c r="H12" s="10" t="str">
        <f>IFERROR(__xludf.DUMMYFUNCTION("""COMPUTED_VALUE"""),"km/h")</f>
        <v>km/h</v>
      </c>
    </row>
    <row r="13">
      <c r="B13" s="7" t="s">
        <v>16</v>
      </c>
      <c r="C13" s="7" t="s">
        <v>31</v>
      </c>
      <c r="D13" s="8">
        <v>0.11194444444444444</v>
      </c>
      <c r="E13" s="8">
        <v>0.09158564814814815</v>
      </c>
      <c r="F13" s="7" t="s">
        <v>33</v>
      </c>
      <c r="G13" s="10">
        <f>IFERROR(__xludf.DUMMYFUNCTION("split(F13,"" "")"),40.72)</f>
        <v>40.72</v>
      </c>
      <c r="H13" s="10" t="str">
        <f>IFERROR(__xludf.DUMMYFUNCTION("""COMPUTED_VALUE"""),"km/h")</f>
        <v>km/h</v>
      </c>
    </row>
    <row r="14">
      <c r="B14" s="7" t="s">
        <v>14</v>
      </c>
      <c r="D14" s="8">
        <v>0.11261574074074074</v>
      </c>
      <c r="E14" s="8">
        <v>6.712962962962962E-4</v>
      </c>
      <c r="F14" s="7" t="s">
        <v>15</v>
      </c>
      <c r="G14" s="10" t="str">
        <f>IFERROR(__xludf.DUMMYFUNCTION("split(F14,"" "")"),"-")</f>
        <v>-</v>
      </c>
    </row>
    <row r="15">
      <c r="B15" s="7" t="s">
        <v>34</v>
      </c>
      <c r="C15" s="7" t="s">
        <v>35</v>
      </c>
      <c r="D15" s="8">
        <v>0.11385416666666667</v>
      </c>
      <c r="E15" s="8">
        <v>0.001238425925925926</v>
      </c>
      <c r="F15" s="7" t="s">
        <v>36</v>
      </c>
      <c r="G15" s="9">
        <f>IFERROR(__xludf.DUMMYFUNCTION("split(F15,"" "")"),0.18541666666666667)</f>
        <v>0.1854166667</v>
      </c>
      <c r="H15" s="10" t="str">
        <f>IFERROR(__xludf.DUMMYFUNCTION("""COMPUTED_VALUE"""),"min/km")</f>
        <v>min/km</v>
      </c>
    </row>
    <row r="16">
      <c r="B16" s="7" t="s">
        <v>34</v>
      </c>
      <c r="C16" s="7" t="s">
        <v>37</v>
      </c>
      <c r="D16" s="8">
        <v>0.11643518518518518</v>
      </c>
      <c r="E16" s="8">
        <v>0.0025810185185185185</v>
      </c>
      <c r="F16" s="7" t="s">
        <v>38</v>
      </c>
      <c r="G16" s="9">
        <f>IFERROR(__xludf.DUMMYFUNCTION("split(F16,"" "")"),0.15486111111111112)</f>
        <v>0.1548611111</v>
      </c>
      <c r="H16" s="10" t="str">
        <f>IFERROR(__xludf.DUMMYFUNCTION("""COMPUTED_VALUE"""),"min/km")</f>
        <v>min/km</v>
      </c>
    </row>
    <row r="17">
      <c r="B17" s="7" t="s">
        <v>34</v>
      </c>
      <c r="C17" s="7" t="s">
        <v>39</v>
      </c>
      <c r="D17" s="8">
        <v>0.11998842592592593</v>
      </c>
      <c r="E17" s="8">
        <v>0.003553240740740741</v>
      </c>
      <c r="F17" s="7" t="s">
        <v>40</v>
      </c>
      <c r="G17" s="9">
        <f>IFERROR(__xludf.DUMMYFUNCTION("split(F17,"" "")"),0.17708333333333334)</f>
        <v>0.1770833333</v>
      </c>
      <c r="H17" s="10" t="str">
        <f>IFERROR(__xludf.DUMMYFUNCTION("""COMPUTED_VALUE"""),"min/km")</f>
        <v>min/km</v>
      </c>
    </row>
    <row r="18">
      <c r="B18" s="7" t="s">
        <v>34</v>
      </c>
      <c r="C18" s="7" t="s">
        <v>41</v>
      </c>
      <c r="D18" s="8">
        <v>0.1237037037037037</v>
      </c>
      <c r="E18" s="8">
        <v>0.003715277777777778</v>
      </c>
      <c r="F18" s="7" t="s">
        <v>42</v>
      </c>
      <c r="G18" s="9">
        <f>IFERROR(__xludf.DUMMYFUNCTION("split(F18,"" "")"),0.15902777777777777)</f>
        <v>0.1590277778</v>
      </c>
      <c r="H18" s="10" t="str">
        <f>IFERROR(__xludf.DUMMYFUNCTION("""COMPUTED_VALUE"""),"min/km")</f>
        <v>min/km</v>
      </c>
    </row>
    <row r="19">
      <c r="B19" s="7" t="s">
        <v>34</v>
      </c>
      <c r="C19" s="7" t="s">
        <v>43</v>
      </c>
      <c r="D19" s="8">
        <v>0.126875</v>
      </c>
      <c r="E19" s="8">
        <v>0.003171296296296296</v>
      </c>
      <c r="F19" s="7" t="s">
        <v>44</v>
      </c>
      <c r="G19" s="9">
        <f>IFERROR(__xludf.DUMMYFUNCTION("split(F19,"" "")"),0.14583333333333334)</f>
        <v>0.1458333333</v>
      </c>
      <c r="H19" s="10" t="str">
        <f>IFERROR(__xludf.DUMMYFUNCTION("""COMPUTED_VALUE"""),"min/km")</f>
        <v>min/km</v>
      </c>
    </row>
    <row r="20">
      <c r="B20" s="7" t="s">
        <v>34</v>
      </c>
      <c r="C20" s="7" t="s">
        <v>45</v>
      </c>
      <c r="D20" s="8">
        <v>0.13038194444444445</v>
      </c>
      <c r="E20" s="8">
        <v>0.0035069444444444445</v>
      </c>
      <c r="F20" s="7" t="s">
        <v>46</v>
      </c>
      <c r="G20" s="9">
        <f>IFERROR(__xludf.DUMMYFUNCTION("split(F20,"" "")"),0.15)</f>
        <v>0.15</v>
      </c>
      <c r="H20" s="10" t="str">
        <f>IFERROR(__xludf.DUMMYFUNCTION("""COMPUTED_VALUE"""),"min/km")</f>
        <v>min/km</v>
      </c>
    </row>
    <row r="21">
      <c r="B21" s="7" t="s">
        <v>34</v>
      </c>
      <c r="C21" s="7" t="s">
        <v>47</v>
      </c>
      <c r="D21" s="8">
        <v>0.13337962962962963</v>
      </c>
      <c r="E21" s="8">
        <v>0.0029976851851851853</v>
      </c>
      <c r="F21" s="7" t="s">
        <v>48</v>
      </c>
      <c r="G21" s="9">
        <f>IFERROR(__xludf.DUMMYFUNCTION("split(F21,"" "")"),0.16319444444444445)</f>
        <v>0.1631944444</v>
      </c>
      <c r="H21" s="10" t="str">
        <f>IFERROR(__xludf.DUMMYFUNCTION("""COMPUTED_VALUE"""),"min/km")</f>
        <v>min/km</v>
      </c>
    </row>
    <row r="22">
      <c r="B22" s="7" t="s">
        <v>34</v>
      </c>
      <c r="C22" s="7" t="s">
        <v>49</v>
      </c>
      <c r="D22" s="8">
        <v>0.13716435185185186</v>
      </c>
      <c r="E22" s="8">
        <v>0.0037847222222222223</v>
      </c>
      <c r="F22" s="7" t="s">
        <v>50</v>
      </c>
      <c r="G22" s="9">
        <f>IFERROR(__xludf.DUMMYFUNCTION("split(F22,"" "")"),0.16180555555555556)</f>
        <v>0.1618055556</v>
      </c>
      <c r="H22" s="10" t="str">
        <f>IFERROR(__xludf.DUMMYFUNCTION("""COMPUTED_VALUE"""),"min/km")</f>
        <v>min/km</v>
      </c>
    </row>
    <row r="23">
      <c r="B23" s="7" t="s">
        <v>34</v>
      </c>
      <c r="C23" s="7" t="s">
        <v>51</v>
      </c>
      <c r="D23" s="8">
        <v>0.14010416666666667</v>
      </c>
      <c r="E23" s="8">
        <v>0.002939814814814815</v>
      </c>
      <c r="F23" s="7" t="s">
        <v>52</v>
      </c>
      <c r="G23" s="9">
        <f>IFERROR(__xludf.DUMMYFUNCTION("split(F23,"" "")"),0.14652777777777778)</f>
        <v>0.1465277778</v>
      </c>
      <c r="H23" s="10" t="str">
        <f>IFERROR(__xludf.DUMMYFUNCTION("""COMPUTED_VALUE"""),"min/km")</f>
        <v>min/km</v>
      </c>
    </row>
    <row r="24">
      <c r="B24" s="7" t="s">
        <v>34</v>
      </c>
      <c r="C24" s="7" t="s">
        <v>53</v>
      </c>
      <c r="D24" s="8">
        <v>0.14136574074074074</v>
      </c>
      <c r="E24" s="8">
        <v>0.001261574074074074</v>
      </c>
      <c r="F24" s="7" t="s">
        <v>54</v>
      </c>
      <c r="G24" s="9">
        <f>IFERROR(__xludf.DUMMYFUNCTION("split(F24,"" "")"),0.18888888888888888)</f>
        <v>0.1888888889</v>
      </c>
      <c r="H24" s="10" t="str">
        <f>IFERROR(__xludf.DUMMYFUNCTION("""COMPUTED_VALUE"""),"min/km")</f>
        <v>min/km</v>
      </c>
    </row>
    <row r="25">
      <c r="B25" s="7" t="s">
        <v>34</v>
      </c>
      <c r="C25" s="7" t="s">
        <v>55</v>
      </c>
      <c r="D25" s="8">
        <v>0.14405092592592592</v>
      </c>
      <c r="E25" s="8">
        <v>0.002685185185185185</v>
      </c>
      <c r="F25" s="7" t="s">
        <v>56</v>
      </c>
      <c r="G25" s="9">
        <f>IFERROR(__xludf.DUMMYFUNCTION("split(F25,"" "")"),0.16111111111111112)</f>
        <v>0.1611111111</v>
      </c>
      <c r="H25" s="10" t="str">
        <f>IFERROR(__xludf.DUMMYFUNCTION("""COMPUTED_VALUE"""),"min/km")</f>
        <v>min/km</v>
      </c>
    </row>
    <row r="26">
      <c r="B26" s="7" t="s">
        <v>34</v>
      </c>
      <c r="C26" s="7" t="s">
        <v>57</v>
      </c>
      <c r="D26" s="8">
        <v>0.14770833333333333</v>
      </c>
      <c r="E26" s="8">
        <v>0.0036574074074074074</v>
      </c>
      <c r="F26" s="7" t="s">
        <v>58</v>
      </c>
      <c r="G26" s="9">
        <f>IFERROR(__xludf.DUMMYFUNCTION("split(F26,"" "")"),0.18263888888888888)</f>
        <v>0.1826388889</v>
      </c>
      <c r="H26" s="10" t="str">
        <f>IFERROR(__xludf.DUMMYFUNCTION("""COMPUTED_VALUE"""),"min/km")</f>
        <v>min/km</v>
      </c>
    </row>
    <row r="27">
      <c r="B27" s="7" t="s">
        <v>34</v>
      </c>
      <c r="C27" s="7" t="s">
        <v>59</v>
      </c>
      <c r="D27" s="8">
        <v>0.1515162037037037</v>
      </c>
      <c r="E27" s="8">
        <v>0.0038078703703703703</v>
      </c>
      <c r="F27" s="7" t="s">
        <v>60</v>
      </c>
      <c r="G27" s="9">
        <f>IFERROR(__xludf.DUMMYFUNCTION("split(F27,"" "")"),0.1625)</f>
        <v>0.1625</v>
      </c>
      <c r="H27" s="10" t="str">
        <f>IFERROR(__xludf.DUMMYFUNCTION("""COMPUTED_VALUE"""),"min/km")</f>
        <v>min/km</v>
      </c>
    </row>
    <row r="28">
      <c r="B28" s="7" t="s">
        <v>34</v>
      </c>
      <c r="C28" s="7" t="s">
        <v>61</v>
      </c>
      <c r="D28" s="8">
        <v>0.15475694444444443</v>
      </c>
      <c r="E28" s="8">
        <v>0.0032407407407407406</v>
      </c>
      <c r="F28" s="7" t="s">
        <v>62</v>
      </c>
      <c r="G28" s="9">
        <f>IFERROR(__xludf.DUMMYFUNCTION("split(F28,"" "")"),0.14930555555555555)</f>
        <v>0.1493055556</v>
      </c>
      <c r="H28" s="10" t="str">
        <f>IFERROR(__xludf.DUMMYFUNCTION("""COMPUTED_VALUE"""),"min/km")</f>
        <v>min/km</v>
      </c>
    </row>
    <row r="29">
      <c r="B29" s="7" t="s">
        <v>34</v>
      </c>
      <c r="C29" s="7" t="s">
        <v>63</v>
      </c>
      <c r="D29" s="8">
        <v>0.15824074074074074</v>
      </c>
      <c r="E29" s="8">
        <v>0.0034837962962962965</v>
      </c>
      <c r="F29" s="7" t="s">
        <v>64</v>
      </c>
      <c r="G29" s="9">
        <f>IFERROR(__xludf.DUMMYFUNCTION("split(F29,"" "")"),0.1486111111111111)</f>
        <v>0.1486111111</v>
      </c>
      <c r="H29" s="10" t="str">
        <f>IFERROR(__xludf.DUMMYFUNCTION("""COMPUTED_VALUE"""),"min/km")</f>
        <v>min/km</v>
      </c>
    </row>
    <row r="30">
      <c r="B30" s="7" t="s">
        <v>34</v>
      </c>
      <c r="C30" s="7" t="s">
        <v>65</v>
      </c>
      <c r="D30" s="8">
        <v>0.16130787037037037</v>
      </c>
      <c r="E30" s="8">
        <v>0.0030671296296296297</v>
      </c>
      <c r="F30" s="7" t="s">
        <v>66</v>
      </c>
      <c r="G30" s="9">
        <f>IFERROR(__xludf.DUMMYFUNCTION("split(F30,"" "")"),0.16666666666666666)</f>
        <v>0.1666666667</v>
      </c>
      <c r="H30" s="10" t="str">
        <f>IFERROR(__xludf.DUMMYFUNCTION("""COMPUTED_VALUE"""),"min/km")</f>
        <v>min/km</v>
      </c>
    </row>
    <row r="31">
      <c r="B31" s="7" t="s">
        <v>34</v>
      </c>
      <c r="C31" s="7" t="s">
        <v>67</v>
      </c>
      <c r="D31" s="8">
        <v>0.16519675925925925</v>
      </c>
      <c r="E31" s="8">
        <v>0.0038888888888888888</v>
      </c>
      <c r="F31" s="7" t="s">
        <v>68</v>
      </c>
      <c r="G31" s="9">
        <f>IFERROR(__xludf.DUMMYFUNCTION("split(F31,"" "")"),0.16597222222222222)</f>
        <v>0.1659722222</v>
      </c>
      <c r="H31" s="10" t="str">
        <f>IFERROR(__xludf.DUMMYFUNCTION("""COMPUTED_VALUE"""),"min/km")</f>
        <v>min/km</v>
      </c>
    </row>
    <row r="32">
      <c r="B32" s="7" t="s">
        <v>34</v>
      </c>
      <c r="C32" s="7" t="s">
        <v>69</v>
      </c>
      <c r="D32" s="8">
        <v>0.16811342592592593</v>
      </c>
      <c r="E32" s="8">
        <v>0.002916666666666667</v>
      </c>
      <c r="F32" s="7" t="s">
        <v>44</v>
      </c>
      <c r="G32" s="9">
        <f>IFERROR(__xludf.DUMMYFUNCTION("split(F32,"" "")"),0.14583333333333334)</f>
        <v>0.1458333333</v>
      </c>
      <c r="H32" s="10" t="str">
        <f>IFERROR(__xludf.DUMMYFUNCTION("""COMPUTED_VALUE"""),"min/km")</f>
        <v>min/km</v>
      </c>
    </row>
    <row r="33">
      <c r="B33" s="7" t="s">
        <v>34</v>
      </c>
      <c r="C33" s="7" t="s">
        <v>70</v>
      </c>
      <c r="D33" s="8">
        <v>0.16908564814814814</v>
      </c>
      <c r="E33" s="8">
        <v>9.722222222222222E-4</v>
      </c>
      <c r="F33" s="7" t="s">
        <v>71</v>
      </c>
      <c r="G33" s="9">
        <f>IFERROR(__xludf.DUMMYFUNCTION("split(F33,"" "")"),0.19375)</f>
        <v>0.19375</v>
      </c>
      <c r="H33" s="10" t="str">
        <f>IFERROR(__xludf.DUMMYFUNCTION("""COMPUTED_VALUE"""),"min/km")</f>
        <v>min/km</v>
      </c>
    </row>
    <row r="34">
      <c r="B34" s="7" t="s">
        <v>34</v>
      </c>
      <c r="C34" s="7" t="s">
        <v>70</v>
      </c>
      <c r="D34" s="8">
        <v>0.16908564814814814</v>
      </c>
      <c r="E34" s="8">
        <v>0.056469907407407406</v>
      </c>
      <c r="F34" s="7" t="s">
        <v>72</v>
      </c>
      <c r="G34" s="9">
        <f>IFERROR(__xludf.DUMMYFUNCTION("split(F34,"" "")"),0.16041666666666668)</f>
        <v>0.1604166667</v>
      </c>
      <c r="H34" s="10" t="str">
        <f>IFERROR(__xludf.DUMMYFUNCTION("""COMPUTED_VALUE"""),"min/km")</f>
        <v>min/km</v>
      </c>
    </row>
    <row r="35">
      <c r="B35" s="7" t="s">
        <v>73</v>
      </c>
      <c r="C35" s="7" t="s">
        <v>74</v>
      </c>
      <c r="D35" s="8">
        <v>0.16908564814814814</v>
      </c>
      <c r="E35" s="8">
        <v>0.16908564814814814</v>
      </c>
      <c r="F35" s="7" t="s">
        <v>75</v>
      </c>
      <c r="G35" s="10">
        <f>IFERROR(__xludf.DUMMYFUNCTION("split(F35,"" "")"),27.72)</f>
        <v>27.72</v>
      </c>
      <c r="H35" s="10" t="str">
        <f>IFERROR(__xludf.DUMMYFUNCTION("""COMPUTED_VALUE"""),"km/h")</f>
        <v>km/h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76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9</v>
      </c>
      <c r="H2" s="7" t="s">
        <v>10</v>
      </c>
    </row>
    <row r="3">
      <c r="B3" s="7" t="s">
        <v>11</v>
      </c>
      <c r="C3" s="7" t="s">
        <v>12</v>
      </c>
      <c r="D3" s="8">
        <v>0.018159722222222223</v>
      </c>
      <c r="E3" s="8">
        <v>0.018159722222222223</v>
      </c>
      <c r="F3" s="7" t="s">
        <v>77</v>
      </c>
      <c r="G3" s="9">
        <f>IFERROR(__xludf.DUMMYFUNCTION("split(F3,"" "")"),0.05694444444444444)</f>
        <v>0.05694444444</v>
      </c>
      <c r="H3" s="10" t="str">
        <f>IFERROR(__xludf.DUMMYFUNCTION("""COMPUTED_VALUE"""),"min/100m")</f>
        <v>min/100m</v>
      </c>
    </row>
    <row r="4">
      <c r="B4" s="7" t="s">
        <v>14</v>
      </c>
      <c r="D4" s="8">
        <v>0.019328703703703702</v>
      </c>
      <c r="E4" s="8">
        <v>0.0011689814814814816</v>
      </c>
      <c r="F4" s="7" t="s">
        <v>15</v>
      </c>
      <c r="G4" s="10" t="str">
        <f>IFERROR(__xludf.DUMMYFUNCTION("split(F4,"" "")"),"-")</f>
        <v>-</v>
      </c>
    </row>
    <row r="5">
      <c r="B5" s="7" t="s">
        <v>16</v>
      </c>
      <c r="C5" s="7" t="s">
        <v>17</v>
      </c>
      <c r="D5" s="8">
        <v>0.033541666666666664</v>
      </c>
      <c r="E5" s="8">
        <v>0.014212962962962964</v>
      </c>
      <c r="F5" s="7" t="s">
        <v>78</v>
      </c>
      <c r="G5" s="10">
        <f>IFERROR(__xludf.DUMMYFUNCTION("split(F5,"" "")"),41.92)</f>
        <v>41.92</v>
      </c>
      <c r="H5" s="10" t="str">
        <f>IFERROR(__xludf.DUMMYFUNCTION("""COMPUTED_VALUE"""),"km/h")</f>
        <v>km/h</v>
      </c>
    </row>
    <row r="6">
      <c r="B6" s="7" t="s">
        <v>16</v>
      </c>
      <c r="C6" s="7" t="s">
        <v>19</v>
      </c>
      <c r="D6" s="8">
        <v>0.04631944444444445</v>
      </c>
      <c r="E6" s="8">
        <v>0.012777777777777779</v>
      </c>
      <c r="F6" s="7" t="s">
        <v>79</v>
      </c>
      <c r="G6" s="10">
        <f>IFERROR(__xludf.DUMMYFUNCTION("split(F6,"" "")"),45.33)</f>
        <v>45.33</v>
      </c>
      <c r="H6" s="10" t="str">
        <f>IFERROR(__xludf.DUMMYFUNCTION("""COMPUTED_VALUE"""),"km/h")</f>
        <v>km/h</v>
      </c>
    </row>
    <row r="7">
      <c r="B7" s="7" t="s">
        <v>16</v>
      </c>
      <c r="C7" s="7" t="s">
        <v>21</v>
      </c>
      <c r="D7" s="8">
        <v>0.05853009259259259</v>
      </c>
      <c r="E7" s="8">
        <v>0.012210648148148148</v>
      </c>
      <c r="F7" s="7" t="s">
        <v>80</v>
      </c>
      <c r="G7" s="10">
        <f>IFERROR(__xludf.DUMMYFUNCTION("split(F7,"" "")"),39.58)</f>
        <v>39.58</v>
      </c>
      <c r="H7" s="10" t="str">
        <f>IFERROR(__xludf.DUMMYFUNCTION("""COMPUTED_VALUE"""),"km/h")</f>
        <v>km/h</v>
      </c>
    </row>
    <row r="8">
      <c r="B8" s="7" t="s">
        <v>16</v>
      </c>
      <c r="C8" s="7" t="s">
        <v>23</v>
      </c>
      <c r="D8" s="8">
        <v>0.0686574074074074</v>
      </c>
      <c r="E8" s="8">
        <v>0.010127314814814815</v>
      </c>
      <c r="F8" s="7" t="s">
        <v>81</v>
      </c>
      <c r="G8" s="10">
        <f>IFERROR(__xludf.DUMMYFUNCTION("split(F8,"" "")"),41.14)</f>
        <v>41.14</v>
      </c>
      <c r="H8" s="10" t="str">
        <f>IFERROR(__xludf.DUMMYFUNCTION("""COMPUTED_VALUE"""),"km/h")</f>
        <v>km/h</v>
      </c>
    </row>
    <row r="9">
      <c r="B9" s="7" t="s">
        <v>16</v>
      </c>
      <c r="C9" s="7" t="s">
        <v>25</v>
      </c>
      <c r="D9" s="8">
        <v>0.08045138888888889</v>
      </c>
      <c r="E9" s="8">
        <v>0.011793981481481482</v>
      </c>
      <c r="F9" s="7" t="s">
        <v>82</v>
      </c>
      <c r="G9" s="10">
        <f>IFERROR(__xludf.DUMMYFUNCTION("split(F9,"" "")"),38.51)</f>
        <v>38.51</v>
      </c>
      <c r="H9" s="10" t="str">
        <f>IFERROR(__xludf.DUMMYFUNCTION("""COMPUTED_VALUE"""),"km/h")</f>
        <v>km/h</v>
      </c>
    </row>
    <row r="10">
      <c r="B10" s="7" t="s">
        <v>16</v>
      </c>
      <c r="C10" s="7" t="s">
        <v>27</v>
      </c>
      <c r="D10" s="8">
        <v>0.09136574074074075</v>
      </c>
      <c r="E10" s="8">
        <v>0.010914351851851852</v>
      </c>
      <c r="F10" s="7" t="s">
        <v>83</v>
      </c>
      <c r="G10" s="10">
        <f>IFERROR(__xludf.DUMMYFUNCTION("split(F10,"" "")"),39.32)</f>
        <v>39.32</v>
      </c>
      <c r="H10" s="10" t="str">
        <f>IFERROR(__xludf.DUMMYFUNCTION("""COMPUTED_VALUE"""),"km/h")</f>
        <v>km/h</v>
      </c>
    </row>
    <row r="11">
      <c r="B11" s="7" t="s">
        <v>16</v>
      </c>
      <c r="C11" s="7" t="s">
        <v>29</v>
      </c>
      <c r="D11" s="8">
        <v>0.10274305555555556</v>
      </c>
      <c r="E11" s="8">
        <v>0.011377314814814814</v>
      </c>
      <c r="F11" s="7" t="s">
        <v>84</v>
      </c>
      <c r="G11" s="10">
        <f>IFERROR(__xludf.DUMMYFUNCTION("split(F11,"" "")"),42.12)</f>
        <v>42.12</v>
      </c>
      <c r="H11" s="10" t="str">
        <f>IFERROR(__xludf.DUMMYFUNCTION("""COMPUTED_VALUE"""),"km/h")</f>
        <v>km/h</v>
      </c>
    </row>
    <row r="12">
      <c r="B12" s="7" t="s">
        <v>16</v>
      </c>
      <c r="C12" s="7" t="s">
        <v>31</v>
      </c>
      <c r="D12" s="8">
        <v>0.11083333333333334</v>
      </c>
      <c r="E12" s="8">
        <v>0.008090277777777778</v>
      </c>
      <c r="F12" s="7" t="s">
        <v>85</v>
      </c>
      <c r="G12" s="10">
        <f>IFERROR(__xludf.DUMMYFUNCTION("split(F12,"" "")"),36.05)</f>
        <v>36.05</v>
      </c>
      <c r="H12" s="10" t="str">
        <f>IFERROR(__xludf.DUMMYFUNCTION("""COMPUTED_VALUE"""),"km/h")</f>
        <v>km/h</v>
      </c>
    </row>
    <row r="13">
      <c r="B13" s="7" t="s">
        <v>16</v>
      </c>
      <c r="C13" s="7" t="s">
        <v>31</v>
      </c>
      <c r="D13" s="8">
        <v>0.11083333333333334</v>
      </c>
      <c r="E13" s="8">
        <v>0.09150462962962963</v>
      </c>
      <c r="F13" s="7" t="s">
        <v>86</v>
      </c>
      <c r="G13" s="10">
        <f>IFERROR(__xludf.DUMMYFUNCTION("split(F13,"" "")"),40.75)</f>
        <v>40.75</v>
      </c>
      <c r="H13" s="10" t="str">
        <f>IFERROR(__xludf.DUMMYFUNCTION("""COMPUTED_VALUE"""),"km/h")</f>
        <v>km/h</v>
      </c>
    </row>
    <row r="14">
      <c r="B14" s="7" t="s">
        <v>14</v>
      </c>
      <c r="D14" s="8">
        <v>0.11159722222222222</v>
      </c>
      <c r="E14" s="8">
        <v>7.638888888888889E-4</v>
      </c>
      <c r="F14" s="7" t="s">
        <v>15</v>
      </c>
      <c r="G14" s="10" t="str">
        <f>IFERROR(__xludf.DUMMYFUNCTION("split(F14,"" "")"),"-")</f>
        <v>-</v>
      </c>
    </row>
    <row r="15">
      <c r="B15" s="7" t="s">
        <v>34</v>
      </c>
      <c r="C15" s="7" t="s">
        <v>35</v>
      </c>
      <c r="D15" s="8">
        <v>0.11289351851851852</v>
      </c>
      <c r="E15" s="8">
        <v>0.0012962962962962963</v>
      </c>
      <c r="F15" s="7" t="s">
        <v>87</v>
      </c>
      <c r="G15" s="9">
        <f>IFERROR(__xludf.DUMMYFUNCTION("split(F15,"" "")"),0.19444444444444445)</f>
        <v>0.1944444444</v>
      </c>
      <c r="H15" s="10" t="str">
        <f>IFERROR(__xludf.DUMMYFUNCTION("""COMPUTED_VALUE"""),"min/km")</f>
        <v>min/km</v>
      </c>
    </row>
    <row r="16">
      <c r="B16" s="7" t="s">
        <v>34</v>
      </c>
      <c r="C16" s="7" t="s">
        <v>37</v>
      </c>
      <c r="D16" s="8">
        <v>0.115625</v>
      </c>
      <c r="E16" s="8">
        <v>0.0027314814814814814</v>
      </c>
      <c r="F16" s="7" t="s">
        <v>88</v>
      </c>
      <c r="G16" s="9">
        <f>IFERROR(__xludf.DUMMYFUNCTION("split(F16,"" "")"),0.1638888888888889)</f>
        <v>0.1638888889</v>
      </c>
      <c r="H16" s="10" t="str">
        <f>IFERROR(__xludf.DUMMYFUNCTION("""COMPUTED_VALUE"""),"min/km")</f>
        <v>min/km</v>
      </c>
    </row>
    <row r="17">
      <c r="B17" s="7" t="s">
        <v>34</v>
      </c>
      <c r="C17" s="7" t="s">
        <v>39</v>
      </c>
      <c r="D17" s="8">
        <v>0.11935185185185185</v>
      </c>
      <c r="E17" s="8">
        <v>0.003726851851851852</v>
      </c>
      <c r="F17" s="7" t="s">
        <v>89</v>
      </c>
      <c r="G17" s="9">
        <f>IFERROR(__xludf.DUMMYFUNCTION("split(F17,"" "")"),0.18611111111111112)</f>
        <v>0.1861111111</v>
      </c>
      <c r="H17" s="10" t="str">
        <f>IFERROR(__xludf.DUMMYFUNCTION("""COMPUTED_VALUE"""),"min/km")</f>
        <v>min/km</v>
      </c>
    </row>
    <row r="18">
      <c r="B18" s="7" t="s">
        <v>34</v>
      </c>
      <c r="C18" s="7" t="s">
        <v>41</v>
      </c>
      <c r="D18" s="8">
        <v>0.12335648148148148</v>
      </c>
      <c r="E18" s="8">
        <v>0.00400462962962963</v>
      </c>
      <c r="F18" s="7" t="s">
        <v>90</v>
      </c>
      <c r="G18" s="9">
        <f>IFERROR(__xludf.DUMMYFUNCTION("split(F18,"" "")"),0.17152777777777778)</f>
        <v>0.1715277778</v>
      </c>
      <c r="H18" s="10" t="str">
        <f>IFERROR(__xludf.DUMMYFUNCTION("""COMPUTED_VALUE"""),"min/km")</f>
        <v>min/km</v>
      </c>
    </row>
    <row r="19">
      <c r="B19" s="7" t="s">
        <v>34</v>
      </c>
      <c r="C19" s="7" t="s">
        <v>43</v>
      </c>
      <c r="D19" s="8">
        <v>0.1266898148148148</v>
      </c>
      <c r="E19" s="8">
        <v>0.0033333333333333335</v>
      </c>
      <c r="F19" s="7" t="s">
        <v>91</v>
      </c>
      <c r="G19" s="9">
        <f>IFERROR(__xludf.DUMMYFUNCTION("split(F19,"" "")"),0.15347222222222223)</f>
        <v>0.1534722222</v>
      </c>
      <c r="H19" s="10" t="str">
        <f>IFERROR(__xludf.DUMMYFUNCTION("""COMPUTED_VALUE"""),"min/km")</f>
        <v>min/km</v>
      </c>
    </row>
    <row r="20">
      <c r="B20" s="7" t="s">
        <v>34</v>
      </c>
      <c r="C20" s="7" t="s">
        <v>45</v>
      </c>
      <c r="D20" s="8">
        <v>0.13030092592592593</v>
      </c>
      <c r="E20" s="8">
        <v>0.003611111111111111</v>
      </c>
      <c r="F20" s="7" t="s">
        <v>92</v>
      </c>
      <c r="G20" s="9">
        <f>IFERROR(__xludf.DUMMYFUNCTION("split(F20,"" "")"),0.15416666666666667)</f>
        <v>0.1541666667</v>
      </c>
      <c r="H20" s="10" t="str">
        <f>IFERROR(__xludf.DUMMYFUNCTION("""COMPUTED_VALUE"""),"min/km")</f>
        <v>min/km</v>
      </c>
    </row>
    <row r="21">
      <c r="B21" s="7" t="s">
        <v>34</v>
      </c>
      <c r="C21" s="7" t="s">
        <v>47</v>
      </c>
      <c r="D21" s="8">
        <v>0.1334027777777778</v>
      </c>
      <c r="E21" s="8">
        <v>0.0031018518518518517</v>
      </c>
      <c r="F21" s="7" t="s">
        <v>93</v>
      </c>
      <c r="G21" s="9">
        <f>IFERROR(__xludf.DUMMYFUNCTION("split(F21,"" "")"),0.16875)</f>
        <v>0.16875</v>
      </c>
      <c r="H21" s="10" t="str">
        <f>IFERROR(__xludf.DUMMYFUNCTION("""COMPUTED_VALUE"""),"min/km")</f>
        <v>min/km</v>
      </c>
    </row>
    <row r="22">
      <c r="B22" s="7" t="s">
        <v>34</v>
      </c>
      <c r="C22" s="7" t="s">
        <v>49</v>
      </c>
      <c r="D22" s="8">
        <v>0.13725694444444445</v>
      </c>
      <c r="E22" s="8">
        <v>0.0038541666666666668</v>
      </c>
      <c r="F22" s="7" t="s">
        <v>94</v>
      </c>
      <c r="G22" s="9">
        <f>IFERROR(__xludf.DUMMYFUNCTION("split(F22,"" "")"),0.16458333333333333)</f>
        <v>0.1645833333</v>
      </c>
      <c r="H22" s="10" t="str">
        <f>IFERROR(__xludf.DUMMYFUNCTION("""COMPUTED_VALUE"""),"min/km")</f>
        <v>min/km</v>
      </c>
    </row>
    <row r="23">
      <c r="B23" s="7" t="s">
        <v>34</v>
      </c>
      <c r="C23" s="7" t="s">
        <v>51</v>
      </c>
      <c r="D23" s="8">
        <v>0.14017361111111112</v>
      </c>
      <c r="E23" s="8">
        <v>0.002916666666666667</v>
      </c>
      <c r="F23" s="7" t="s">
        <v>95</v>
      </c>
      <c r="G23" s="9">
        <f>IFERROR(__xludf.DUMMYFUNCTION("split(F23,"" "")"),0.1451388888888889)</f>
        <v>0.1451388889</v>
      </c>
      <c r="H23" s="10" t="str">
        <f>IFERROR(__xludf.DUMMYFUNCTION("""COMPUTED_VALUE"""),"min/km")</f>
        <v>min/km</v>
      </c>
    </row>
    <row r="24">
      <c r="B24" s="7" t="s">
        <v>34</v>
      </c>
      <c r="C24" s="7" t="s">
        <v>53</v>
      </c>
      <c r="D24" s="8">
        <v>0.14140046296296296</v>
      </c>
      <c r="E24" s="8">
        <v>0.0012268518518518518</v>
      </c>
      <c r="F24" s="7" t="s">
        <v>96</v>
      </c>
      <c r="G24" s="9">
        <f>IFERROR(__xludf.DUMMYFUNCTION("split(F24,"" "")"),0.18333333333333332)</f>
        <v>0.1833333333</v>
      </c>
      <c r="H24" s="10" t="str">
        <f>IFERROR(__xludf.DUMMYFUNCTION("""COMPUTED_VALUE"""),"min/km")</f>
        <v>min/km</v>
      </c>
    </row>
    <row r="25">
      <c r="B25" s="7" t="s">
        <v>34</v>
      </c>
      <c r="C25" s="7" t="s">
        <v>55</v>
      </c>
      <c r="D25" s="8">
        <v>0.1441087962962963</v>
      </c>
      <c r="E25" s="8">
        <v>0.0027083333333333334</v>
      </c>
      <c r="F25" s="7" t="s">
        <v>60</v>
      </c>
      <c r="G25" s="9">
        <f>IFERROR(__xludf.DUMMYFUNCTION("split(F25,"" "")"),0.1625)</f>
        <v>0.1625</v>
      </c>
      <c r="H25" s="10" t="str">
        <f>IFERROR(__xludf.DUMMYFUNCTION("""COMPUTED_VALUE"""),"min/km")</f>
        <v>min/km</v>
      </c>
    </row>
    <row r="26">
      <c r="B26" s="7" t="s">
        <v>34</v>
      </c>
      <c r="C26" s="7" t="s">
        <v>57</v>
      </c>
      <c r="D26" s="8">
        <v>0.1478125</v>
      </c>
      <c r="E26" s="8">
        <v>0.003703703703703704</v>
      </c>
      <c r="F26" s="7" t="s">
        <v>97</v>
      </c>
      <c r="G26" s="9">
        <f>IFERROR(__xludf.DUMMYFUNCTION("split(F26,"" "")"),0.18472222222222223)</f>
        <v>0.1847222222</v>
      </c>
      <c r="H26" s="10" t="str">
        <f>IFERROR(__xludf.DUMMYFUNCTION("""COMPUTED_VALUE"""),"min/km")</f>
        <v>min/km</v>
      </c>
    </row>
    <row r="27">
      <c r="B27" s="7" t="s">
        <v>34</v>
      </c>
      <c r="C27" s="7" t="s">
        <v>59</v>
      </c>
      <c r="D27" s="8">
        <v>0.15172453703703703</v>
      </c>
      <c r="E27" s="8">
        <v>0.003912037037037037</v>
      </c>
      <c r="F27" s="7" t="s">
        <v>98</v>
      </c>
      <c r="G27" s="9">
        <f>IFERROR(__xludf.DUMMYFUNCTION("split(F27,"" "")"),0.1673611111111111)</f>
        <v>0.1673611111</v>
      </c>
      <c r="H27" s="10" t="str">
        <f>IFERROR(__xludf.DUMMYFUNCTION("""COMPUTED_VALUE"""),"min/km")</f>
        <v>min/km</v>
      </c>
    </row>
    <row r="28">
      <c r="B28" s="7" t="s">
        <v>34</v>
      </c>
      <c r="C28" s="7" t="s">
        <v>61</v>
      </c>
      <c r="D28" s="8">
        <v>0.15496527777777777</v>
      </c>
      <c r="E28" s="8">
        <v>0.0032407407407407406</v>
      </c>
      <c r="F28" s="7" t="s">
        <v>62</v>
      </c>
      <c r="G28" s="9">
        <f>IFERROR(__xludf.DUMMYFUNCTION("split(F28,"" "")"),0.14930555555555555)</f>
        <v>0.1493055556</v>
      </c>
      <c r="H28" s="10" t="str">
        <f>IFERROR(__xludf.DUMMYFUNCTION("""COMPUTED_VALUE"""),"min/km")</f>
        <v>min/km</v>
      </c>
    </row>
    <row r="29">
      <c r="B29" s="7" t="s">
        <v>34</v>
      </c>
      <c r="C29" s="7" t="s">
        <v>63</v>
      </c>
      <c r="D29" s="8">
        <v>0.15849537037037037</v>
      </c>
      <c r="E29" s="8">
        <v>0.0035300925925925925</v>
      </c>
      <c r="F29" s="7" t="s">
        <v>99</v>
      </c>
      <c r="G29" s="9">
        <f>IFERROR(__xludf.DUMMYFUNCTION("split(F29,"" "")"),0.15069444444444444)</f>
        <v>0.1506944444</v>
      </c>
      <c r="H29" s="10" t="str">
        <f>IFERROR(__xludf.DUMMYFUNCTION("""COMPUTED_VALUE"""),"min/km")</f>
        <v>min/km</v>
      </c>
    </row>
    <row r="30">
      <c r="B30" s="7" t="s">
        <v>34</v>
      </c>
      <c r="C30" s="7" t="s">
        <v>65</v>
      </c>
      <c r="D30" s="8">
        <v>0.1616087962962963</v>
      </c>
      <c r="E30" s="8">
        <v>0.0031134259259259257</v>
      </c>
      <c r="F30" s="7" t="s">
        <v>100</v>
      </c>
      <c r="G30" s="9">
        <f>IFERROR(__xludf.DUMMYFUNCTION("split(F30,"" "")"),0.16944444444444445)</f>
        <v>0.1694444444</v>
      </c>
      <c r="H30" s="10" t="str">
        <f>IFERROR(__xludf.DUMMYFUNCTION("""COMPUTED_VALUE"""),"min/km")</f>
        <v>min/km</v>
      </c>
    </row>
    <row r="31">
      <c r="B31" s="7" t="s">
        <v>34</v>
      </c>
      <c r="C31" s="7" t="s">
        <v>67</v>
      </c>
      <c r="D31" s="8">
        <v>0.16552083333333334</v>
      </c>
      <c r="E31" s="8">
        <v>0.003912037037037037</v>
      </c>
      <c r="F31" s="7" t="s">
        <v>98</v>
      </c>
      <c r="G31" s="9">
        <f>IFERROR(__xludf.DUMMYFUNCTION("split(F31,"" "")"),0.1673611111111111)</f>
        <v>0.1673611111</v>
      </c>
      <c r="H31" s="10" t="str">
        <f>IFERROR(__xludf.DUMMYFUNCTION("""COMPUTED_VALUE"""),"min/km")</f>
        <v>min/km</v>
      </c>
    </row>
    <row r="32">
      <c r="B32" s="7" t="s">
        <v>34</v>
      </c>
      <c r="C32" s="7" t="s">
        <v>69</v>
      </c>
      <c r="D32" s="8">
        <v>0.16844907407407408</v>
      </c>
      <c r="E32" s="8">
        <v>0.002928240740740741</v>
      </c>
      <c r="F32" s="7" t="s">
        <v>44</v>
      </c>
      <c r="G32" s="9">
        <f>IFERROR(__xludf.DUMMYFUNCTION("split(F32,"" "")"),0.14583333333333334)</f>
        <v>0.1458333333</v>
      </c>
      <c r="H32" s="10" t="str">
        <f>IFERROR(__xludf.DUMMYFUNCTION("""COMPUTED_VALUE"""),"min/km")</f>
        <v>min/km</v>
      </c>
    </row>
    <row r="33">
      <c r="B33" s="7" t="s">
        <v>34</v>
      </c>
      <c r="C33" s="7" t="s">
        <v>70</v>
      </c>
      <c r="D33" s="8">
        <v>0.16940972222222223</v>
      </c>
      <c r="E33" s="8">
        <v>9.606481481481482E-4</v>
      </c>
      <c r="F33" s="7" t="s">
        <v>101</v>
      </c>
      <c r="G33" s="9">
        <f>IFERROR(__xludf.DUMMYFUNCTION("split(F33,"" "")"),0.19166666666666668)</f>
        <v>0.1916666667</v>
      </c>
      <c r="H33" s="10" t="str">
        <f>IFERROR(__xludf.DUMMYFUNCTION("""COMPUTED_VALUE"""),"min/km")</f>
        <v>min/km</v>
      </c>
    </row>
    <row r="34">
      <c r="B34" s="7" t="s">
        <v>34</v>
      </c>
      <c r="C34" s="7" t="s">
        <v>70</v>
      </c>
      <c r="D34" s="8">
        <v>0.16940972222222223</v>
      </c>
      <c r="E34" s="8">
        <v>0.0578125</v>
      </c>
      <c r="F34" s="7" t="s">
        <v>88</v>
      </c>
      <c r="G34" s="9">
        <f>IFERROR(__xludf.DUMMYFUNCTION("split(F34,"" "")"),0.1638888888888889)</f>
        <v>0.1638888889</v>
      </c>
      <c r="H34" s="10" t="str">
        <f>IFERROR(__xludf.DUMMYFUNCTION("""COMPUTED_VALUE"""),"min/km")</f>
        <v>min/km</v>
      </c>
    </row>
    <row r="35">
      <c r="B35" s="7" t="s">
        <v>73</v>
      </c>
      <c r="C35" s="7" t="s">
        <v>74</v>
      </c>
      <c r="D35" s="8">
        <v>0.16940972222222223</v>
      </c>
      <c r="E35" s="8">
        <v>0.16940972222222223</v>
      </c>
      <c r="F35" s="7" t="s">
        <v>102</v>
      </c>
      <c r="G35" s="10">
        <f>IFERROR(__xludf.DUMMYFUNCTION("split(F35,"" "")"),27.67)</f>
        <v>27.67</v>
      </c>
      <c r="H35" s="10" t="str">
        <f>IFERROR(__xludf.DUMMYFUNCTION("""COMPUTED_VALUE"""),"km/h")</f>
        <v>km/h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76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9</v>
      </c>
      <c r="H2" s="7" t="s">
        <v>10</v>
      </c>
    </row>
    <row r="3">
      <c r="B3" s="7" t="s">
        <v>11</v>
      </c>
      <c r="C3" s="7" t="s">
        <v>12</v>
      </c>
      <c r="D3" s="8">
        <v>0.01853009259259259</v>
      </c>
      <c r="E3" s="8">
        <v>0.01853009259259259</v>
      </c>
      <c r="F3" s="7" t="s">
        <v>103</v>
      </c>
      <c r="G3" s="9">
        <f>IFERROR(__xludf.DUMMYFUNCTION("split(F3,"" "")"),0.058333333333333334)</f>
        <v>0.05833333333</v>
      </c>
      <c r="H3" s="10" t="str">
        <f>IFERROR(__xludf.DUMMYFUNCTION("""COMPUTED_VALUE"""),"min/100m")</f>
        <v>min/100m</v>
      </c>
    </row>
    <row r="4">
      <c r="B4" s="7" t="s">
        <v>14</v>
      </c>
      <c r="D4" s="8">
        <v>0.019814814814814816</v>
      </c>
      <c r="E4" s="8">
        <v>0.0012847222222222223</v>
      </c>
      <c r="F4" s="7" t="s">
        <v>15</v>
      </c>
      <c r="G4" s="10" t="str">
        <f>IFERROR(__xludf.DUMMYFUNCTION("split(F4,"" "")"),"-")</f>
        <v>-</v>
      </c>
    </row>
    <row r="5">
      <c r="B5" s="7" t="s">
        <v>16</v>
      </c>
      <c r="C5" s="7" t="s">
        <v>17</v>
      </c>
      <c r="D5" s="8">
        <v>0.03453703703703704</v>
      </c>
      <c r="E5" s="8">
        <v>0.014722222222222222</v>
      </c>
      <c r="F5" s="7" t="s">
        <v>104</v>
      </c>
      <c r="G5" s="10">
        <f>IFERROR(__xludf.DUMMYFUNCTION("split(F5,"" "")"),40.47)</f>
        <v>40.47</v>
      </c>
      <c r="H5" s="10" t="str">
        <f>IFERROR(__xludf.DUMMYFUNCTION("""COMPUTED_VALUE"""),"km/h")</f>
        <v>km/h</v>
      </c>
    </row>
    <row r="6">
      <c r="B6" s="7" t="s">
        <v>16</v>
      </c>
      <c r="C6" s="7" t="s">
        <v>19</v>
      </c>
      <c r="D6" s="8">
        <v>0.04762731481481482</v>
      </c>
      <c r="E6" s="8">
        <v>0.013090277777777777</v>
      </c>
      <c r="F6" s="7" t="s">
        <v>105</v>
      </c>
      <c r="G6" s="10">
        <f>IFERROR(__xludf.DUMMYFUNCTION("split(F6,"" "")"),44.24)</f>
        <v>44.24</v>
      </c>
      <c r="H6" s="10" t="str">
        <f>IFERROR(__xludf.DUMMYFUNCTION("""COMPUTED_VALUE"""),"km/h")</f>
        <v>km/h</v>
      </c>
    </row>
    <row r="7">
      <c r="B7" s="7" t="s">
        <v>16</v>
      </c>
      <c r="C7" s="7" t="s">
        <v>21</v>
      </c>
      <c r="D7" s="8">
        <v>0.060266203703703704</v>
      </c>
      <c r="E7" s="8">
        <v>0.012638888888888889</v>
      </c>
      <c r="F7" s="7" t="s">
        <v>106</v>
      </c>
      <c r="G7" s="10">
        <f>IFERROR(__xludf.DUMMYFUNCTION("split(F7,"" "")"),38.24)</f>
        <v>38.24</v>
      </c>
      <c r="H7" s="10" t="str">
        <f>IFERROR(__xludf.DUMMYFUNCTION("""COMPUTED_VALUE"""),"km/h")</f>
        <v>km/h</v>
      </c>
    </row>
    <row r="8">
      <c r="B8" s="7" t="s">
        <v>16</v>
      </c>
      <c r="C8" s="7" t="s">
        <v>23</v>
      </c>
      <c r="D8" s="8">
        <v>0.07041666666666667</v>
      </c>
      <c r="E8" s="8">
        <v>0.010150462962962964</v>
      </c>
      <c r="F8" s="7" t="s">
        <v>107</v>
      </c>
      <c r="G8" s="10">
        <f>IFERROR(__xludf.DUMMYFUNCTION("split(F8,"" "")"),41.05)</f>
        <v>41.05</v>
      </c>
      <c r="H8" s="10" t="str">
        <f>IFERROR(__xludf.DUMMYFUNCTION("""COMPUTED_VALUE"""),"km/h")</f>
        <v>km/h</v>
      </c>
    </row>
    <row r="9">
      <c r="B9" s="7" t="s">
        <v>16</v>
      </c>
      <c r="C9" s="7" t="s">
        <v>25</v>
      </c>
      <c r="D9" s="8">
        <v>0.08224537037037037</v>
      </c>
      <c r="E9" s="8">
        <v>0.011828703703703704</v>
      </c>
      <c r="F9" s="7" t="s">
        <v>108</v>
      </c>
      <c r="G9" s="10">
        <f>IFERROR(__xludf.DUMMYFUNCTION("split(F9,"" "")"),38.4)</f>
        <v>38.4</v>
      </c>
      <c r="H9" s="10" t="str">
        <f>IFERROR(__xludf.DUMMYFUNCTION("""COMPUTED_VALUE"""),"km/h")</f>
        <v>km/h</v>
      </c>
    </row>
    <row r="10">
      <c r="B10" s="7" t="s">
        <v>16</v>
      </c>
      <c r="C10" s="7" t="s">
        <v>27</v>
      </c>
      <c r="D10" s="8">
        <v>0.09327546296296296</v>
      </c>
      <c r="E10" s="8">
        <v>0.011030092592592593</v>
      </c>
      <c r="F10" s="7" t="s">
        <v>109</v>
      </c>
      <c r="G10" s="10">
        <f>IFERROR(__xludf.DUMMYFUNCTION("split(F10,"" "")"),38.91)</f>
        <v>38.91</v>
      </c>
      <c r="H10" s="10" t="str">
        <f>IFERROR(__xludf.DUMMYFUNCTION("""COMPUTED_VALUE"""),"km/h")</f>
        <v>km/h</v>
      </c>
    </row>
    <row r="11">
      <c r="B11" s="7" t="s">
        <v>16</v>
      </c>
      <c r="C11" s="7" t="s">
        <v>29</v>
      </c>
      <c r="D11" s="8">
        <v>0.10487268518518518</v>
      </c>
      <c r="E11" s="8">
        <v>0.011597222222222222</v>
      </c>
      <c r="F11" s="7" t="s">
        <v>110</v>
      </c>
      <c r="G11" s="10">
        <f>IFERROR(__xludf.DUMMYFUNCTION("split(F11,"" "")"),41.32)</f>
        <v>41.32</v>
      </c>
      <c r="H11" s="10" t="str">
        <f>IFERROR(__xludf.DUMMYFUNCTION("""COMPUTED_VALUE"""),"km/h")</f>
        <v>km/h</v>
      </c>
    </row>
    <row r="12">
      <c r="B12" s="7" t="s">
        <v>16</v>
      </c>
      <c r="C12" s="7" t="s">
        <v>31</v>
      </c>
      <c r="D12" s="8">
        <v>0.11307870370370371</v>
      </c>
      <c r="E12" s="8">
        <v>0.008206018518518519</v>
      </c>
      <c r="F12" s="7" t="s">
        <v>111</v>
      </c>
      <c r="G12" s="10">
        <f>IFERROR(__xludf.DUMMYFUNCTION("split(F12,"" "")"),35.54)</f>
        <v>35.54</v>
      </c>
      <c r="H12" s="10" t="str">
        <f>IFERROR(__xludf.DUMMYFUNCTION("""COMPUTED_VALUE"""),"km/h")</f>
        <v>km/h</v>
      </c>
    </row>
    <row r="13">
      <c r="B13" s="7" t="s">
        <v>16</v>
      </c>
      <c r="C13" s="7" t="s">
        <v>31</v>
      </c>
      <c r="D13" s="8">
        <v>0.11307870370370371</v>
      </c>
      <c r="E13" s="8">
        <v>0.09326388888888888</v>
      </c>
      <c r="F13" s="7" t="s">
        <v>112</v>
      </c>
      <c r="G13" s="10">
        <f>IFERROR(__xludf.DUMMYFUNCTION("split(F13,"" "")"),39.99)</f>
        <v>39.99</v>
      </c>
      <c r="H13" s="10" t="str">
        <f>IFERROR(__xludf.DUMMYFUNCTION("""COMPUTED_VALUE"""),"km/h")</f>
        <v>km/h</v>
      </c>
    </row>
    <row r="14">
      <c r="B14" s="7" t="s">
        <v>14</v>
      </c>
      <c r="D14" s="8">
        <v>0.11376157407407407</v>
      </c>
      <c r="E14" s="8">
        <v>6.828703703703704E-4</v>
      </c>
      <c r="F14" s="7" t="s">
        <v>15</v>
      </c>
      <c r="G14" s="10" t="str">
        <f>IFERROR(__xludf.DUMMYFUNCTION("split(F14,"" "")"),"-")</f>
        <v>-</v>
      </c>
    </row>
    <row r="15">
      <c r="B15" s="7" t="s">
        <v>34</v>
      </c>
      <c r="C15" s="7" t="s">
        <v>35</v>
      </c>
      <c r="D15" s="8">
        <v>0.1149537037037037</v>
      </c>
      <c r="E15" s="8">
        <v>0.0011921296296296296</v>
      </c>
      <c r="F15" s="7" t="s">
        <v>113</v>
      </c>
      <c r="G15" s="9">
        <f>IFERROR(__xludf.DUMMYFUNCTION("split(F15,"" "")"),0.17847222222222223)</f>
        <v>0.1784722222</v>
      </c>
      <c r="H15" s="10" t="str">
        <f>IFERROR(__xludf.DUMMYFUNCTION("""COMPUTED_VALUE"""),"min/km")</f>
        <v>min/km</v>
      </c>
    </row>
    <row r="16">
      <c r="B16" s="7" t="s">
        <v>34</v>
      </c>
      <c r="C16" s="7" t="s">
        <v>37</v>
      </c>
      <c r="D16" s="8">
        <v>0.11753472222222222</v>
      </c>
      <c r="E16" s="8">
        <v>0.0025810185185185185</v>
      </c>
      <c r="F16" s="7" t="s">
        <v>38</v>
      </c>
      <c r="G16" s="9">
        <f>IFERROR(__xludf.DUMMYFUNCTION("split(F16,"" "")"),0.15486111111111112)</f>
        <v>0.1548611111</v>
      </c>
      <c r="H16" s="10" t="str">
        <f>IFERROR(__xludf.DUMMYFUNCTION("""COMPUTED_VALUE"""),"min/km")</f>
        <v>min/km</v>
      </c>
    </row>
    <row r="17">
      <c r="B17" s="7" t="s">
        <v>34</v>
      </c>
      <c r="C17" s="7" t="s">
        <v>39</v>
      </c>
      <c r="D17" s="8">
        <v>0.1209837962962963</v>
      </c>
      <c r="E17" s="8">
        <v>0.003449074074074074</v>
      </c>
      <c r="F17" s="7" t="s">
        <v>114</v>
      </c>
      <c r="G17" s="9">
        <f>IFERROR(__xludf.DUMMYFUNCTION("split(F17,"" "")"),0.17222222222222222)</f>
        <v>0.1722222222</v>
      </c>
      <c r="H17" s="10" t="str">
        <f>IFERROR(__xludf.DUMMYFUNCTION("""COMPUTED_VALUE"""),"min/km")</f>
        <v>min/km</v>
      </c>
    </row>
    <row r="18">
      <c r="B18" s="7" t="s">
        <v>34</v>
      </c>
      <c r="C18" s="7" t="s">
        <v>41</v>
      </c>
      <c r="D18" s="8">
        <v>0.12460648148148148</v>
      </c>
      <c r="E18" s="8">
        <v>0.0036226851851851854</v>
      </c>
      <c r="F18" s="7" t="s">
        <v>38</v>
      </c>
      <c r="G18" s="9">
        <f>IFERROR(__xludf.DUMMYFUNCTION("split(F18,"" "")"),0.15486111111111112)</f>
        <v>0.1548611111</v>
      </c>
      <c r="H18" s="10" t="str">
        <f>IFERROR(__xludf.DUMMYFUNCTION("""COMPUTED_VALUE"""),"min/km")</f>
        <v>min/km</v>
      </c>
    </row>
    <row r="19">
      <c r="B19" s="7" t="s">
        <v>34</v>
      </c>
      <c r="C19" s="7" t="s">
        <v>43</v>
      </c>
      <c r="D19" s="8">
        <v>0.1277199074074074</v>
      </c>
      <c r="E19" s="8">
        <v>0.0031134259259259257</v>
      </c>
      <c r="F19" s="7" t="s">
        <v>115</v>
      </c>
      <c r="G19" s="9">
        <f>IFERROR(__xludf.DUMMYFUNCTION("split(F19,"" "")"),0.14305555555555555)</f>
        <v>0.1430555556</v>
      </c>
      <c r="H19" s="10" t="str">
        <f>IFERROR(__xludf.DUMMYFUNCTION("""COMPUTED_VALUE"""),"min/km")</f>
        <v>min/km</v>
      </c>
    </row>
    <row r="20">
      <c r="B20" s="7" t="s">
        <v>34</v>
      </c>
      <c r="C20" s="7" t="s">
        <v>45</v>
      </c>
      <c r="D20" s="8">
        <v>0.13105324074074073</v>
      </c>
      <c r="E20" s="8">
        <v>0.0033333333333333335</v>
      </c>
      <c r="F20" s="7" t="s">
        <v>116</v>
      </c>
      <c r="G20" s="9">
        <f>IFERROR(__xludf.DUMMYFUNCTION("split(F20,"" "")"),0.1423611111111111)</f>
        <v>0.1423611111</v>
      </c>
      <c r="H20" s="10" t="str">
        <f>IFERROR(__xludf.DUMMYFUNCTION("""COMPUTED_VALUE"""),"min/km")</f>
        <v>min/km</v>
      </c>
    </row>
    <row r="21">
      <c r="B21" s="7" t="s">
        <v>34</v>
      </c>
      <c r="C21" s="7" t="s">
        <v>47</v>
      </c>
      <c r="D21" s="8">
        <v>0.13402777777777777</v>
      </c>
      <c r="E21" s="8">
        <v>0.0029745370370370373</v>
      </c>
      <c r="F21" s="7" t="s">
        <v>50</v>
      </c>
      <c r="G21" s="9">
        <f>IFERROR(__xludf.DUMMYFUNCTION("split(F21,"" "")"),0.16180555555555556)</f>
        <v>0.1618055556</v>
      </c>
      <c r="H21" s="10" t="str">
        <f>IFERROR(__xludf.DUMMYFUNCTION("""COMPUTED_VALUE"""),"min/km")</f>
        <v>min/km</v>
      </c>
    </row>
    <row r="22">
      <c r="B22" s="7" t="s">
        <v>34</v>
      </c>
      <c r="C22" s="7" t="s">
        <v>49</v>
      </c>
      <c r="D22" s="8">
        <v>0.13773148148148148</v>
      </c>
      <c r="E22" s="8">
        <v>0.003703703703703704</v>
      </c>
      <c r="F22" s="7" t="s">
        <v>117</v>
      </c>
      <c r="G22" s="9">
        <f>IFERROR(__xludf.DUMMYFUNCTION("split(F22,"" "")"),0.15833333333333333)</f>
        <v>0.1583333333</v>
      </c>
      <c r="H22" s="10" t="str">
        <f>IFERROR(__xludf.DUMMYFUNCTION("""COMPUTED_VALUE"""),"min/km")</f>
        <v>min/km</v>
      </c>
    </row>
    <row r="23">
      <c r="B23" s="7" t="s">
        <v>34</v>
      </c>
      <c r="C23" s="7" t="s">
        <v>51</v>
      </c>
      <c r="D23" s="8">
        <v>0.14054398148148148</v>
      </c>
      <c r="E23" s="8">
        <v>0.0028125</v>
      </c>
      <c r="F23" s="7" t="s">
        <v>118</v>
      </c>
      <c r="G23" s="9">
        <f>IFERROR(__xludf.DUMMYFUNCTION("split(F23,"" "")"),0.14027777777777778)</f>
        <v>0.1402777778</v>
      </c>
      <c r="H23" s="10" t="str">
        <f>IFERROR(__xludf.DUMMYFUNCTION("""COMPUTED_VALUE"""),"min/km")</f>
        <v>min/km</v>
      </c>
    </row>
    <row r="24">
      <c r="B24" s="7" t="s">
        <v>34</v>
      </c>
      <c r="C24" s="7" t="s">
        <v>53</v>
      </c>
      <c r="D24" s="8">
        <v>0.1417824074074074</v>
      </c>
      <c r="E24" s="8">
        <v>0.001238425925925926</v>
      </c>
      <c r="F24" s="7" t="s">
        <v>36</v>
      </c>
      <c r="G24" s="9">
        <f>IFERROR(__xludf.DUMMYFUNCTION("split(F24,"" "")"),0.18541666666666667)</f>
        <v>0.1854166667</v>
      </c>
      <c r="H24" s="10" t="str">
        <f>IFERROR(__xludf.DUMMYFUNCTION("""COMPUTED_VALUE"""),"min/km")</f>
        <v>min/km</v>
      </c>
    </row>
    <row r="25">
      <c r="B25" s="7" t="s">
        <v>34</v>
      </c>
      <c r="C25" s="7" t="s">
        <v>55</v>
      </c>
      <c r="D25" s="8">
        <v>0.14438657407407407</v>
      </c>
      <c r="E25" s="8">
        <v>0.0026041666666666665</v>
      </c>
      <c r="F25" s="7" t="s">
        <v>119</v>
      </c>
      <c r="G25" s="9">
        <f>IFERROR(__xludf.DUMMYFUNCTION("split(F25,"" "")"),0.15625)</f>
        <v>0.15625</v>
      </c>
      <c r="H25" s="10" t="str">
        <f>IFERROR(__xludf.DUMMYFUNCTION("""COMPUTED_VALUE"""),"min/km")</f>
        <v>min/km</v>
      </c>
    </row>
    <row r="26">
      <c r="B26" s="7" t="s">
        <v>34</v>
      </c>
      <c r="C26" s="7" t="s">
        <v>57</v>
      </c>
      <c r="D26" s="8">
        <v>0.1479050925925926</v>
      </c>
      <c r="E26" s="8">
        <v>0.0035185185185185185</v>
      </c>
      <c r="F26" s="7" t="s">
        <v>120</v>
      </c>
      <c r="G26" s="9">
        <f>IFERROR(__xludf.DUMMYFUNCTION("split(F26,"" "")"),0.17569444444444443)</f>
        <v>0.1756944444</v>
      </c>
      <c r="H26" s="10" t="str">
        <f>IFERROR(__xludf.DUMMYFUNCTION("""COMPUTED_VALUE"""),"min/km")</f>
        <v>min/km</v>
      </c>
    </row>
    <row r="27">
      <c r="B27" s="7" t="s">
        <v>34</v>
      </c>
      <c r="C27" s="7" t="s">
        <v>59</v>
      </c>
      <c r="D27" s="8">
        <v>0.15159722222222222</v>
      </c>
      <c r="E27" s="8">
        <v>0.00369212962962963</v>
      </c>
      <c r="F27" s="7" t="s">
        <v>121</v>
      </c>
      <c r="G27" s="9">
        <f>IFERROR(__xludf.DUMMYFUNCTION("split(F27,"" "")"),0.15763888888888888)</f>
        <v>0.1576388889</v>
      </c>
      <c r="H27" s="10" t="str">
        <f>IFERROR(__xludf.DUMMYFUNCTION("""COMPUTED_VALUE"""),"min/km")</f>
        <v>min/km</v>
      </c>
    </row>
    <row r="28">
      <c r="B28" s="7" t="s">
        <v>34</v>
      </c>
      <c r="C28" s="7" t="s">
        <v>61</v>
      </c>
      <c r="D28" s="8">
        <v>0.1547800925925926</v>
      </c>
      <c r="E28" s="8">
        <v>0.00318287037037037</v>
      </c>
      <c r="F28" s="7" t="s">
        <v>52</v>
      </c>
      <c r="G28" s="9">
        <f>IFERROR(__xludf.DUMMYFUNCTION("split(F28,"" "")"),0.14652777777777778)</f>
        <v>0.1465277778</v>
      </c>
      <c r="H28" s="10" t="str">
        <f>IFERROR(__xludf.DUMMYFUNCTION("""COMPUTED_VALUE"""),"min/km")</f>
        <v>min/km</v>
      </c>
    </row>
    <row r="29">
      <c r="B29" s="7" t="s">
        <v>34</v>
      </c>
      <c r="C29" s="7" t="s">
        <v>63</v>
      </c>
      <c r="D29" s="8">
        <v>0.1582175925925926</v>
      </c>
      <c r="E29" s="8">
        <v>0.0034375</v>
      </c>
      <c r="F29" s="7" t="s">
        <v>122</v>
      </c>
      <c r="G29" s="9">
        <f>IFERROR(__xludf.DUMMYFUNCTION("split(F29,"" "")"),0.14722222222222223)</f>
        <v>0.1472222222</v>
      </c>
      <c r="H29" s="10" t="str">
        <f>IFERROR(__xludf.DUMMYFUNCTION("""COMPUTED_VALUE"""),"min/km")</f>
        <v>min/km</v>
      </c>
    </row>
    <row r="30">
      <c r="B30" s="7" t="s">
        <v>34</v>
      </c>
      <c r="C30" s="7" t="s">
        <v>65</v>
      </c>
      <c r="D30" s="8">
        <v>0.16125</v>
      </c>
      <c r="E30" s="8">
        <v>0.0030324074074074073</v>
      </c>
      <c r="F30" s="7" t="s">
        <v>123</v>
      </c>
      <c r="G30" s="9">
        <f>IFERROR(__xludf.DUMMYFUNCTION("split(F30,"" "")"),0.16527777777777777)</f>
        <v>0.1652777778</v>
      </c>
      <c r="H30" s="10" t="str">
        <f>IFERROR(__xludf.DUMMYFUNCTION("""COMPUTED_VALUE"""),"min/km")</f>
        <v>min/km</v>
      </c>
    </row>
    <row r="31">
      <c r="B31" s="7" t="s">
        <v>34</v>
      </c>
      <c r="C31" s="7" t="s">
        <v>67</v>
      </c>
      <c r="D31" s="8">
        <v>0.1650462962962963</v>
      </c>
      <c r="E31" s="8">
        <v>0.0037962962962962963</v>
      </c>
      <c r="F31" s="7" t="s">
        <v>60</v>
      </c>
      <c r="G31" s="9">
        <f>IFERROR(__xludf.DUMMYFUNCTION("split(F31,"" "")"),0.1625)</f>
        <v>0.1625</v>
      </c>
      <c r="H31" s="10" t="str">
        <f>IFERROR(__xludf.DUMMYFUNCTION("""COMPUTED_VALUE"""),"min/km")</f>
        <v>min/km</v>
      </c>
    </row>
    <row r="32">
      <c r="B32" s="7" t="s">
        <v>34</v>
      </c>
      <c r="C32" s="7" t="s">
        <v>69</v>
      </c>
      <c r="D32" s="8">
        <v>0.16792824074074075</v>
      </c>
      <c r="E32" s="8">
        <v>0.0028819444444444444</v>
      </c>
      <c r="F32" s="7" t="s">
        <v>124</v>
      </c>
      <c r="G32" s="9">
        <f>IFERROR(__xludf.DUMMYFUNCTION("split(F32,"" "")"),0.14375)</f>
        <v>0.14375</v>
      </c>
      <c r="H32" s="10" t="str">
        <f>IFERROR(__xludf.DUMMYFUNCTION("""COMPUTED_VALUE"""),"min/km")</f>
        <v>min/km</v>
      </c>
    </row>
    <row r="33">
      <c r="B33" s="7" t="s">
        <v>34</v>
      </c>
      <c r="C33" s="7" t="s">
        <v>70</v>
      </c>
      <c r="D33" s="8">
        <v>0.1688888888888889</v>
      </c>
      <c r="E33" s="8">
        <v>9.606481481481482E-4</v>
      </c>
      <c r="F33" s="7" t="s">
        <v>101</v>
      </c>
      <c r="G33" s="9">
        <f>IFERROR(__xludf.DUMMYFUNCTION("split(F33,"" "")"),0.19166666666666668)</f>
        <v>0.1916666667</v>
      </c>
      <c r="H33" s="10" t="str">
        <f>IFERROR(__xludf.DUMMYFUNCTION("""COMPUTED_VALUE"""),"min/km")</f>
        <v>min/km</v>
      </c>
    </row>
    <row r="34">
      <c r="B34" s="7" t="s">
        <v>34</v>
      </c>
      <c r="C34" s="7" t="s">
        <v>70</v>
      </c>
      <c r="D34" s="8">
        <v>0.1688888888888889</v>
      </c>
      <c r="E34" s="8">
        <v>0.055127314814814816</v>
      </c>
      <c r="F34" s="7" t="s">
        <v>119</v>
      </c>
      <c r="G34" s="9">
        <f>IFERROR(__xludf.DUMMYFUNCTION("split(F34,"" "")"),0.15625)</f>
        <v>0.15625</v>
      </c>
      <c r="H34" s="10" t="str">
        <f>IFERROR(__xludf.DUMMYFUNCTION("""COMPUTED_VALUE"""),"min/km")</f>
        <v>min/km</v>
      </c>
    </row>
    <row r="35">
      <c r="B35" s="7" t="s">
        <v>73</v>
      </c>
      <c r="C35" s="7" t="s">
        <v>74</v>
      </c>
      <c r="D35" s="8">
        <v>0.1688888888888889</v>
      </c>
      <c r="E35" s="8">
        <v>0.1688888888888889</v>
      </c>
      <c r="F35" s="7" t="s">
        <v>125</v>
      </c>
      <c r="G35" s="10">
        <f>IFERROR(__xludf.DUMMYFUNCTION("split(F35,"" "")"),27.75)</f>
        <v>27.75</v>
      </c>
      <c r="H35" s="10" t="str">
        <f>IFERROR(__xludf.DUMMYFUNCTION("""COMPUTED_VALUE"""),"km/h")</f>
        <v>km/h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1">
      <c r="C1" s="7" t="s">
        <v>126</v>
      </c>
      <c r="D1" s="7" t="s">
        <v>127</v>
      </c>
      <c r="E1" s="7" t="s">
        <v>128</v>
      </c>
      <c r="F1" s="7" t="s">
        <v>129</v>
      </c>
    </row>
    <row r="2">
      <c r="A2" s="7" t="s">
        <v>130</v>
      </c>
      <c r="B2" s="7" t="s">
        <v>131</v>
      </c>
      <c r="C2" s="11">
        <v>0.06875</v>
      </c>
      <c r="D2" s="12">
        <f t="shared" ref="D2:D5" si="1">$C$2/C2</f>
        <v>1</v>
      </c>
      <c r="E2" s="11">
        <v>0.04027777777777778</v>
      </c>
      <c r="F2" s="12">
        <f t="shared" ref="F2:F5" si="2">$E$2/E2</f>
        <v>1</v>
      </c>
    </row>
    <row r="3">
      <c r="A3" s="7" t="s">
        <v>132</v>
      </c>
      <c r="B3" s="7" t="s">
        <v>133</v>
      </c>
      <c r="C3" s="11">
        <v>0.06527777777777778</v>
      </c>
      <c r="D3" s="12">
        <f t="shared" si="1"/>
        <v>1.053191489</v>
      </c>
      <c r="E3" s="11">
        <v>0.02638888888888889</v>
      </c>
      <c r="F3" s="12">
        <f t="shared" si="2"/>
        <v>1.526315789</v>
      </c>
    </row>
    <row r="4">
      <c r="A4" s="7" t="s">
        <v>134</v>
      </c>
      <c r="B4" s="7" t="s">
        <v>135</v>
      </c>
      <c r="C4" s="11">
        <v>0.07708333333333334</v>
      </c>
      <c r="D4" s="12">
        <f t="shared" si="1"/>
        <v>0.8918918919</v>
      </c>
      <c r="E4" s="11">
        <v>0.04097222222222222</v>
      </c>
      <c r="F4" s="12">
        <f t="shared" si="2"/>
        <v>0.9830508475</v>
      </c>
    </row>
    <row r="5">
      <c r="A5" s="7" t="s">
        <v>136</v>
      </c>
      <c r="B5" s="7" t="s">
        <v>137</v>
      </c>
      <c r="C5" s="11">
        <v>0.07013888888888889</v>
      </c>
      <c r="D5" s="12">
        <f t="shared" si="1"/>
        <v>0.9801980198</v>
      </c>
      <c r="E5" s="11">
        <v>0.04583333333333333</v>
      </c>
      <c r="F5" s="12">
        <f t="shared" si="2"/>
        <v>0.8787878788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A2" s="7">
        <v>1.0</v>
      </c>
      <c r="B2" s="13">
        <v>37.0</v>
      </c>
      <c r="C2" s="14">
        <v>1.0</v>
      </c>
      <c r="D2" s="14">
        <v>1.0</v>
      </c>
      <c r="E2" s="15" t="s">
        <v>138</v>
      </c>
      <c r="F2" s="14">
        <v>1.0</v>
      </c>
      <c r="G2" s="14" t="s">
        <v>139</v>
      </c>
      <c r="H2" s="14" t="s">
        <v>140</v>
      </c>
      <c r="I2" s="16">
        <v>0.017175925925925924</v>
      </c>
      <c r="J2" s="16">
        <v>0.08879629629629629</v>
      </c>
      <c r="K2" s="16">
        <v>0.054224537037037036</v>
      </c>
      <c r="L2" s="17">
        <v>0.1618287037037037</v>
      </c>
    </row>
    <row r="3">
      <c r="A3" s="7">
        <v>2.0</v>
      </c>
      <c r="B3" s="13">
        <v>57.0</v>
      </c>
      <c r="C3" s="14">
        <v>2.0</v>
      </c>
      <c r="D3" s="14">
        <v>2.0</v>
      </c>
      <c r="E3" s="15" t="s">
        <v>141</v>
      </c>
      <c r="F3" s="14">
        <v>15.0</v>
      </c>
      <c r="G3" s="14" t="s">
        <v>139</v>
      </c>
      <c r="H3" s="14" t="s">
        <v>142</v>
      </c>
      <c r="I3" s="16">
        <v>0.018113425925925925</v>
      </c>
      <c r="J3" s="16">
        <v>0.09144675925925926</v>
      </c>
      <c r="K3" s="16">
        <v>0.05320601851851852</v>
      </c>
      <c r="L3" s="17">
        <v>0.1646412037037037</v>
      </c>
    </row>
    <row r="4">
      <c r="A4" s="7">
        <v>3.0</v>
      </c>
      <c r="B4" s="13">
        <v>62.0</v>
      </c>
      <c r="C4" s="14">
        <v>3.0</v>
      </c>
      <c r="D4" s="14">
        <v>3.0</v>
      </c>
      <c r="E4" s="15" t="s">
        <v>143</v>
      </c>
      <c r="F4" s="14">
        <v>33.0</v>
      </c>
      <c r="G4" s="14" t="s">
        <v>139</v>
      </c>
      <c r="H4" s="14" t="s">
        <v>144</v>
      </c>
      <c r="I4" s="16">
        <v>0.01726851851851852</v>
      </c>
      <c r="J4" s="16">
        <v>0.09027777777777778</v>
      </c>
      <c r="K4" s="16">
        <v>0.055879629629629626</v>
      </c>
      <c r="L4" s="17">
        <v>0.1652199074074074</v>
      </c>
    </row>
    <row r="5">
      <c r="A5" s="7">
        <v>4.0</v>
      </c>
      <c r="B5" s="13">
        <v>65.0</v>
      </c>
      <c r="C5" s="14">
        <v>4.0</v>
      </c>
      <c r="D5" s="14">
        <v>4.0</v>
      </c>
      <c r="E5" s="15" t="s">
        <v>145</v>
      </c>
      <c r="F5" s="14">
        <v>3.0</v>
      </c>
      <c r="G5" s="14" t="s">
        <v>139</v>
      </c>
      <c r="H5" s="14" t="s">
        <v>142</v>
      </c>
      <c r="I5" s="16">
        <v>0.018252314814814815</v>
      </c>
      <c r="J5" s="16">
        <v>0.0915162037037037</v>
      </c>
      <c r="K5" s="16">
        <v>0.0540625</v>
      </c>
      <c r="L5" s="17">
        <v>0.1656712962962963</v>
      </c>
    </row>
    <row r="6">
      <c r="A6" s="7">
        <v>5.0</v>
      </c>
      <c r="B6" s="13">
        <v>73.0</v>
      </c>
      <c r="C6" s="14">
        <v>5.0</v>
      </c>
      <c r="D6" s="14">
        <v>5.0</v>
      </c>
      <c r="E6" s="15" t="s">
        <v>146</v>
      </c>
      <c r="F6" s="14">
        <v>2.0</v>
      </c>
      <c r="G6" s="14" t="s">
        <v>139</v>
      </c>
      <c r="H6" s="14" t="s">
        <v>147</v>
      </c>
      <c r="I6" s="16">
        <v>0.018194444444444444</v>
      </c>
      <c r="J6" s="16">
        <v>0.09149305555555555</v>
      </c>
      <c r="K6" s="16">
        <v>0.05552083333333333</v>
      </c>
      <c r="L6" s="17">
        <v>0.16703703703703704</v>
      </c>
    </row>
    <row r="7">
      <c r="A7" s="7">
        <v>6.0</v>
      </c>
      <c r="B7" s="13">
        <v>91.0</v>
      </c>
      <c r="C7" s="14">
        <v>6.0</v>
      </c>
      <c r="D7" s="14">
        <v>6.0</v>
      </c>
      <c r="E7" s="15" t="s">
        <v>148</v>
      </c>
      <c r="F7" s="14">
        <v>9.0</v>
      </c>
      <c r="G7" s="14" t="s">
        <v>139</v>
      </c>
      <c r="H7" s="14" t="s">
        <v>149</v>
      </c>
      <c r="I7" s="16">
        <v>0.0190625</v>
      </c>
      <c r="J7" s="16">
        <v>0.09164351851851851</v>
      </c>
      <c r="K7" s="16">
        <v>0.05578703703703704</v>
      </c>
      <c r="L7" s="17">
        <v>0.16836805555555556</v>
      </c>
    </row>
    <row r="8">
      <c r="A8" s="7">
        <v>7.0</v>
      </c>
      <c r="B8" s="13">
        <v>95.0</v>
      </c>
      <c r="C8" s="14">
        <v>7.0</v>
      </c>
      <c r="D8" s="14">
        <v>7.0</v>
      </c>
      <c r="E8" s="15" t="s">
        <v>150</v>
      </c>
      <c r="F8" s="14">
        <v>16.0</v>
      </c>
      <c r="G8" s="14" t="s">
        <v>139</v>
      </c>
      <c r="H8" s="14" t="s">
        <v>151</v>
      </c>
      <c r="I8" s="16">
        <v>0.01853009259259259</v>
      </c>
      <c r="J8" s="16">
        <v>0.09326388888888888</v>
      </c>
      <c r="K8" s="16">
        <v>0.055127314814814816</v>
      </c>
      <c r="L8" s="17">
        <v>0.1688888888888889</v>
      </c>
    </row>
    <row r="9">
      <c r="A9" s="7">
        <v>8.0</v>
      </c>
      <c r="B9" s="13">
        <v>99.0</v>
      </c>
      <c r="C9" s="14">
        <v>8.0</v>
      </c>
      <c r="D9" s="14">
        <v>8.0</v>
      </c>
      <c r="E9" s="15" t="s">
        <v>152</v>
      </c>
      <c r="F9" s="14">
        <v>34.0</v>
      </c>
      <c r="G9" s="14" t="s">
        <v>139</v>
      </c>
      <c r="H9" s="14" t="s">
        <v>153</v>
      </c>
      <c r="I9" s="16">
        <v>0.019212962962962963</v>
      </c>
      <c r="J9" s="16">
        <v>0.09158564814814815</v>
      </c>
      <c r="K9" s="16">
        <v>0.056469907407407406</v>
      </c>
      <c r="L9" s="17">
        <v>0.16908564814814814</v>
      </c>
    </row>
    <row r="10">
      <c r="A10" s="7">
        <v>9.0</v>
      </c>
      <c r="B10" s="13">
        <v>102.0</v>
      </c>
      <c r="C10" s="14">
        <v>9.0</v>
      </c>
      <c r="D10" s="14">
        <v>9.0</v>
      </c>
      <c r="E10" s="15" t="s">
        <v>154</v>
      </c>
      <c r="F10" s="14">
        <v>4.0</v>
      </c>
      <c r="G10" s="14" t="s">
        <v>139</v>
      </c>
      <c r="H10" s="14" t="s">
        <v>144</v>
      </c>
      <c r="I10" s="16">
        <v>0.018159722222222223</v>
      </c>
      <c r="J10" s="16">
        <v>0.09150462962962963</v>
      </c>
      <c r="K10" s="16">
        <v>0.0578125</v>
      </c>
      <c r="L10" s="17">
        <v>0.16940972222222223</v>
      </c>
    </row>
    <row r="11">
      <c r="A11" s="7">
        <v>10.0</v>
      </c>
      <c r="B11" s="13">
        <v>128.0</v>
      </c>
      <c r="C11" s="14">
        <v>10.0</v>
      </c>
      <c r="D11" s="14">
        <v>10.0</v>
      </c>
      <c r="E11" s="15" t="s">
        <v>155</v>
      </c>
      <c r="F11" s="14">
        <v>12.0</v>
      </c>
      <c r="G11" s="14" t="s">
        <v>139</v>
      </c>
      <c r="H11" s="14" t="s">
        <v>149</v>
      </c>
      <c r="I11" s="16">
        <v>0.019780092592592592</v>
      </c>
      <c r="J11" s="16">
        <v>0.09342592592592593</v>
      </c>
      <c r="K11" s="16">
        <v>0.05606481481481482</v>
      </c>
      <c r="L11" s="17">
        <v>0.17103009259259258</v>
      </c>
    </row>
    <row r="12">
      <c r="A12" s="7">
        <v>11.0</v>
      </c>
      <c r="B12" s="13">
        <v>142.0</v>
      </c>
      <c r="C12" s="14">
        <v>11.0</v>
      </c>
      <c r="D12" s="14">
        <v>11.0</v>
      </c>
      <c r="E12" s="15" t="s">
        <v>156</v>
      </c>
      <c r="F12" s="14">
        <v>11.0</v>
      </c>
      <c r="G12" s="14" t="s">
        <v>139</v>
      </c>
      <c r="H12" s="14" t="s">
        <v>147</v>
      </c>
      <c r="I12" s="16">
        <v>0.018252314814814815</v>
      </c>
      <c r="J12" s="16">
        <v>0.09921296296296296</v>
      </c>
      <c r="K12" s="16">
        <v>0.05273148148148148</v>
      </c>
      <c r="L12" s="17">
        <v>0.17215277777777777</v>
      </c>
    </row>
    <row r="13">
      <c r="A13" s="7">
        <v>12.0</v>
      </c>
      <c r="B13" s="13">
        <v>167.0</v>
      </c>
      <c r="C13" s="14">
        <v>12.0</v>
      </c>
      <c r="D13" s="14">
        <v>12.0</v>
      </c>
      <c r="E13" s="15" t="s">
        <v>157</v>
      </c>
      <c r="F13" s="14">
        <v>45.0</v>
      </c>
      <c r="G13" s="14" t="s">
        <v>139</v>
      </c>
      <c r="H13" s="14" t="s">
        <v>158</v>
      </c>
      <c r="I13" s="16">
        <v>0.019131944444444444</v>
      </c>
      <c r="J13" s="16">
        <v>0.09450231481481482</v>
      </c>
      <c r="K13" s="16">
        <v>0.05768518518518519</v>
      </c>
      <c r="L13" s="17">
        <v>0.17324074074074075</v>
      </c>
    </row>
    <row r="14">
      <c r="A14" s="7">
        <v>13.0</v>
      </c>
      <c r="B14" s="13">
        <v>184.0</v>
      </c>
      <c r="C14" s="14">
        <v>13.0</v>
      </c>
      <c r="D14" s="14">
        <v>13.0</v>
      </c>
      <c r="E14" s="15" t="s">
        <v>159</v>
      </c>
      <c r="F14" s="14">
        <v>18.0</v>
      </c>
      <c r="G14" s="14" t="s">
        <v>139</v>
      </c>
      <c r="H14" s="14" t="s">
        <v>160</v>
      </c>
      <c r="I14" s="16">
        <v>0.018113425925925925</v>
      </c>
      <c r="J14" s="16">
        <v>0.0981712962962963</v>
      </c>
      <c r="K14" s="16">
        <v>0.0553125</v>
      </c>
      <c r="L14" s="17">
        <v>0.17349537037037038</v>
      </c>
    </row>
    <row r="15">
      <c r="A15" s="7">
        <v>14.0</v>
      </c>
      <c r="B15" s="13">
        <v>199.0</v>
      </c>
      <c r="C15" s="14">
        <v>14.0</v>
      </c>
      <c r="D15" s="14">
        <v>14.0</v>
      </c>
      <c r="E15" s="15" t="s">
        <v>161</v>
      </c>
      <c r="F15" s="14">
        <v>31.0</v>
      </c>
      <c r="G15" s="14" t="s">
        <v>139</v>
      </c>
      <c r="H15" s="14" t="s">
        <v>162</v>
      </c>
      <c r="I15" s="16">
        <v>0.01853009259259259</v>
      </c>
      <c r="J15" s="16">
        <v>0.09534722222222222</v>
      </c>
      <c r="K15" s="16">
        <v>0.058298611111111114</v>
      </c>
      <c r="L15" s="17">
        <v>0.17443287037037036</v>
      </c>
    </row>
    <row r="16">
      <c r="A16" s="7">
        <v>15.0</v>
      </c>
      <c r="B16" s="13">
        <v>211.0</v>
      </c>
      <c r="C16" s="14">
        <v>15.0</v>
      </c>
      <c r="D16" s="14">
        <v>15.0</v>
      </c>
      <c r="E16" s="15" t="s">
        <v>163</v>
      </c>
      <c r="F16" s="14">
        <v>35.0</v>
      </c>
      <c r="G16" s="14" t="s">
        <v>139</v>
      </c>
      <c r="H16" s="14" t="s">
        <v>164</v>
      </c>
      <c r="I16" s="16">
        <v>0.01982638888888889</v>
      </c>
      <c r="J16" s="16">
        <v>0.09731481481481481</v>
      </c>
      <c r="K16" s="16">
        <v>0.05616898148148148</v>
      </c>
      <c r="L16" s="17">
        <v>0.17498842592592592</v>
      </c>
    </row>
    <row r="17">
      <c r="A17" s="7">
        <v>16.0</v>
      </c>
      <c r="B17" s="13">
        <v>219.0</v>
      </c>
      <c r="C17" s="14">
        <v>16.0</v>
      </c>
      <c r="D17" s="14">
        <v>16.0</v>
      </c>
      <c r="E17" s="15" t="s">
        <v>165</v>
      </c>
      <c r="F17" s="14">
        <v>46.0</v>
      </c>
      <c r="G17" s="14" t="s">
        <v>139</v>
      </c>
      <c r="H17" s="14" t="s">
        <v>142</v>
      </c>
      <c r="I17" s="16">
        <v>0.018159722222222223</v>
      </c>
      <c r="J17" s="16">
        <v>0.09690972222222222</v>
      </c>
      <c r="K17" s="16">
        <v>0.05820601851851852</v>
      </c>
      <c r="L17" s="17">
        <v>0.17520833333333333</v>
      </c>
    </row>
    <row r="18">
      <c r="A18" s="7">
        <v>17.0</v>
      </c>
      <c r="B18" s="13">
        <v>224.0</v>
      </c>
      <c r="C18" s="14">
        <v>17.0</v>
      </c>
      <c r="D18" s="14">
        <v>17.0</v>
      </c>
      <c r="E18" s="15" t="s">
        <v>166</v>
      </c>
      <c r="F18" s="14">
        <v>47.0</v>
      </c>
      <c r="G18" s="14" t="s">
        <v>139</v>
      </c>
      <c r="H18" s="14" t="s">
        <v>167</v>
      </c>
      <c r="I18" s="16">
        <v>0.019930555555555556</v>
      </c>
      <c r="J18" s="16">
        <v>0.09708333333333333</v>
      </c>
      <c r="K18" s="16">
        <v>0.05650462962962963</v>
      </c>
      <c r="L18" s="17">
        <v>0.1753125</v>
      </c>
    </row>
    <row r="19">
      <c r="A19" s="7">
        <v>18.0</v>
      </c>
      <c r="B19" s="13">
        <v>247.0</v>
      </c>
      <c r="C19" s="14">
        <v>18.0</v>
      </c>
      <c r="D19" s="14">
        <v>18.0</v>
      </c>
      <c r="E19" s="15" t="s">
        <v>168</v>
      </c>
      <c r="F19" s="14">
        <v>26.0</v>
      </c>
      <c r="G19" s="14" t="s">
        <v>139</v>
      </c>
      <c r="H19" s="14" t="s">
        <v>169</v>
      </c>
      <c r="I19" s="16">
        <v>0.01929398148148148</v>
      </c>
      <c r="J19" s="16">
        <v>0.09792824074074075</v>
      </c>
      <c r="K19" s="16">
        <v>0.05724537037037037</v>
      </c>
      <c r="L19" s="17">
        <v>0.17631944444444445</v>
      </c>
    </row>
    <row r="20">
      <c r="A20" s="7">
        <v>19.0</v>
      </c>
      <c r="B20" s="13">
        <v>252.0</v>
      </c>
      <c r="C20" s="14">
        <v>19.0</v>
      </c>
      <c r="D20" s="14">
        <v>19.0</v>
      </c>
      <c r="E20" s="15" t="s">
        <v>170</v>
      </c>
      <c r="F20" s="14">
        <v>39.0</v>
      </c>
      <c r="G20" s="14" t="s">
        <v>139</v>
      </c>
      <c r="H20" s="14" t="s">
        <v>153</v>
      </c>
      <c r="I20" s="16">
        <v>0.018113425925925925</v>
      </c>
      <c r="J20" s="16">
        <v>0.09550925925925927</v>
      </c>
      <c r="K20" s="16">
        <v>0.060821759259259256</v>
      </c>
      <c r="L20" s="17">
        <v>0.17644675925925926</v>
      </c>
    </row>
    <row r="21">
      <c r="A21" s="7">
        <v>20.0</v>
      </c>
      <c r="B21" s="13">
        <v>254.0</v>
      </c>
      <c r="C21" s="14">
        <v>20.0</v>
      </c>
      <c r="D21" s="14">
        <v>20.0</v>
      </c>
      <c r="E21" s="15" t="s">
        <v>171</v>
      </c>
      <c r="F21" s="14">
        <v>8.0</v>
      </c>
      <c r="G21" s="14" t="s">
        <v>139</v>
      </c>
      <c r="H21" s="14" t="s">
        <v>140</v>
      </c>
      <c r="I21" s="16">
        <v>0.018993055555555555</v>
      </c>
      <c r="J21" s="16">
        <v>0.09821759259259259</v>
      </c>
      <c r="K21" s="16">
        <v>0.05739583333333333</v>
      </c>
      <c r="L21" s="17">
        <v>0.17653935185185185</v>
      </c>
    </row>
    <row r="22">
      <c r="A22" s="7">
        <v>21.0</v>
      </c>
      <c r="B22" s="13">
        <v>263.0</v>
      </c>
      <c r="C22" s="14">
        <v>21.0</v>
      </c>
      <c r="D22" s="14">
        <v>21.0</v>
      </c>
      <c r="E22" s="15" t="s">
        <v>172</v>
      </c>
      <c r="F22" s="14">
        <v>57.0</v>
      </c>
      <c r="G22" s="14" t="s">
        <v>139</v>
      </c>
      <c r="H22" s="14" t="s">
        <v>140</v>
      </c>
      <c r="I22" s="16">
        <v>0.019050925925925926</v>
      </c>
      <c r="J22" s="16">
        <v>0.09824074074074074</v>
      </c>
      <c r="K22" s="16">
        <v>0.05775462962962963</v>
      </c>
      <c r="L22" s="17">
        <v>0.17690972222222223</v>
      </c>
    </row>
    <row r="23">
      <c r="A23" s="7">
        <v>22.0</v>
      </c>
      <c r="B23" s="13">
        <v>270.0</v>
      </c>
      <c r="C23" s="14">
        <v>22.0</v>
      </c>
      <c r="D23" s="14">
        <v>22.0</v>
      </c>
      <c r="E23" s="15" t="s">
        <v>173</v>
      </c>
      <c r="F23" s="14">
        <v>28.0</v>
      </c>
      <c r="G23" s="14" t="s">
        <v>139</v>
      </c>
      <c r="H23" s="14" t="s">
        <v>151</v>
      </c>
      <c r="I23" s="16">
        <v>0.01915509259259259</v>
      </c>
      <c r="J23" s="16">
        <v>0.09723379629629629</v>
      </c>
      <c r="K23" s="16">
        <v>0.058680555555555555</v>
      </c>
      <c r="L23" s="17">
        <v>0.1772337962962963</v>
      </c>
    </row>
    <row r="24">
      <c r="A24" s="7">
        <v>23.0</v>
      </c>
      <c r="B24" s="13">
        <v>292.0</v>
      </c>
      <c r="C24" s="14">
        <v>23.0</v>
      </c>
      <c r="D24" s="14">
        <v>23.0</v>
      </c>
      <c r="E24" s="15" t="s">
        <v>174</v>
      </c>
      <c r="F24" s="14">
        <v>42.0</v>
      </c>
      <c r="G24" s="14" t="s">
        <v>139</v>
      </c>
      <c r="H24" s="14" t="s">
        <v>151</v>
      </c>
      <c r="I24" s="16">
        <v>0.019097222222222224</v>
      </c>
      <c r="J24" s="16">
        <v>0.09805555555555556</v>
      </c>
      <c r="K24" s="16">
        <v>0.05873842592592592</v>
      </c>
      <c r="L24" s="17">
        <v>0.1776851851851852</v>
      </c>
    </row>
    <row r="25">
      <c r="A25" s="7">
        <v>24.0</v>
      </c>
      <c r="B25" s="13">
        <v>298.0</v>
      </c>
      <c r="C25" s="14">
        <v>24.0</v>
      </c>
      <c r="D25" s="14">
        <v>24.0</v>
      </c>
      <c r="E25" s="15" t="s">
        <v>175</v>
      </c>
      <c r="F25" s="14">
        <v>19.0</v>
      </c>
      <c r="G25" s="14" t="s">
        <v>139</v>
      </c>
      <c r="H25" s="14" t="s">
        <v>140</v>
      </c>
      <c r="I25" s="16">
        <v>0.021701388888888888</v>
      </c>
      <c r="J25" s="16">
        <v>0.09534722222222222</v>
      </c>
      <c r="K25" s="16">
        <v>0.058923611111111114</v>
      </c>
      <c r="L25" s="17">
        <v>0.17778935185185185</v>
      </c>
    </row>
    <row r="26">
      <c r="A26" s="7">
        <v>25.0</v>
      </c>
      <c r="B26" s="13">
        <v>313.0</v>
      </c>
      <c r="C26" s="14">
        <v>25.0</v>
      </c>
      <c r="D26" s="14">
        <v>25.0</v>
      </c>
      <c r="E26" s="15" t="s">
        <v>176</v>
      </c>
      <c r="F26" s="14">
        <v>24.0</v>
      </c>
      <c r="G26" s="14" t="s">
        <v>139</v>
      </c>
      <c r="H26" s="14" t="s">
        <v>177</v>
      </c>
      <c r="I26" s="16">
        <v>0.01986111111111111</v>
      </c>
      <c r="J26" s="16">
        <v>0.09517361111111111</v>
      </c>
      <c r="K26" s="16">
        <v>0.06081018518518518</v>
      </c>
      <c r="L26" s="17">
        <v>0.17814814814814814</v>
      </c>
    </row>
    <row r="27">
      <c r="A27" s="7">
        <v>26.0</v>
      </c>
      <c r="B27" s="13">
        <v>324.0</v>
      </c>
      <c r="C27" s="14">
        <v>26.0</v>
      </c>
      <c r="D27" s="14">
        <v>26.0</v>
      </c>
      <c r="E27" s="15" t="s">
        <v>178</v>
      </c>
      <c r="F27" s="14">
        <v>38.0</v>
      </c>
      <c r="G27" s="14" t="s">
        <v>139</v>
      </c>
      <c r="H27" s="14" t="s">
        <v>149</v>
      </c>
      <c r="I27" s="16">
        <v>0.01976851851851852</v>
      </c>
      <c r="J27" s="16">
        <v>0.09981481481481481</v>
      </c>
      <c r="K27" s="16">
        <v>0.05681712962962963</v>
      </c>
      <c r="L27" s="17">
        <v>0.1783912037037037</v>
      </c>
    </row>
    <row r="28">
      <c r="A28" s="7">
        <v>27.0</v>
      </c>
      <c r="B28" s="13">
        <v>382.0</v>
      </c>
      <c r="C28" s="14">
        <v>27.0</v>
      </c>
      <c r="D28" s="14">
        <v>27.0</v>
      </c>
      <c r="E28" s="15" t="s">
        <v>179</v>
      </c>
      <c r="F28" s="14">
        <v>44.0</v>
      </c>
      <c r="G28" s="14" t="s">
        <v>139</v>
      </c>
      <c r="H28" s="14" t="s">
        <v>180</v>
      </c>
      <c r="I28" s="16">
        <v>0.01846064814814815</v>
      </c>
      <c r="J28" s="16">
        <v>0.09814814814814815</v>
      </c>
      <c r="K28" s="16">
        <v>0.06086805555555556</v>
      </c>
      <c r="L28" s="17">
        <v>0.17983796296296295</v>
      </c>
    </row>
    <row r="29">
      <c r="A29" s="7">
        <v>28.0</v>
      </c>
      <c r="B29" s="13">
        <v>446.0</v>
      </c>
      <c r="C29" s="14">
        <v>28.0</v>
      </c>
      <c r="D29" s="14">
        <v>28.0</v>
      </c>
      <c r="E29" s="15" t="s">
        <v>181</v>
      </c>
      <c r="F29" s="14">
        <v>49.0</v>
      </c>
      <c r="G29" s="14" t="s">
        <v>139</v>
      </c>
      <c r="H29" s="14" t="s">
        <v>151</v>
      </c>
      <c r="I29" s="16">
        <v>0.018194444444444444</v>
      </c>
      <c r="J29" s="16">
        <v>0.10099537037037037</v>
      </c>
      <c r="K29" s="16">
        <v>0.06028935185185185</v>
      </c>
      <c r="L29" s="17">
        <v>0.1814236111111111</v>
      </c>
    </row>
    <row r="30">
      <c r="A30" s="7">
        <v>29.0</v>
      </c>
      <c r="B30" s="13">
        <v>466.0</v>
      </c>
      <c r="C30" s="14">
        <v>29.0</v>
      </c>
      <c r="D30" s="14">
        <v>29.0</v>
      </c>
      <c r="E30" s="15" t="s">
        <v>182</v>
      </c>
      <c r="F30" s="14">
        <v>48.0</v>
      </c>
      <c r="G30" s="14" t="s">
        <v>139</v>
      </c>
      <c r="H30" s="14" t="s">
        <v>149</v>
      </c>
      <c r="I30" s="16">
        <v>0.021296296296296296</v>
      </c>
      <c r="J30" s="16">
        <v>0.10032407407407408</v>
      </c>
      <c r="K30" s="16">
        <v>0.05824074074074074</v>
      </c>
      <c r="L30" s="17">
        <v>0.18199074074074073</v>
      </c>
    </row>
    <row r="31">
      <c r="A31" s="7">
        <v>30.0</v>
      </c>
      <c r="B31" s="13">
        <v>475.0</v>
      </c>
      <c r="C31" s="14">
        <v>30.0</v>
      </c>
      <c r="D31" s="14">
        <v>1.0</v>
      </c>
      <c r="E31" s="15" t="s">
        <v>183</v>
      </c>
      <c r="F31" s="14">
        <v>2063.0</v>
      </c>
      <c r="G31" s="14" t="s">
        <v>184</v>
      </c>
      <c r="H31" s="14" t="s">
        <v>151</v>
      </c>
      <c r="I31" s="16">
        <v>0.0225</v>
      </c>
      <c r="J31" s="16">
        <v>0.0944212962962963</v>
      </c>
      <c r="K31" s="16">
        <v>0.06039351851851852</v>
      </c>
      <c r="L31" s="17">
        <v>0.18215277777777777</v>
      </c>
    </row>
    <row r="32">
      <c r="A32" s="7">
        <v>31.0</v>
      </c>
      <c r="B32" s="13">
        <v>506.0</v>
      </c>
      <c r="C32" s="14">
        <v>31.0</v>
      </c>
      <c r="D32" s="14">
        <v>1.0</v>
      </c>
      <c r="E32" s="15" t="s">
        <v>185</v>
      </c>
      <c r="F32" s="14">
        <v>922.0</v>
      </c>
      <c r="G32" s="14" t="s">
        <v>186</v>
      </c>
      <c r="H32" s="14" t="s">
        <v>187</v>
      </c>
      <c r="I32" s="16">
        <v>0.021145833333333332</v>
      </c>
      <c r="J32" s="16">
        <v>0.09743055555555556</v>
      </c>
      <c r="K32" s="16">
        <v>0.059756944444444446</v>
      </c>
      <c r="L32" s="17">
        <v>0.18282407407407408</v>
      </c>
    </row>
    <row r="33">
      <c r="A33" s="7">
        <v>32.0</v>
      </c>
      <c r="B33" s="13">
        <v>517.0</v>
      </c>
      <c r="C33" s="14">
        <v>32.0</v>
      </c>
      <c r="D33" s="14">
        <v>30.0</v>
      </c>
      <c r="E33" s="15" t="s">
        <v>188</v>
      </c>
      <c r="F33" s="14">
        <v>40.0</v>
      </c>
      <c r="G33" s="14" t="s">
        <v>139</v>
      </c>
      <c r="H33" s="14" t="s">
        <v>151</v>
      </c>
      <c r="I33" s="16">
        <v>0.01855324074074074</v>
      </c>
      <c r="J33" s="16">
        <v>0.09587962962962963</v>
      </c>
      <c r="K33" s="16">
        <v>0.06625</v>
      </c>
      <c r="L33" s="17">
        <v>0.18309027777777778</v>
      </c>
    </row>
    <row r="34">
      <c r="A34" s="7">
        <v>33.0</v>
      </c>
      <c r="B34" s="13">
        <v>544.0</v>
      </c>
      <c r="C34" s="14">
        <v>33.0</v>
      </c>
      <c r="D34" s="14">
        <v>31.0</v>
      </c>
      <c r="E34" s="15" t="s">
        <v>189</v>
      </c>
      <c r="F34" s="14">
        <v>20.0</v>
      </c>
      <c r="G34" s="14" t="s">
        <v>139</v>
      </c>
      <c r="H34" s="14" t="s">
        <v>147</v>
      </c>
      <c r="I34" s="16">
        <v>0.01920138888888889</v>
      </c>
      <c r="J34" s="16">
        <v>0.10052083333333334</v>
      </c>
      <c r="K34" s="16">
        <v>0.062060185185185184</v>
      </c>
      <c r="L34" s="17">
        <v>0.18358796296296295</v>
      </c>
    </row>
    <row r="35">
      <c r="A35" s="7">
        <v>34.0</v>
      </c>
      <c r="B35" s="13">
        <v>576.0</v>
      </c>
      <c r="C35" s="14">
        <v>34.0</v>
      </c>
      <c r="D35" s="14">
        <v>32.0</v>
      </c>
      <c r="E35" s="15" t="s">
        <v>190</v>
      </c>
      <c r="F35" s="14">
        <v>54.0</v>
      </c>
      <c r="G35" s="14" t="s">
        <v>139</v>
      </c>
      <c r="H35" s="14" t="s">
        <v>151</v>
      </c>
      <c r="I35" s="16">
        <v>0.02133101851851852</v>
      </c>
      <c r="J35" s="16">
        <v>0.1017824074074074</v>
      </c>
      <c r="K35" s="16">
        <v>0.058993055555555556</v>
      </c>
      <c r="L35" s="17">
        <v>0.18407407407407408</v>
      </c>
    </row>
    <row r="36">
      <c r="A36" s="7">
        <v>35.0</v>
      </c>
      <c r="B36" s="13">
        <v>584.0</v>
      </c>
      <c r="C36" s="14">
        <v>35.0</v>
      </c>
      <c r="D36" s="14">
        <v>33.0</v>
      </c>
      <c r="E36" s="15" t="s">
        <v>191</v>
      </c>
      <c r="F36" s="14">
        <v>25.0</v>
      </c>
      <c r="G36" s="14" t="s">
        <v>139</v>
      </c>
      <c r="H36" s="14" t="s">
        <v>192</v>
      </c>
      <c r="I36" s="16">
        <v>0.01915509259259259</v>
      </c>
      <c r="J36" s="16">
        <v>0.10443287037037037</v>
      </c>
      <c r="K36" s="16">
        <v>0.058854166666666666</v>
      </c>
      <c r="L36" s="17">
        <v>0.18421296296296297</v>
      </c>
    </row>
    <row r="37">
      <c r="A37" s="7">
        <v>36.0</v>
      </c>
      <c r="B37" s="13">
        <v>603.0</v>
      </c>
      <c r="C37" s="14">
        <v>36.0</v>
      </c>
      <c r="D37" s="14">
        <v>2.0</v>
      </c>
      <c r="E37" s="15" t="s">
        <v>193</v>
      </c>
      <c r="F37" s="14">
        <v>1151.0</v>
      </c>
      <c r="G37" s="14" t="s">
        <v>186</v>
      </c>
      <c r="H37" s="14" t="s">
        <v>142</v>
      </c>
      <c r="I37" s="16">
        <v>0.02255787037037037</v>
      </c>
      <c r="J37" s="16">
        <v>0.09699074074074074</v>
      </c>
      <c r="K37" s="16">
        <v>0.05974537037037037</v>
      </c>
      <c r="L37" s="17">
        <v>0.18466435185185184</v>
      </c>
    </row>
    <row r="38">
      <c r="A38" s="7">
        <v>37.0</v>
      </c>
      <c r="B38" s="13">
        <v>608.0</v>
      </c>
      <c r="C38" s="14">
        <v>37.0</v>
      </c>
      <c r="D38" s="14">
        <v>34.0</v>
      </c>
      <c r="E38" s="15" t="s">
        <v>194</v>
      </c>
      <c r="F38" s="14">
        <v>22.0</v>
      </c>
      <c r="G38" s="14" t="s">
        <v>139</v>
      </c>
      <c r="H38" s="14" t="s">
        <v>149</v>
      </c>
      <c r="I38" s="16">
        <v>0.01726851851851852</v>
      </c>
      <c r="J38" s="16">
        <v>0.10061342592592593</v>
      </c>
      <c r="K38" s="16">
        <v>0.06498842592592592</v>
      </c>
      <c r="L38" s="17">
        <v>0.18474537037037037</v>
      </c>
    </row>
    <row r="39">
      <c r="A39" s="7">
        <v>38.0</v>
      </c>
      <c r="B39" s="13">
        <v>611.0</v>
      </c>
      <c r="C39" s="14">
        <v>38.0</v>
      </c>
      <c r="D39" s="14">
        <v>35.0</v>
      </c>
      <c r="E39" s="15" t="s">
        <v>195</v>
      </c>
      <c r="F39" s="14">
        <v>23.0</v>
      </c>
      <c r="G39" s="14" t="s">
        <v>139</v>
      </c>
      <c r="H39" s="14" t="s">
        <v>196</v>
      </c>
      <c r="I39" s="16">
        <v>0.017175925925925924</v>
      </c>
      <c r="J39" s="16">
        <v>0.09886574074074074</v>
      </c>
      <c r="K39" s="16">
        <v>0.06681712962962963</v>
      </c>
      <c r="L39" s="17">
        <v>0.18481481481481482</v>
      </c>
    </row>
    <row r="40">
      <c r="A40" s="7">
        <v>39.0</v>
      </c>
      <c r="B40" s="13">
        <v>650.0</v>
      </c>
      <c r="C40" s="14">
        <v>39.0</v>
      </c>
      <c r="D40" s="14">
        <v>1.0</v>
      </c>
      <c r="E40" s="15" t="s">
        <v>197</v>
      </c>
      <c r="F40" s="14">
        <v>1803.0</v>
      </c>
      <c r="G40" s="14" t="s">
        <v>198</v>
      </c>
      <c r="H40" s="14" t="s">
        <v>142</v>
      </c>
      <c r="I40" s="16">
        <v>0.018055555555555554</v>
      </c>
      <c r="J40" s="16">
        <v>0.09768518518518518</v>
      </c>
      <c r="K40" s="16">
        <v>0.06460648148148149</v>
      </c>
      <c r="L40" s="17">
        <v>0.1855439814814815</v>
      </c>
    </row>
    <row r="41">
      <c r="A41" s="7">
        <v>40.0</v>
      </c>
      <c r="B41" s="13">
        <v>696.0</v>
      </c>
      <c r="C41" s="14">
        <v>40.0</v>
      </c>
      <c r="D41" s="14">
        <v>2.0</v>
      </c>
      <c r="E41" s="15" t="s">
        <v>199</v>
      </c>
      <c r="F41" s="14">
        <v>1884.0</v>
      </c>
      <c r="G41" s="14" t="s">
        <v>198</v>
      </c>
      <c r="H41" s="14" t="s">
        <v>142</v>
      </c>
      <c r="I41" s="16">
        <v>0.02236111111111111</v>
      </c>
      <c r="J41" s="16">
        <v>0.09923611111111111</v>
      </c>
      <c r="K41" s="16">
        <v>0.0600462962962963</v>
      </c>
      <c r="L41" s="17">
        <v>0.18614583333333334</v>
      </c>
    </row>
    <row r="42">
      <c r="A42" s="7">
        <v>41.0</v>
      </c>
      <c r="B42" s="13">
        <v>735.0</v>
      </c>
      <c r="C42" s="14">
        <v>41.0</v>
      </c>
      <c r="D42" s="14">
        <v>1.0</v>
      </c>
      <c r="E42" s="15" t="s">
        <v>200</v>
      </c>
      <c r="F42" s="14">
        <v>652.0</v>
      </c>
      <c r="G42" s="14" t="s">
        <v>201</v>
      </c>
      <c r="H42" s="14" t="s">
        <v>147</v>
      </c>
      <c r="I42" s="16">
        <v>0.026226851851851852</v>
      </c>
      <c r="J42" s="16">
        <v>0.09655092592592593</v>
      </c>
      <c r="K42" s="16">
        <v>0.05928240740740741</v>
      </c>
      <c r="L42" s="17">
        <v>0.18663194444444445</v>
      </c>
    </row>
    <row r="43">
      <c r="A43" s="7">
        <v>42.0</v>
      </c>
      <c r="B43" s="13">
        <v>752.0</v>
      </c>
      <c r="C43" s="14">
        <v>42.0</v>
      </c>
      <c r="D43" s="14">
        <v>2.0</v>
      </c>
      <c r="E43" s="15" t="s">
        <v>202</v>
      </c>
      <c r="F43" s="14">
        <v>755.0</v>
      </c>
      <c r="G43" s="14" t="s">
        <v>201</v>
      </c>
      <c r="H43" s="14" t="s">
        <v>169</v>
      </c>
      <c r="I43" s="16">
        <v>0.020671296296296295</v>
      </c>
      <c r="J43" s="16">
        <v>0.10091435185185185</v>
      </c>
      <c r="K43" s="16">
        <v>0.0597337962962963</v>
      </c>
      <c r="L43" s="17">
        <v>0.18685185185185185</v>
      </c>
    </row>
    <row r="44">
      <c r="A44" s="7">
        <v>43.0</v>
      </c>
      <c r="B44" s="13">
        <v>760.0</v>
      </c>
      <c r="C44" s="14">
        <v>43.0</v>
      </c>
      <c r="D44" s="14">
        <v>3.0</v>
      </c>
      <c r="E44" s="15" t="s">
        <v>203</v>
      </c>
      <c r="F44" s="14">
        <v>1797.0</v>
      </c>
      <c r="G44" s="14" t="s">
        <v>198</v>
      </c>
      <c r="H44" s="14" t="s">
        <v>144</v>
      </c>
      <c r="I44" s="16">
        <v>0.021041666666666667</v>
      </c>
      <c r="J44" s="16">
        <v>0.09954861111111112</v>
      </c>
      <c r="K44" s="16">
        <v>0.06099537037037037</v>
      </c>
      <c r="L44" s="17">
        <v>0.18703703703703703</v>
      </c>
    </row>
    <row r="45">
      <c r="A45" s="7">
        <v>44.0</v>
      </c>
      <c r="B45" s="13">
        <v>790.0</v>
      </c>
      <c r="C45" s="14">
        <v>44.0</v>
      </c>
      <c r="D45" s="14">
        <v>3.0</v>
      </c>
      <c r="E45" s="15" t="s">
        <v>204</v>
      </c>
      <c r="F45" s="14">
        <v>894.0</v>
      </c>
      <c r="G45" s="14" t="s">
        <v>186</v>
      </c>
      <c r="H45" s="14" t="s">
        <v>160</v>
      </c>
      <c r="I45" s="16">
        <v>0.01888888888888889</v>
      </c>
      <c r="J45" s="16">
        <v>0.10033564814814815</v>
      </c>
      <c r="K45" s="16">
        <v>0.06314814814814815</v>
      </c>
      <c r="L45" s="17">
        <v>0.18741898148148148</v>
      </c>
    </row>
    <row r="46">
      <c r="A46" s="7">
        <v>45.0</v>
      </c>
      <c r="B46" s="13">
        <v>824.0</v>
      </c>
      <c r="C46" s="14">
        <v>45.0</v>
      </c>
      <c r="D46" s="14">
        <v>4.0</v>
      </c>
      <c r="E46" s="15" t="s">
        <v>205</v>
      </c>
      <c r="F46" s="14">
        <v>1137.0</v>
      </c>
      <c r="G46" s="14" t="s">
        <v>186</v>
      </c>
      <c r="H46" s="14" t="s">
        <v>142</v>
      </c>
      <c r="I46" s="16">
        <v>0.02181712962962963</v>
      </c>
      <c r="J46" s="16">
        <v>0.10034722222222223</v>
      </c>
      <c r="K46" s="16">
        <v>0.060335648148148145</v>
      </c>
      <c r="L46" s="17">
        <v>0.1880324074074074</v>
      </c>
    </row>
    <row r="47">
      <c r="A47" s="7">
        <v>46.0</v>
      </c>
      <c r="B47" s="13">
        <v>854.0</v>
      </c>
      <c r="C47" s="14">
        <v>46.0</v>
      </c>
      <c r="D47" s="14">
        <v>3.0</v>
      </c>
      <c r="E47" s="15" t="s">
        <v>206</v>
      </c>
      <c r="F47" s="14">
        <v>502.0</v>
      </c>
      <c r="G47" s="14" t="s">
        <v>201</v>
      </c>
      <c r="H47" s="14" t="s">
        <v>149</v>
      </c>
      <c r="I47" s="16">
        <v>0.0209375</v>
      </c>
      <c r="J47" s="16">
        <v>0.10295138888888888</v>
      </c>
      <c r="K47" s="16">
        <v>0.05971064814814815</v>
      </c>
      <c r="L47" s="17">
        <v>0.18844907407407407</v>
      </c>
    </row>
    <row r="48">
      <c r="A48" s="7">
        <v>47.0</v>
      </c>
      <c r="B48" s="13">
        <v>855.0</v>
      </c>
      <c r="C48" s="14">
        <v>47.0</v>
      </c>
      <c r="D48" s="14">
        <v>4.0</v>
      </c>
      <c r="E48" s="15" t="s">
        <v>207</v>
      </c>
      <c r="F48" s="14">
        <v>1899.0</v>
      </c>
      <c r="G48" s="14" t="s">
        <v>198</v>
      </c>
      <c r="H48" s="14" t="s">
        <v>167</v>
      </c>
      <c r="I48" s="16">
        <v>0.020787037037037038</v>
      </c>
      <c r="J48" s="16">
        <v>0.09887731481481482</v>
      </c>
      <c r="K48" s="16">
        <v>0.06373842592592592</v>
      </c>
      <c r="L48" s="17">
        <v>0.18846064814814814</v>
      </c>
    </row>
    <row r="49">
      <c r="A49" s="7">
        <v>48.0</v>
      </c>
      <c r="B49" s="13">
        <v>864.0</v>
      </c>
      <c r="C49" s="14">
        <v>48.0</v>
      </c>
      <c r="D49" s="14">
        <v>5.0</v>
      </c>
      <c r="E49" s="15" t="s">
        <v>208</v>
      </c>
      <c r="F49" s="14">
        <v>1798.0</v>
      </c>
      <c r="G49" s="14" t="s">
        <v>198</v>
      </c>
      <c r="H49" s="14" t="s">
        <v>142</v>
      </c>
      <c r="I49" s="16">
        <v>0.02042824074074074</v>
      </c>
      <c r="J49" s="16">
        <v>0.10207175925925926</v>
      </c>
      <c r="K49" s="16">
        <v>0.060833333333333336</v>
      </c>
      <c r="L49" s="17">
        <v>0.18856481481481482</v>
      </c>
    </row>
    <row r="50">
      <c r="A50" s="7">
        <v>49.0</v>
      </c>
      <c r="B50" s="13">
        <v>898.0</v>
      </c>
      <c r="C50" s="14">
        <v>49.0</v>
      </c>
      <c r="D50" s="14">
        <v>1.0</v>
      </c>
      <c r="E50" s="15" t="s">
        <v>209</v>
      </c>
      <c r="F50" s="14">
        <v>385.0</v>
      </c>
      <c r="G50" s="14" t="s">
        <v>210</v>
      </c>
      <c r="H50" s="14" t="s">
        <v>149</v>
      </c>
      <c r="I50" s="16">
        <v>0.022407407407407407</v>
      </c>
      <c r="J50" s="16">
        <v>0.09799768518518519</v>
      </c>
      <c r="K50" s="16">
        <v>0.06390046296296296</v>
      </c>
      <c r="L50" s="17">
        <v>0.18891203703703704</v>
      </c>
    </row>
    <row r="51">
      <c r="A51" s="7">
        <v>50.0</v>
      </c>
      <c r="B51" s="18">
        <v>908.0</v>
      </c>
      <c r="C51" s="19">
        <v>50.0</v>
      </c>
      <c r="D51" s="19">
        <v>6.0</v>
      </c>
      <c r="E51" s="20" t="s">
        <v>211</v>
      </c>
      <c r="F51" s="19">
        <v>1878.0</v>
      </c>
      <c r="G51" s="19" t="s">
        <v>198</v>
      </c>
      <c r="H51" s="19" t="s">
        <v>144</v>
      </c>
      <c r="I51" s="21">
        <v>0.01761574074074074</v>
      </c>
      <c r="J51" s="21">
        <v>0.10613425925925926</v>
      </c>
      <c r="K51" s="21">
        <v>0.05935185185185185</v>
      </c>
      <c r="L51" s="22">
        <v>0.18907407407407406</v>
      </c>
    </row>
  </sheetData>
  <autoFilter ref="$B$1:$L$51">
    <sortState ref="B1:L51">
      <sortCondition ref="C1:C51"/>
      <sortCondition ref="K1:K51"/>
      <sortCondition ref="J1:J51"/>
      <sortCondition ref="I1:I51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</hyperlinks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212</v>
      </c>
      <c r="B1" s="7" t="s">
        <v>8</v>
      </c>
      <c r="C1" s="7" t="s">
        <v>213</v>
      </c>
      <c r="D1" s="7" t="s">
        <v>213</v>
      </c>
    </row>
    <row r="2">
      <c r="A2" s="7">
        <v>1.9</v>
      </c>
      <c r="B2" s="23">
        <v>0.019212962962962963</v>
      </c>
      <c r="C2" s="10">
        <f>MINUTE(B2)/(A2*10)</f>
        <v>1.421052632</v>
      </c>
      <c r="D2" s="10" t="str">
        <f>Trunc(C2)&amp;":"&amp;(Trunc((C2-Trunc(C2))*60))</f>
        <v>1:25</v>
      </c>
    </row>
    <row r="4">
      <c r="A4" s="7" t="s">
        <v>214</v>
      </c>
    </row>
    <row r="5">
      <c r="A5" s="10">
        <f>0.9*C2</f>
        <v>1.278947368</v>
      </c>
      <c r="B5" s="10" t="str">
        <f>Trunc(A5)&amp;":"&amp;(Trunc((A5-Trunc(A5))*60))</f>
        <v>1:16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G1" s="24"/>
    </row>
    <row r="2">
      <c r="B2" s="7" t="s">
        <v>215</v>
      </c>
      <c r="C2" s="7" t="s">
        <v>216</v>
      </c>
      <c r="G2" s="24"/>
    </row>
    <row r="3">
      <c r="G3" s="24"/>
    </row>
    <row r="4">
      <c r="B4" s="25" t="s">
        <v>217</v>
      </c>
      <c r="C4" s="25" t="s">
        <v>218</v>
      </c>
      <c r="D4" s="25" t="s">
        <v>7</v>
      </c>
      <c r="E4" s="25" t="s">
        <v>219</v>
      </c>
      <c r="F4" s="25" t="s">
        <v>220</v>
      </c>
      <c r="G4" s="26" t="s">
        <v>221</v>
      </c>
      <c r="H4" s="25" t="s">
        <v>9</v>
      </c>
      <c r="I4" s="25" t="s">
        <v>222</v>
      </c>
    </row>
    <row r="5">
      <c r="B5" s="27" t="s">
        <v>223</v>
      </c>
      <c r="C5" s="28">
        <v>6.481481481481481E-4</v>
      </c>
      <c r="D5" s="28">
        <v>6.481481481481481E-4</v>
      </c>
      <c r="E5" s="27" t="s">
        <v>224</v>
      </c>
      <c r="F5" s="27" t="s">
        <v>224</v>
      </c>
      <c r="G5" s="29">
        <f>+1.75 %</f>
        <v>0.0175</v>
      </c>
      <c r="H5" s="27" t="s">
        <v>225</v>
      </c>
      <c r="I5" s="27" t="s">
        <v>226</v>
      </c>
    </row>
    <row r="6">
      <c r="B6" s="27" t="s">
        <v>227</v>
      </c>
      <c r="C6" s="28">
        <v>1.273148148148148E-4</v>
      </c>
      <c r="D6" s="28">
        <v>7.754629629629629E-4</v>
      </c>
      <c r="E6" s="27" t="s">
        <v>228</v>
      </c>
      <c r="F6" s="27" t="s">
        <v>229</v>
      </c>
      <c r="G6" s="29">
        <f>+0.18 %</f>
        <v>0.0018</v>
      </c>
      <c r="H6" s="27" t="s">
        <v>230</v>
      </c>
      <c r="I6" s="27" t="s">
        <v>231</v>
      </c>
    </row>
    <row r="7">
      <c r="B7" s="27" t="s">
        <v>232</v>
      </c>
      <c r="C7" s="28">
        <v>8.217592592592593E-4</v>
      </c>
      <c r="D7" s="28">
        <v>0.0016087962962962963</v>
      </c>
      <c r="E7" s="27" t="s">
        <v>233</v>
      </c>
      <c r="F7" s="27" t="s">
        <v>234</v>
      </c>
      <c r="G7" s="30" t="s">
        <v>235</v>
      </c>
      <c r="H7" s="27" t="s">
        <v>236</v>
      </c>
      <c r="I7" s="27" t="s">
        <v>237</v>
      </c>
    </row>
    <row r="8">
      <c r="B8" s="27" t="s">
        <v>238</v>
      </c>
      <c r="C8" s="28">
        <v>5.787037037037037E-4</v>
      </c>
      <c r="D8" s="28">
        <v>0.002199074074074074</v>
      </c>
      <c r="E8" s="27" t="s">
        <v>239</v>
      </c>
      <c r="F8" s="27" t="s">
        <v>240</v>
      </c>
      <c r="G8" s="30" t="s">
        <v>241</v>
      </c>
      <c r="H8" s="27" t="s">
        <v>242</v>
      </c>
      <c r="I8" s="27" t="s">
        <v>243</v>
      </c>
    </row>
    <row r="9">
      <c r="B9" s="27" t="s">
        <v>244</v>
      </c>
      <c r="C9" s="28">
        <v>2.777777777777778E-4</v>
      </c>
      <c r="D9" s="28">
        <v>0.002476851851851852</v>
      </c>
      <c r="E9" s="27" t="s">
        <v>245</v>
      </c>
      <c r="F9" s="27" t="s">
        <v>246</v>
      </c>
      <c r="G9" s="29">
        <f>+4.71 %</f>
        <v>0.0471</v>
      </c>
      <c r="H9" s="27" t="s">
        <v>247</v>
      </c>
      <c r="I9" s="27" t="s">
        <v>248</v>
      </c>
    </row>
    <row r="10">
      <c r="B10" s="27" t="s">
        <v>249</v>
      </c>
      <c r="C10" s="28">
        <v>3.2407407407407406E-4</v>
      </c>
      <c r="D10" s="28">
        <v>0.002800925925925926</v>
      </c>
      <c r="E10" s="27" t="s">
        <v>250</v>
      </c>
      <c r="F10" s="27" t="s">
        <v>251</v>
      </c>
      <c r="G10" s="30" t="s">
        <v>252</v>
      </c>
      <c r="H10" s="27" t="s">
        <v>253</v>
      </c>
      <c r="I10" s="27" t="s">
        <v>254</v>
      </c>
    </row>
    <row r="11">
      <c r="B11" s="27" t="s">
        <v>255</v>
      </c>
      <c r="C11" s="28">
        <v>4.050925925925926E-4</v>
      </c>
      <c r="D11" s="28">
        <v>0.0032060185185185186</v>
      </c>
      <c r="E11" s="27" t="s">
        <v>256</v>
      </c>
      <c r="F11" s="27" t="s">
        <v>257</v>
      </c>
      <c r="G11" s="29">
        <f>+1.22 %</f>
        <v>0.0122</v>
      </c>
      <c r="H11" s="27" t="s">
        <v>258</v>
      </c>
      <c r="I11" s="27" t="s">
        <v>259</v>
      </c>
    </row>
    <row r="12">
      <c r="B12" s="27" t="s">
        <v>260</v>
      </c>
      <c r="C12" s="28">
        <v>4.398148148148148E-4</v>
      </c>
      <c r="D12" s="28">
        <v>0.0036574074074074074</v>
      </c>
      <c r="E12" s="27" t="s">
        <v>261</v>
      </c>
      <c r="F12" s="27" t="s">
        <v>262</v>
      </c>
      <c r="G12" s="30" t="s">
        <v>263</v>
      </c>
      <c r="H12" s="27" t="s">
        <v>264</v>
      </c>
      <c r="I12" s="27" t="s">
        <v>265</v>
      </c>
    </row>
    <row r="13">
      <c r="B13" s="27" t="s">
        <v>266</v>
      </c>
      <c r="C13" s="28">
        <v>2.4305555555555555E-4</v>
      </c>
      <c r="D13" s="28">
        <v>0.0039004629629629628</v>
      </c>
      <c r="E13" s="27" t="s">
        <v>267</v>
      </c>
      <c r="F13" s="27" t="s">
        <v>268</v>
      </c>
      <c r="G13" s="30" t="s">
        <v>269</v>
      </c>
      <c r="H13" s="27" t="s">
        <v>270</v>
      </c>
      <c r="I13" s="27" t="s">
        <v>271</v>
      </c>
    </row>
    <row r="14">
      <c r="B14" s="27" t="s">
        <v>272</v>
      </c>
      <c r="C14" s="28">
        <v>2.8935185185185184E-4</v>
      </c>
      <c r="D14" s="28">
        <v>0.004201388888888889</v>
      </c>
      <c r="E14" s="27" t="s">
        <v>273</v>
      </c>
      <c r="F14" s="27" t="s">
        <v>274</v>
      </c>
      <c r="G14" s="29">
        <f>+0.41 %</f>
        <v>0.0041</v>
      </c>
      <c r="H14" s="27" t="s">
        <v>275</v>
      </c>
      <c r="I14" s="27" t="s">
        <v>276</v>
      </c>
    </row>
    <row r="15">
      <c r="B15" s="27" t="s">
        <v>277</v>
      </c>
      <c r="C15" s="28">
        <v>5.324074074074074E-4</v>
      </c>
      <c r="D15" s="28">
        <v>0.004733796296296297</v>
      </c>
      <c r="E15" s="27" t="s">
        <v>256</v>
      </c>
      <c r="F15" s="27" t="s">
        <v>278</v>
      </c>
      <c r="G15" s="29">
        <f>+4.8 %</f>
        <v>0.048</v>
      </c>
      <c r="H15" s="27" t="s">
        <v>279</v>
      </c>
      <c r="I15" s="27" t="s">
        <v>248</v>
      </c>
    </row>
    <row r="16">
      <c r="B16" s="27" t="s">
        <v>280</v>
      </c>
      <c r="C16" s="28">
        <v>4.166666666666667E-4</v>
      </c>
      <c r="D16" s="28">
        <v>0.005162037037037037</v>
      </c>
      <c r="E16" s="27" t="s">
        <v>281</v>
      </c>
      <c r="F16" s="27" t="s">
        <v>282</v>
      </c>
      <c r="G16" s="29">
        <f>+0.47 %</f>
        <v>0.0047</v>
      </c>
      <c r="H16" s="27" t="s">
        <v>283</v>
      </c>
      <c r="I16" s="27" t="s">
        <v>284</v>
      </c>
    </row>
    <row r="17">
      <c r="B17" s="27" t="s">
        <v>285</v>
      </c>
      <c r="C17" s="28">
        <v>5.439814814814814E-4</v>
      </c>
      <c r="D17" s="28">
        <v>0.005706018518518518</v>
      </c>
      <c r="E17" s="27" t="s">
        <v>286</v>
      </c>
      <c r="F17" s="27" t="s">
        <v>287</v>
      </c>
      <c r="G17" s="29">
        <f>+5.88 %</f>
        <v>0.0588</v>
      </c>
      <c r="H17" s="27" t="s">
        <v>288</v>
      </c>
      <c r="I17" s="27" t="s">
        <v>289</v>
      </c>
    </row>
    <row r="18">
      <c r="B18" s="27" t="s">
        <v>290</v>
      </c>
      <c r="C18" s="28">
        <v>3.356481481481481E-4</v>
      </c>
      <c r="D18" s="28">
        <v>0.0060416666666666665</v>
      </c>
      <c r="E18" s="27" t="s">
        <v>291</v>
      </c>
      <c r="F18" s="27" t="s">
        <v>292</v>
      </c>
      <c r="G18" s="30" t="s">
        <v>293</v>
      </c>
      <c r="H18" s="27" t="s">
        <v>294</v>
      </c>
      <c r="I18" s="27" t="s">
        <v>295</v>
      </c>
    </row>
    <row r="19">
      <c r="B19" s="27" t="s">
        <v>296</v>
      </c>
      <c r="C19" s="28">
        <v>6.018518518518519E-4</v>
      </c>
      <c r="D19" s="28">
        <v>0.006655092592592593</v>
      </c>
      <c r="E19" s="27" t="s">
        <v>297</v>
      </c>
      <c r="F19" s="27" t="s">
        <v>298</v>
      </c>
      <c r="G19" s="29">
        <f>+1.53 %</f>
        <v>0.0153</v>
      </c>
      <c r="H19" s="27" t="s">
        <v>299</v>
      </c>
      <c r="I19" s="27" t="s">
        <v>300</v>
      </c>
    </row>
    <row r="20">
      <c r="B20" s="27" t="s">
        <v>301</v>
      </c>
      <c r="C20" s="28">
        <v>1.1574074074074075E-4</v>
      </c>
      <c r="D20" s="28">
        <v>0.006782407407407407</v>
      </c>
      <c r="E20" s="27" t="s">
        <v>228</v>
      </c>
      <c r="F20" s="27" t="s">
        <v>302</v>
      </c>
      <c r="G20" s="29">
        <f>+0.53 %</f>
        <v>0.0053</v>
      </c>
      <c r="H20" s="27" t="s">
        <v>303</v>
      </c>
      <c r="I20" s="27" t="s">
        <v>304</v>
      </c>
    </row>
    <row r="21">
      <c r="B21" s="27" t="s">
        <v>305</v>
      </c>
      <c r="C21" s="28">
        <v>3.2407407407407406E-4</v>
      </c>
      <c r="D21" s="28">
        <v>0.007106481481481482</v>
      </c>
      <c r="E21" s="27" t="s">
        <v>306</v>
      </c>
      <c r="F21" s="27" t="s">
        <v>307</v>
      </c>
      <c r="G21" s="30" t="s">
        <v>308</v>
      </c>
      <c r="H21" s="27" t="s">
        <v>309</v>
      </c>
      <c r="I21" s="27" t="s">
        <v>295</v>
      </c>
    </row>
    <row r="22">
      <c r="B22" s="27" t="s">
        <v>310</v>
      </c>
      <c r="C22" s="28">
        <v>6.134259259259259E-4</v>
      </c>
      <c r="D22" s="28">
        <v>0.007719907407407407</v>
      </c>
      <c r="E22" s="27" t="s">
        <v>311</v>
      </c>
      <c r="F22" s="27" t="s">
        <v>312</v>
      </c>
      <c r="G22" s="30" t="s">
        <v>313</v>
      </c>
      <c r="H22" s="27" t="s">
        <v>314</v>
      </c>
      <c r="I22" s="27" t="s">
        <v>315</v>
      </c>
    </row>
    <row r="23">
      <c r="B23" s="27" t="s">
        <v>316</v>
      </c>
      <c r="C23" s="28">
        <v>7.754629629629629E-4</v>
      </c>
      <c r="D23" s="28">
        <v>0.008506944444444444</v>
      </c>
      <c r="E23" s="27" t="s">
        <v>317</v>
      </c>
      <c r="F23" s="27" t="s">
        <v>318</v>
      </c>
      <c r="G23" s="30" t="s">
        <v>319</v>
      </c>
      <c r="H23" s="27" t="s">
        <v>320</v>
      </c>
      <c r="I23" s="27" t="s">
        <v>321</v>
      </c>
    </row>
    <row r="24">
      <c r="B24" s="27" t="s">
        <v>322</v>
      </c>
      <c r="C24" s="28">
        <v>4.7453703703703704E-4</v>
      </c>
      <c r="D24" s="28">
        <v>0.008981481481481481</v>
      </c>
      <c r="E24" s="27" t="s">
        <v>323</v>
      </c>
      <c r="F24" s="27" t="s">
        <v>324</v>
      </c>
      <c r="G24" s="30" t="s">
        <v>325</v>
      </c>
      <c r="H24" s="27" t="s">
        <v>326</v>
      </c>
      <c r="I24" s="27" t="s">
        <v>327</v>
      </c>
    </row>
    <row r="25">
      <c r="B25" s="27" t="s">
        <v>328</v>
      </c>
      <c r="C25" s="28">
        <v>0.0015509259259259259</v>
      </c>
      <c r="D25" s="28">
        <v>0.010532407407407407</v>
      </c>
      <c r="E25" s="27" t="s">
        <v>329</v>
      </c>
      <c r="F25" s="27" t="s">
        <v>330</v>
      </c>
      <c r="G25" s="30" t="s">
        <v>331</v>
      </c>
      <c r="H25" s="27" t="s">
        <v>332</v>
      </c>
      <c r="I25" s="27" t="s">
        <v>333</v>
      </c>
    </row>
    <row r="26">
      <c r="B26" s="27" t="s">
        <v>334</v>
      </c>
      <c r="C26" s="28">
        <v>6.365740740740741E-4</v>
      </c>
      <c r="D26" s="28">
        <v>0.011180555555555555</v>
      </c>
      <c r="E26" s="27" t="s">
        <v>335</v>
      </c>
      <c r="F26" s="27" t="s">
        <v>336</v>
      </c>
      <c r="G26" s="29">
        <f>+0.24 %</f>
        <v>0.0024</v>
      </c>
      <c r="H26" s="27" t="s">
        <v>337</v>
      </c>
      <c r="I26" s="27" t="s">
        <v>338</v>
      </c>
    </row>
    <row r="27">
      <c r="B27" s="27" t="s">
        <v>339</v>
      </c>
      <c r="C27" s="28">
        <v>6.018518518518519E-4</v>
      </c>
      <c r="D27" s="28">
        <v>0.011782407407407408</v>
      </c>
      <c r="E27" s="27" t="s">
        <v>340</v>
      </c>
      <c r="F27" s="27" t="s">
        <v>341</v>
      </c>
      <c r="G27" s="29">
        <f>+0.53 %</f>
        <v>0.0053</v>
      </c>
      <c r="H27" s="27" t="s">
        <v>342</v>
      </c>
      <c r="I27" s="27" t="s">
        <v>343</v>
      </c>
    </row>
    <row r="28">
      <c r="B28" s="27" t="s">
        <v>344</v>
      </c>
      <c r="C28" s="28">
        <v>0.0017939814814814815</v>
      </c>
      <c r="D28" s="28">
        <v>0.013587962962962963</v>
      </c>
      <c r="E28" s="27" t="s">
        <v>345</v>
      </c>
      <c r="F28" s="27" t="s">
        <v>346</v>
      </c>
      <c r="G28" s="29">
        <f>+0.26 %</f>
        <v>0.0026</v>
      </c>
      <c r="H28" s="27" t="s">
        <v>347</v>
      </c>
      <c r="I28" s="27" t="s">
        <v>348</v>
      </c>
    </row>
    <row r="29">
      <c r="B29" s="27" t="s">
        <v>349</v>
      </c>
      <c r="C29" s="28">
        <v>2.546296296296296E-4</v>
      </c>
      <c r="D29" s="28">
        <v>0.013854166666666667</v>
      </c>
      <c r="E29" s="27" t="s">
        <v>350</v>
      </c>
      <c r="F29" s="27" t="s">
        <v>351</v>
      </c>
      <c r="G29" s="30" t="s">
        <v>352</v>
      </c>
      <c r="H29" s="27" t="s">
        <v>353</v>
      </c>
      <c r="I29" s="27" t="s">
        <v>354</v>
      </c>
    </row>
    <row r="30">
      <c r="B30" s="27" t="s">
        <v>355</v>
      </c>
      <c r="C30" s="28">
        <v>8.564814814814815E-4</v>
      </c>
      <c r="D30" s="28">
        <v>0.014722222222222222</v>
      </c>
      <c r="E30" s="27" t="s">
        <v>356</v>
      </c>
      <c r="F30" s="27" t="s">
        <v>357</v>
      </c>
      <c r="G30" s="29">
        <f>+1.24 %</f>
        <v>0.0124</v>
      </c>
      <c r="H30" s="27" t="s">
        <v>358</v>
      </c>
      <c r="I30" s="27" t="s">
        <v>259</v>
      </c>
    </row>
    <row r="31">
      <c r="B31" s="27" t="s">
        <v>359</v>
      </c>
      <c r="C31" s="28">
        <v>1.8518518518518518E-4</v>
      </c>
      <c r="D31" s="28">
        <v>0.014907407407407407</v>
      </c>
      <c r="E31" s="27" t="s">
        <v>360</v>
      </c>
      <c r="F31" s="27" t="s">
        <v>361</v>
      </c>
      <c r="G31" s="29">
        <f>+1.12 %</f>
        <v>0.0112</v>
      </c>
      <c r="H31" s="27" t="s">
        <v>362</v>
      </c>
      <c r="I31" s="27" t="s">
        <v>363</v>
      </c>
    </row>
    <row r="32">
      <c r="B32" s="27" t="s">
        <v>364</v>
      </c>
      <c r="C32" s="28">
        <v>8.101851851851852E-4</v>
      </c>
      <c r="D32" s="28">
        <v>0.015729166666666666</v>
      </c>
      <c r="E32" s="27" t="s">
        <v>233</v>
      </c>
      <c r="F32" s="27" t="s">
        <v>365</v>
      </c>
      <c r="G32" s="30" t="s">
        <v>366</v>
      </c>
      <c r="H32" s="27" t="s">
        <v>367</v>
      </c>
      <c r="I32" s="27" t="s">
        <v>368</v>
      </c>
    </row>
    <row r="33">
      <c r="B33" s="27" t="s">
        <v>369</v>
      </c>
      <c r="C33" s="28">
        <v>4.050925925925926E-4</v>
      </c>
      <c r="D33" s="28">
        <v>0.016145833333333335</v>
      </c>
      <c r="E33" s="27" t="s">
        <v>370</v>
      </c>
      <c r="F33" s="27" t="s">
        <v>371</v>
      </c>
      <c r="G33" s="30" t="s">
        <v>372</v>
      </c>
      <c r="H33" s="27" t="s">
        <v>373</v>
      </c>
      <c r="I33" s="27" t="s">
        <v>374</v>
      </c>
    </row>
    <row r="34">
      <c r="B34" s="27" t="s">
        <v>375</v>
      </c>
      <c r="C34" s="28">
        <v>6.365740740740741E-4</v>
      </c>
      <c r="D34" s="28">
        <v>0.01678240740740741</v>
      </c>
      <c r="E34" s="27" t="s">
        <v>376</v>
      </c>
      <c r="F34" s="27" t="s">
        <v>377</v>
      </c>
      <c r="G34" s="30" t="s">
        <v>378</v>
      </c>
      <c r="H34" s="27" t="s">
        <v>379</v>
      </c>
      <c r="I34" s="27" t="s">
        <v>380</v>
      </c>
    </row>
    <row r="35">
      <c r="B35" s="27" t="s">
        <v>381</v>
      </c>
      <c r="C35" s="28">
        <v>3.587962962962963E-4</v>
      </c>
      <c r="D35" s="28">
        <v>0.017141203703703704</v>
      </c>
      <c r="E35" s="27" t="s">
        <v>382</v>
      </c>
      <c r="F35" s="27" t="s">
        <v>383</v>
      </c>
      <c r="G35" s="29">
        <f>+2.27 %</f>
        <v>0.0227</v>
      </c>
      <c r="H35" s="27" t="s">
        <v>384</v>
      </c>
      <c r="I35" s="27" t="s">
        <v>248</v>
      </c>
    </row>
    <row r="36">
      <c r="B36" s="27" t="s">
        <v>385</v>
      </c>
      <c r="C36" s="28">
        <v>2.0833333333333335E-4</v>
      </c>
      <c r="D36" s="28">
        <v>0.017361111111111112</v>
      </c>
      <c r="E36" s="27" t="s">
        <v>360</v>
      </c>
      <c r="F36" s="27" t="s">
        <v>386</v>
      </c>
      <c r="G36" s="29">
        <f>+2.93 %</f>
        <v>0.0293</v>
      </c>
      <c r="H36" s="27" t="s">
        <v>387</v>
      </c>
      <c r="I36" s="27" t="s">
        <v>289</v>
      </c>
    </row>
    <row r="37">
      <c r="B37" s="27" t="s">
        <v>388</v>
      </c>
      <c r="C37" s="28">
        <v>0.0010416666666666667</v>
      </c>
      <c r="D37" s="28">
        <v>0.01840277777777778</v>
      </c>
      <c r="E37" s="27" t="s">
        <v>389</v>
      </c>
      <c r="F37" s="27" t="s">
        <v>390</v>
      </c>
      <c r="G37" s="29">
        <f>+0.24 %</f>
        <v>0.0024</v>
      </c>
      <c r="H37" s="27" t="s">
        <v>391</v>
      </c>
      <c r="I37" s="27" t="s">
        <v>392</v>
      </c>
    </row>
    <row r="38">
      <c r="B38" s="27" t="s">
        <v>393</v>
      </c>
      <c r="C38" s="28">
        <v>7.87037037037037E-4</v>
      </c>
      <c r="D38" s="28">
        <v>0.01920138888888889</v>
      </c>
      <c r="E38" s="27" t="s">
        <v>394</v>
      </c>
      <c r="F38" s="27" t="s">
        <v>395</v>
      </c>
      <c r="G38" s="30" t="s">
        <v>396</v>
      </c>
      <c r="H38" s="27" t="s">
        <v>397</v>
      </c>
      <c r="I38" s="27" t="s">
        <v>380</v>
      </c>
    </row>
    <row r="39">
      <c r="B39" s="27" t="s">
        <v>398</v>
      </c>
      <c r="C39" s="28">
        <v>2.4305555555555555E-4</v>
      </c>
      <c r="D39" s="28">
        <v>0.019444444444444445</v>
      </c>
      <c r="E39" s="27" t="s">
        <v>399</v>
      </c>
      <c r="F39" s="27" t="s">
        <v>400</v>
      </c>
      <c r="G39" s="29">
        <f>+7.34 %</f>
        <v>0.0734</v>
      </c>
      <c r="H39" s="27" t="s">
        <v>401</v>
      </c>
      <c r="I39" s="27" t="s">
        <v>402</v>
      </c>
    </row>
    <row r="40">
      <c r="B40" s="27" t="s">
        <v>403</v>
      </c>
      <c r="C40" s="28">
        <v>0.0010069444444444444</v>
      </c>
      <c r="D40" s="28">
        <v>0.020462962962962964</v>
      </c>
      <c r="E40" s="27" t="s">
        <v>404</v>
      </c>
      <c r="F40" s="27" t="s">
        <v>405</v>
      </c>
      <c r="G40" s="29">
        <f>+2.8 %</f>
        <v>0.028</v>
      </c>
      <c r="H40" s="27" t="s">
        <v>406</v>
      </c>
      <c r="I40" s="27" t="s">
        <v>248</v>
      </c>
    </row>
    <row r="41">
      <c r="B41" s="27" t="s">
        <v>407</v>
      </c>
      <c r="C41" s="28">
        <v>0.0010069444444444444</v>
      </c>
      <c r="D41" s="28">
        <v>0.021469907407407406</v>
      </c>
      <c r="E41" s="27" t="s">
        <v>408</v>
      </c>
      <c r="F41" s="27" t="s">
        <v>409</v>
      </c>
      <c r="G41" s="30" t="s">
        <v>263</v>
      </c>
      <c r="H41" s="27" t="s">
        <v>410</v>
      </c>
      <c r="I41" s="27" t="s">
        <v>411</v>
      </c>
    </row>
    <row r="42">
      <c r="B42" s="27" t="s">
        <v>412</v>
      </c>
      <c r="C42" s="28">
        <v>6.828703703703704E-4</v>
      </c>
      <c r="D42" s="28">
        <v>0.022164351851851852</v>
      </c>
      <c r="E42" s="27" t="s">
        <v>413</v>
      </c>
      <c r="F42" s="27" t="s">
        <v>414</v>
      </c>
      <c r="G42" s="30" t="s">
        <v>415</v>
      </c>
      <c r="H42" s="27" t="s">
        <v>416</v>
      </c>
      <c r="I42" s="27" t="s">
        <v>417</v>
      </c>
    </row>
    <row r="43">
      <c r="B43" s="27" t="s">
        <v>418</v>
      </c>
      <c r="C43" s="28">
        <v>9.259259259259259E-5</v>
      </c>
      <c r="D43" s="28">
        <v>0.022256944444444444</v>
      </c>
      <c r="E43" s="27" t="s">
        <v>419</v>
      </c>
      <c r="F43" s="27" t="s">
        <v>420</v>
      </c>
      <c r="G43" s="30" t="s">
        <v>421</v>
      </c>
      <c r="H43" s="27" t="s">
        <v>422</v>
      </c>
      <c r="I43" s="27" t="s">
        <v>423</v>
      </c>
    </row>
    <row r="44">
      <c r="B44" s="27" t="s">
        <v>424</v>
      </c>
      <c r="C44" s="28">
        <v>0.0011342592592592593</v>
      </c>
      <c r="D44" s="28">
        <v>0.02340277777777778</v>
      </c>
      <c r="E44" s="27" t="s">
        <v>425</v>
      </c>
      <c r="F44" s="27" t="s">
        <v>426</v>
      </c>
      <c r="G44" s="29">
        <f>+2.51 %</f>
        <v>0.0251</v>
      </c>
      <c r="H44" s="27" t="s">
        <v>83</v>
      </c>
      <c r="I44" s="27" t="s">
        <v>289</v>
      </c>
    </row>
    <row r="45">
      <c r="B45" s="27" t="s">
        <v>427</v>
      </c>
      <c r="C45" s="28">
        <v>9.375E-4</v>
      </c>
      <c r="D45" s="28">
        <v>0.02435185185185185</v>
      </c>
      <c r="E45" s="27" t="s">
        <v>428</v>
      </c>
      <c r="F45" s="27" t="s">
        <v>429</v>
      </c>
      <c r="G45" s="30" t="s">
        <v>430</v>
      </c>
      <c r="H45" s="27" t="s">
        <v>431</v>
      </c>
      <c r="I45" s="27" t="s">
        <v>432</v>
      </c>
    </row>
    <row r="46">
      <c r="B46" s="27" t="s">
        <v>433</v>
      </c>
      <c r="C46" s="28">
        <v>8.564814814814815E-4</v>
      </c>
      <c r="D46" s="28">
        <v>0.025208333333333333</v>
      </c>
      <c r="E46" s="27" t="s">
        <v>434</v>
      </c>
      <c r="F46" s="27" t="s">
        <v>435</v>
      </c>
      <c r="G46" s="29">
        <f>+2.34 %</f>
        <v>0.0234</v>
      </c>
      <c r="H46" s="27" t="s">
        <v>436</v>
      </c>
      <c r="I46" s="27" t="s">
        <v>402</v>
      </c>
    </row>
    <row r="47">
      <c r="B47" s="27" t="s">
        <v>437</v>
      </c>
      <c r="C47" s="28">
        <v>6.597222222222222E-4</v>
      </c>
      <c r="D47" s="28">
        <v>0.02587962962962963</v>
      </c>
      <c r="E47" s="27" t="s">
        <v>229</v>
      </c>
      <c r="F47" s="27" t="s">
        <v>438</v>
      </c>
      <c r="G47" s="30" t="s">
        <v>293</v>
      </c>
      <c r="H47" s="27" t="s">
        <v>439</v>
      </c>
      <c r="I47" s="27" t="s">
        <v>380</v>
      </c>
    </row>
    <row r="48">
      <c r="B48" s="27" t="s">
        <v>440</v>
      </c>
      <c r="C48" s="28">
        <v>3.935185185185185E-4</v>
      </c>
      <c r="D48" s="28">
        <v>0.02627314814814815</v>
      </c>
      <c r="E48" s="27" t="s">
        <v>441</v>
      </c>
      <c r="F48" s="27" t="s">
        <v>442</v>
      </c>
      <c r="G48" s="29">
        <f>+2.42 %</f>
        <v>0.0242</v>
      </c>
      <c r="H48" s="27" t="s">
        <v>443</v>
      </c>
      <c r="I48" s="27" t="s">
        <v>402</v>
      </c>
    </row>
    <row r="49">
      <c r="B49" s="27" t="s">
        <v>444</v>
      </c>
      <c r="C49" s="28">
        <v>4.62962962962963E-4</v>
      </c>
      <c r="D49" s="28">
        <v>0.02673611111111111</v>
      </c>
      <c r="E49" s="27" t="s">
        <v>445</v>
      </c>
      <c r="F49" s="27" t="s">
        <v>446</v>
      </c>
      <c r="G49" s="30" t="s">
        <v>447</v>
      </c>
      <c r="H49" s="27" t="s">
        <v>448</v>
      </c>
      <c r="I49" s="27" t="s">
        <v>354</v>
      </c>
    </row>
    <row r="50">
      <c r="B50" s="27" t="s">
        <v>449</v>
      </c>
      <c r="C50" s="28">
        <v>3.356481481481481E-4</v>
      </c>
      <c r="D50" s="28">
        <v>0.027083333333333334</v>
      </c>
      <c r="E50" s="27" t="s">
        <v>382</v>
      </c>
      <c r="F50" s="27" t="s">
        <v>450</v>
      </c>
      <c r="G50" s="29">
        <f>+0.03 %</f>
        <v>0.0003</v>
      </c>
      <c r="H50" s="27" t="s">
        <v>451</v>
      </c>
      <c r="I50" s="27" t="s">
        <v>452</v>
      </c>
    </row>
    <row r="51">
      <c r="B51" s="27" t="s">
        <v>453</v>
      </c>
      <c r="C51" s="28">
        <v>4.861111111111111E-4</v>
      </c>
      <c r="D51" s="28">
        <v>0.027569444444444445</v>
      </c>
      <c r="E51" s="27" t="s">
        <v>454</v>
      </c>
      <c r="F51" s="27" t="s">
        <v>455</v>
      </c>
      <c r="G51" s="30" t="s">
        <v>378</v>
      </c>
      <c r="H51" s="27" t="s">
        <v>456</v>
      </c>
      <c r="I51" s="27" t="s">
        <v>457</v>
      </c>
    </row>
    <row r="52">
      <c r="B52" s="27" t="s">
        <v>458</v>
      </c>
      <c r="C52" s="28">
        <v>0.0016319444444444445</v>
      </c>
      <c r="D52" s="28">
        <v>0.02921296296296296</v>
      </c>
      <c r="E52" s="27" t="s">
        <v>329</v>
      </c>
      <c r="F52" s="27" t="s">
        <v>459</v>
      </c>
      <c r="G52" s="29">
        <f>+0.56 %</f>
        <v>0.0056</v>
      </c>
      <c r="H52" s="27" t="s">
        <v>460</v>
      </c>
      <c r="I52" s="27" t="s">
        <v>461</v>
      </c>
    </row>
    <row r="53">
      <c r="B53" s="27" t="s">
        <v>462</v>
      </c>
      <c r="C53" s="28">
        <v>2.662037037037037E-4</v>
      </c>
      <c r="D53" s="28">
        <v>0.029479166666666667</v>
      </c>
      <c r="E53" s="27" t="s">
        <v>350</v>
      </c>
      <c r="F53" s="27" t="s">
        <v>463</v>
      </c>
      <c r="G53" s="30" t="s">
        <v>464</v>
      </c>
      <c r="H53" s="27" t="s">
        <v>465</v>
      </c>
      <c r="I53" s="27" t="s">
        <v>466</v>
      </c>
    </row>
    <row r="54">
      <c r="B54" s="27" t="s">
        <v>467</v>
      </c>
      <c r="C54" s="28">
        <v>1.5046296296296297E-4</v>
      </c>
      <c r="D54" s="28">
        <v>0.029641203703703704</v>
      </c>
      <c r="E54" s="27" t="s">
        <v>468</v>
      </c>
      <c r="F54" s="27" t="s">
        <v>469</v>
      </c>
      <c r="G54" s="30" t="s">
        <v>470</v>
      </c>
      <c r="H54" s="27" t="s">
        <v>471</v>
      </c>
      <c r="I54" s="27" t="s">
        <v>472</v>
      </c>
    </row>
    <row r="55">
      <c r="B55" s="27" t="s">
        <v>473</v>
      </c>
      <c r="C55" s="28">
        <v>8.796296296296296E-4</v>
      </c>
      <c r="D55" s="28">
        <v>0.030532407407407407</v>
      </c>
      <c r="E55" s="27" t="s">
        <v>474</v>
      </c>
      <c r="F55" s="27" t="s">
        <v>475</v>
      </c>
      <c r="G55" s="29">
        <f>+3.2 %</f>
        <v>0.032</v>
      </c>
      <c r="H55" s="27" t="s">
        <v>476</v>
      </c>
      <c r="I55" s="27" t="s">
        <v>402</v>
      </c>
    </row>
    <row r="56">
      <c r="B56" s="27" t="s">
        <v>477</v>
      </c>
      <c r="C56" s="28">
        <v>4.7453703703703704E-4</v>
      </c>
      <c r="D56" s="28">
        <v>0.031006944444444445</v>
      </c>
      <c r="E56" s="27" t="s">
        <v>445</v>
      </c>
      <c r="F56" s="27" t="s">
        <v>478</v>
      </c>
      <c r="G56" s="30" t="s">
        <v>479</v>
      </c>
      <c r="H56" s="27" t="s">
        <v>480</v>
      </c>
      <c r="I56" s="27" t="s">
        <v>481</v>
      </c>
    </row>
    <row r="57">
      <c r="B57" s="27" t="s">
        <v>482</v>
      </c>
      <c r="C57" s="28">
        <v>6.25E-4</v>
      </c>
      <c r="D57" s="28">
        <v>0.031643518518518515</v>
      </c>
      <c r="E57" s="27" t="s">
        <v>311</v>
      </c>
      <c r="F57" s="27" t="s">
        <v>483</v>
      </c>
      <c r="G57" s="29">
        <f>+1.29 %</f>
        <v>0.0129</v>
      </c>
      <c r="H57" s="27" t="s">
        <v>78</v>
      </c>
      <c r="I57" s="27" t="s">
        <v>484</v>
      </c>
    </row>
    <row r="58">
      <c r="B58" s="27" t="s">
        <v>485</v>
      </c>
      <c r="C58" s="28">
        <v>7.638888888888889E-4</v>
      </c>
      <c r="D58" s="28">
        <v>0.03241898148148148</v>
      </c>
      <c r="E58" s="27" t="s">
        <v>486</v>
      </c>
      <c r="F58" s="27" t="s">
        <v>487</v>
      </c>
      <c r="G58" s="30" t="s">
        <v>488</v>
      </c>
      <c r="H58" s="27" t="s">
        <v>489</v>
      </c>
      <c r="I58" s="27" t="s">
        <v>490</v>
      </c>
    </row>
    <row r="59">
      <c r="B59" s="27" t="s">
        <v>491</v>
      </c>
      <c r="C59" s="28">
        <v>0.0010763888888888889</v>
      </c>
      <c r="D59" s="28">
        <v>0.03349537037037037</v>
      </c>
      <c r="E59" s="27" t="s">
        <v>492</v>
      </c>
      <c r="F59" s="27" t="s">
        <v>493</v>
      </c>
      <c r="G59" s="29">
        <f>+0.17 %</f>
        <v>0.0017</v>
      </c>
      <c r="H59" s="27" t="s">
        <v>494</v>
      </c>
      <c r="I59" s="27" t="s">
        <v>495</v>
      </c>
    </row>
    <row r="60">
      <c r="B60" s="27" t="s">
        <v>496</v>
      </c>
      <c r="C60" s="28">
        <v>1.5046296296296297E-4</v>
      </c>
      <c r="D60" s="28">
        <v>0.03365740740740741</v>
      </c>
      <c r="E60" s="27" t="s">
        <v>497</v>
      </c>
      <c r="F60" s="27" t="s">
        <v>498</v>
      </c>
      <c r="G60" s="30" t="s">
        <v>499</v>
      </c>
      <c r="H60" s="27" t="s">
        <v>391</v>
      </c>
      <c r="I60" s="27" t="s">
        <v>500</v>
      </c>
    </row>
    <row r="61">
      <c r="B61" s="27" t="s">
        <v>501</v>
      </c>
      <c r="C61" s="28">
        <v>0.0014583333333333334</v>
      </c>
      <c r="D61" s="28">
        <v>0.03512731481481481</v>
      </c>
      <c r="E61" s="27" t="s">
        <v>502</v>
      </c>
      <c r="F61" s="27" t="s">
        <v>503</v>
      </c>
      <c r="G61" s="30" t="s">
        <v>504</v>
      </c>
      <c r="H61" s="27" t="s">
        <v>505</v>
      </c>
      <c r="I61" s="27" t="s">
        <v>506</v>
      </c>
    </row>
    <row r="62">
      <c r="B62" s="27" t="s">
        <v>507</v>
      </c>
      <c r="C62" s="28">
        <v>7.754629629629629E-4</v>
      </c>
      <c r="D62" s="28">
        <v>0.035902777777777777</v>
      </c>
      <c r="E62" s="27" t="s">
        <v>335</v>
      </c>
      <c r="F62" s="27" t="s">
        <v>508</v>
      </c>
      <c r="G62" s="29">
        <f>+2.66 %</f>
        <v>0.0266</v>
      </c>
      <c r="H62" s="27" t="s">
        <v>509</v>
      </c>
      <c r="I62" s="27" t="s">
        <v>248</v>
      </c>
    </row>
    <row r="63">
      <c r="B63" s="27" t="s">
        <v>510</v>
      </c>
      <c r="C63" s="28">
        <v>3.4722222222222224E-4</v>
      </c>
      <c r="D63" s="28">
        <v>0.03626157407407407</v>
      </c>
      <c r="E63" s="27" t="s">
        <v>306</v>
      </c>
      <c r="F63" s="27" t="s">
        <v>511</v>
      </c>
      <c r="G63" s="29">
        <f>+1.55 %</f>
        <v>0.0155</v>
      </c>
      <c r="H63" s="27" t="s">
        <v>512</v>
      </c>
      <c r="I63" s="27" t="s">
        <v>300</v>
      </c>
    </row>
    <row r="64">
      <c r="B64" s="27" t="s">
        <v>513</v>
      </c>
      <c r="C64" s="28">
        <v>3.8194444444444446E-4</v>
      </c>
      <c r="D64" s="28">
        <v>0.03664351851851852</v>
      </c>
      <c r="E64" s="27" t="s">
        <v>514</v>
      </c>
      <c r="F64" s="27" t="s">
        <v>515</v>
      </c>
      <c r="G64" s="30" t="s">
        <v>516</v>
      </c>
      <c r="H64" s="27" t="s">
        <v>517</v>
      </c>
      <c r="I64" s="27" t="s">
        <v>518</v>
      </c>
    </row>
    <row r="65">
      <c r="B65" s="27" t="s">
        <v>519</v>
      </c>
      <c r="C65" s="28">
        <v>4.050925925925926E-4</v>
      </c>
      <c r="D65" s="28">
        <v>0.03706018518518518</v>
      </c>
      <c r="E65" s="27" t="s">
        <v>520</v>
      </c>
      <c r="F65" s="27" t="s">
        <v>521</v>
      </c>
      <c r="G65" s="30" t="s">
        <v>522</v>
      </c>
      <c r="H65" s="27" t="s">
        <v>523</v>
      </c>
      <c r="I65" s="27" t="s">
        <v>524</v>
      </c>
    </row>
    <row r="66">
      <c r="B66" s="27" t="s">
        <v>525</v>
      </c>
      <c r="C66" s="28">
        <v>6.25E-4</v>
      </c>
      <c r="D66" s="28">
        <v>0.03768518518518518</v>
      </c>
      <c r="E66" s="27" t="s">
        <v>376</v>
      </c>
      <c r="F66" s="27" t="s">
        <v>526</v>
      </c>
      <c r="G66" s="30" t="s">
        <v>527</v>
      </c>
      <c r="H66" s="27" t="s">
        <v>528</v>
      </c>
      <c r="I66" s="27" t="s">
        <v>529</v>
      </c>
    </row>
    <row r="67">
      <c r="B67" s="27" t="s">
        <v>530</v>
      </c>
      <c r="C67" s="28">
        <v>6.018518518518519E-4</v>
      </c>
      <c r="D67" s="28">
        <v>0.03829861111111111</v>
      </c>
      <c r="E67" s="27" t="s">
        <v>311</v>
      </c>
      <c r="F67" s="27" t="s">
        <v>531</v>
      </c>
      <c r="G67" s="30" t="s">
        <v>532</v>
      </c>
      <c r="H67" s="27" t="s">
        <v>533</v>
      </c>
      <c r="I67" s="27" t="s">
        <v>534</v>
      </c>
    </row>
    <row r="68">
      <c r="B68" s="27" t="s">
        <v>535</v>
      </c>
      <c r="C68" s="28">
        <v>7.523148148148148E-4</v>
      </c>
      <c r="D68" s="28">
        <v>0.039050925925925926</v>
      </c>
      <c r="E68" s="27" t="s">
        <v>474</v>
      </c>
      <c r="F68" s="27" t="s">
        <v>536</v>
      </c>
      <c r="G68" s="29">
        <f>+0.48 %</f>
        <v>0.0048</v>
      </c>
      <c r="H68" s="27" t="s">
        <v>537</v>
      </c>
      <c r="I68" s="27" t="s">
        <v>284</v>
      </c>
    </row>
    <row r="69">
      <c r="B69" s="27" t="s">
        <v>538</v>
      </c>
      <c r="C69" s="28">
        <v>5.208333333333333E-4</v>
      </c>
      <c r="D69" s="28">
        <v>0.03958333333333333</v>
      </c>
      <c r="E69" s="27" t="s">
        <v>539</v>
      </c>
      <c r="F69" s="27" t="s">
        <v>540</v>
      </c>
      <c r="G69" s="30" t="s">
        <v>541</v>
      </c>
      <c r="H69" s="27" t="s">
        <v>542</v>
      </c>
      <c r="I69" s="27" t="s">
        <v>543</v>
      </c>
    </row>
    <row r="70">
      <c r="B70" s="27" t="s">
        <v>544</v>
      </c>
      <c r="C70" s="28">
        <v>4.62962962962963E-4</v>
      </c>
      <c r="D70" s="28">
        <v>0.04005787037037037</v>
      </c>
      <c r="E70" s="27" t="s">
        <v>545</v>
      </c>
      <c r="F70" s="27" t="s">
        <v>546</v>
      </c>
      <c r="G70" s="30" t="s">
        <v>313</v>
      </c>
      <c r="H70" s="27" t="s">
        <v>547</v>
      </c>
      <c r="I70" s="27" t="s">
        <v>333</v>
      </c>
    </row>
    <row r="71">
      <c r="B71" s="27" t="s">
        <v>548</v>
      </c>
      <c r="C71" s="28">
        <v>9.375E-4</v>
      </c>
      <c r="D71" s="28">
        <v>0.04099537037037037</v>
      </c>
      <c r="E71" s="27" t="s">
        <v>549</v>
      </c>
      <c r="F71" s="27" t="s">
        <v>550</v>
      </c>
      <c r="G71" s="29">
        <f>+0.99 %</f>
        <v>0.0099</v>
      </c>
      <c r="H71" s="27" t="s">
        <v>551</v>
      </c>
      <c r="I71" s="27" t="s">
        <v>552</v>
      </c>
    </row>
    <row r="72">
      <c r="B72" s="27" t="s">
        <v>553</v>
      </c>
      <c r="C72" s="28">
        <v>0.001574074074074074</v>
      </c>
      <c r="D72" s="28">
        <v>0.042569444444444444</v>
      </c>
      <c r="E72" s="27" t="s">
        <v>554</v>
      </c>
      <c r="F72" s="27" t="s">
        <v>555</v>
      </c>
      <c r="G72" s="30" t="s">
        <v>556</v>
      </c>
      <c r="H72" s="27" t="s">
        <v>557</v>
      </c>
      <c r="I72" s="27" t="s">
        <v>558</v>
      </c>
    </row>
    <row r="73">
      <c r="B73" s="27" t="s">
        <v>559</v>
      </c>
      <c r="C73" s="28">
        <v>9.25925925925926E-4</v>
      </c>
      <c r="D73" s="28">
        <v>0.043506944444444445</v>
      </c>
      <c r="E73" s="27" t="s">
        <v>560</v>
      </c>
      <c r="F73" s="27" t="s">
        <v>561</v>
      </c>
      <c r="G73" s="29">
        <f>+1.1 %</f>
        <v>0.011</v>
      </c>
      <c r="H73" s="27" t="s">
        <v>562</v>
      </c>
      <c r="I73" s="27" t="s">
        <v>563</v>
      </c>
    </row>
    <row r="74">
      <c r="B74" s="27" t="s">
        <v>564</v>
      </c>
      <c r="C74" s="28">
        <v>1.6203703703703703E-4</v>
      </c>
      <c r="D74" s="28">
        <v>0.043680555555555556</v>
      </c>
      <c r="E74" s="27" t="s">
        <v>468</v>
      </c>
      <c r="F74" s="27" t="s">
        <v>565</v>
      </c>
      <c r="G74" s="30" t="s">
        <v>566</v>
      </c>
      <c r="H74" s="27" t="s">
        <v>567</v>
      </c>
      <c r="I74" s="27" t="s">
        <v>568</v>
      </c>
    </row>
    <row r="75">
      <c r="B75" s="27" t="s">
        <v>569</v>
      </c>
      <c r="C75" s="28">
        <v>0.0016087962962962963</v>
      </c>
      <c r="D75" s="28">
        <v>0.04528935185185185</v>
      </c>
      <c r="E75" s="27" t="s">
        <v>570</v>
      </c>
      <c r="F75" s="27" t="s">
        <v>571</v>
      </c>
      <c r="G75" s="30" t="s">
        <v>572</v>
      </c>
      <c r="H75" s="27" t="s">
        <v>573</v>
      </c>
      <c r="I75" s="27" t="s">
        <v>574</v>
      </c>
    </row>
    <row r="76">
      <c r="B76" s="27" t="s">
        <v>575</v>
      </c>
      <c r="C76" s="28">
        <v>4.5138888888888887E-4</v>
      </c>
      <c r="D76" s="28">
        <v>0.04574074074074074</v>
      </c>
      <c r="E76" s="27" t="s">
        <v>576</v>
      </c>
      <c r="F76" s="27" t="s">
        <v>577</v>
      </c>
      <c r="G76" s="29">
        <f>+0.76 %</f>
        <v>0.0076</v>
      </c>
      <c r="H76" s="27" t="s">
        <v>578</v>
      </c>
      <c r="I76" s="27" t="s">
        <v>579</v>
      </c>
    </row>
    <row r="77">
      <c r="B77" s="27" t="s">
        <v>580</v>
      </c>
      <c r="C77" s="28">
        <v>0.0014699074074074074</v>
      </c>
      <c r="D77" s="28">
        <v>0.04722222222222222</v>
      </c>
      <c r="E77" s="27" t="s">
        <v>581</v>
      </c>
      <c r="F77" s="27" t="s">
        <v>582</v>
      </c>
      <c r="G77" s="30" t="s">
        <v>269</v>
      </c>
      <c r="H77" s="27" t="s">
        <v>583</v>
      </c>
      <c r="I77" s="27" t="s">
        <v>392</v>
      </c>
    </row>
    <row r="78">
      <c r="B78" s="27" t="s">
        <v>584</v>
      </c>
      <c r="C78" s="28">
        <v>7.754629629629629E-4</v>
      </c>
      <c r="D78" s="28">
        <v>0.04800925925925926</v>
      </c>
      <c r="E78" s="27" t="s">
        <v>585</v>
      </c>
      <c r="F78" s="27" t="s">
        <v>586</v>
      </c>
      <c r="G78" s="30" t="s">
        <v>587</v>
      </c>
      <c r="H78" s="27" t="s">
        <v>588</v>
      </c>
      <c r="I78" s="27" t="s">
        <v>589</v>
      </c>
    </row>
    <row r="79">
      <c r="B79" s="27" t="s">
        <v>590</v>
      </c>
      <c r="C79" s="28">
        <v>2.662037037037037E-4</v>
      </c>
      <c r="D79" s="28">
        <v>0.048275462962962964</v>
      </c>
      <c r="E79" s="27" t="s">
        <v>267</v>
      </c>
      <c r="F79" s="27" t="s">
        <v>591</v>
      </c>
      <c r="G79" s="30" t="s">
        <v>592</v>
      </c>
      <c r="H79" s="27" t="s">
        <v>593</v>
      </c>
      <c r="I79" s="27" t="s">
        <v>481</v>
      </c>
    </row>
    <row r="80">
      <c r="B80" s="27" t="s">
        <v>594</v>
      </c>
      <c r="C80" s="28">
        <v>3.2407407407407406E-4</v>
      </c>
      <c r="D80" s="28">
        <v>0.04861111111111111</v>
      </c>
      <c r="E80" s="27" t="s">
        <v>250</v>
      </c>
      <c r="F80" s="27" t="s">
        <v>595</v>
      </c>
      <c r="G80" s="29">
        <f>+2.68 %</f>
        <v>0.0268</v>
      </c>
      <c r="H80" s="27" t="s">
        <v>596</v>
      </c>
      <c r="I80" s="27" t="s">
        <v>402</v>
      </c>
    </row>
    <row r="81">
      <c r="B81" s="27" t="s">
        <v>597</v>
      </c>
      <c r="C81" s="28">
        <v>1.7361111111111112E-4</v>
      </c>
      <c r="D81" s="28">
        <v>0.04878472222222222</v>
      </c>
      <c r="E81" s="27" t="s">
        <v>497</v>
      </c>
      <c r="F81" s="27" t="s">
        <v>598</v>
      </c>
      <c r="G81" s="30" t="s">
        <v>599</v>
      </c>
      <c r="H81" s="27" t="s">
        <v>600</v>
      </c>
      <c r="I81" s="27" t="s">
        <v>295</v>
      </c>
    </row>
    <row r="82">
      <c r="B82" s="27" t="s">
        <v>601</v>
      </c>
      <c r="C82" s="28">
        <v>9.837962962962962E-4</v>
      </c>
      <c r="D82" s="28">
        <v>0.04978009259259259</v>
      </c>
      <c r="E82" s="27" t="s">
        <v>602</v>
      </c>
      <c r="F82" s="27" t="s">
        <v>603</v>
      </c>
      <c r="G82" s="30" t="s">
        <v>604</v>
      </c>
      <c r="H82" s="27" t="s">
        <v>605</v>
      </c>
      <c r="I82" s="27" t="s">
        <v>271</v>
      </c>
    </row>
    <row r="83">
      <c r="B83" s="27" t="s">
        <v>606</v>
      </c>
      <c r="C83" s="28">
        <v>9.143518518518518E-4</v>
      </c>
      <c r="D83" s="28">
        <v>0.050694444444444445</v>
      </c>
      <c r="E83" s="27" t="s">
        <v>607</v>
      </c>
      <c r="F83" s="27" t="s">
        <v>608</v>
      </c>
      <c r="G83" s="29">
        <f>+1.09 %</f>
        <v>0.0109</v>
      </c>
      <c r="H83" s="27" t="s">
        <v>609</v>
      </c>
      <c r="I83" s="27" t="s">
        <v>610</v>
      </c>
    </row>
    <row r="84">
      <c r="B84" s="27" t="s">
        <v>611</v>
      </c>
      <c r="C84" s="28">
        <v>8.449074074074074E-4</v>
      </c>
      <c r="D84" s="28">
        <v>0.051550925925925924</v>
      </c>
      <c r="E84" s="27" t="s">
        <v>612</v>
      </c>
      <c r="F84" s="27" t="s">
        <v>613</v>
      </c>
      <c r="G84" s="30" t="s">
        <v>614</v>
      </c>
      <c r="H84" s="27" t="s">
        <v>615</v>
      </c>
      <c r="I84" s="27" t="s">
        <v>490</v>
      </c>
    </row>
    <row r="85">
      <c r="B85" s="27" t="s">
        <v>616</v>
      </c>
      <c r="C85" s="28">
        <v>4.050925925925926E-4</v>
      </c>
      <c r="D85" s="28">
        <v>0.05195601851851852</v>
      </c>
      <c r="E85" s="27" t="s">
        <v>441</v>
      </c>
      <c r="F85" s="27" t="s">
        <v>617</v>
      </c>
      <c r="G85" s="29">
        <f>+2.4 %</f>
        <v>0.024</v>
      </c>
      <c r="H85" s="27" t="s">
        <v>618</v>
      </c>
      <c r="I85" s="27" t="s">
        <v>289</v>
      </c>
    </row>
    <row r="86">
      <c r="B86" s="27" t="s">
        <v>619</v>
      </c>
      <c r="C86" s="28">
        <v>2.777777777777778E-4</v>
      </c>
      <c r="D86" s="28">
        <v>0.05224537037037037</v>
      </c>
      <c r="E86" s="27" t="s">
        <v>620</v>
      </c>
      <c r="F86" s="27" t="s">
        <v>621</v>
      </c>
      <c r="G86" s="29">
        <f>+0.38 %</f>
        <v>0.0038</v>
      </c>
      <c r="H86" s="27" t="s">
        <v>622</v>
      </c>
      <c r="I86" s="27" t="s">
        <v>623</v>
      </c>
    </row>
    <row r="87">
      <c r="B87" s="27" t="s">
        <v>624</v>
      </c>
      <c r="C87" s="28">
        <v>0.001412037037037037</v>
      </c>
      <c r="D87" s="28">
        <v>0.05365740740740741</v>
      </c>
      <c r="E87" s="27" t="s">
        <v>625</v>
      </c>
      <c r="F87" s="27" t="s">
        <v>626</v>
      </c>
      <c r="G87" s="29">
        <f>+0.11 %</f>
        <v>0.0011</v>
      </c>
      <c r="H87" s="27" t="s">
        <v>627</v>
      </c>
      <c r="I87" s="27" t="s">
        <v>628</v>
      </c>
    </row>
    <row r="88">
      <c r="B88" s="27" t="s">
        <v>629</v>
      </c>
      <c r="C88" s="28">
        <v>6.944444444444445E-4</v>
      </c>
      <c r="D88" s="28">
        <v>0.05435185185185185</v>
      </c>
      <c r="E88" s="27" t="s">
        <v>376</v>
      </c>
      <c r="F88" s="27" t="s">
        <v>630</v>
      </c>
      <c r="G88" s="30" t="s">
        <v>331</v>
      </c>
      <c r="H88" s="27" t="s">
        <v>33</v>
      </c>
      <c r="I88" s="27" t="s">
        <v>631</v>
      </c>
    </row>
    <row r="89">
      <c r="B89" s="27" t="s">
        <v>632</v>
      </c>
      <c r="C89" s="28">
        <v>6.365740740740741E-4</v>
      </c>
      <c r="D89" s="28">
        <v>0.055</v>
      </c>
      <c r="E89" s="27" t="s">
        <v>545</v>
      </c>
      <c r="F89" s="27" t="s">
        <v>633</v>
      </c>
      <c r="G89" s="29">
        <f>+3.86 %</f>
        <v>0.0386</v>
      </c>
      <c r="H89" s="27" t="s">
        <v>634</v>
      </c>
      <c r="I89" s="27" t="s">
        <v>289</v>
      </c>
    </row>
    <row r="90">
      <c r="B90" s="27" t="s">
        <v>635</v>
      </c>
      <c r="C90" s="28">
        <v>0.0018865740740740742</v>
      </c>
      <c r="D90" s="28">
        <v>0.056886574074074076</v>
      </c>
      <c r="E90" s="27" t="s">
        <v>636</v>
      </c>
      <c r="F90" s="27" t="s">
        <v>637</v>
      </c>
      <c r="G90" s="29">
        <f>+0.1 %</f>
        <v>0.001</v>
      </c>
      <c r="H90" s="27" t="s">
        <v>638</v>
      </c>
      <c r="I90" s="27" t="s">
        <v>639</v>
      </c>
    </row>
    <row r="91">
      <c r="B91" s="27" t="s">
        <v>640</v>
      </c>
      <c r="C91" s="28">
        <v>0.0011111111111111111</v>
      </c>
      <c r="D91" s="28">
        <v>0.05800925925925926</v>
      </c>
      <c r="E91" s="27" t="s">
        <v>641</v>
      </c>
      <c r="F91" s="27" t="s">
        <v>642</v>
      </c>
      <c r="G91" s="30" t="s">
        <v>643</v>
      </c>
      <c r="H91" s="27" t="s">
        <v>644</v>
      </c>
      <c r="I91" s="27" t="s">
        <v>645</v>
      </c>
    </row>
    <row r="92">
      <c r="B92" s="27" t="s">
        <v>646</v>
      </c>
      <c r="C92" s="28">
        <v>3.2407407407407406E-4</v>
      </c>
      <c r="D92" s="28">
        <v>0.05834490740740741</v>
      </c>
      <c r="E92" s="27" t="s">
        <v>647</v>
      </c>
      <c r="F92" s="27" t="s">
        <v>648</v>
      </c>
      <c r="G92" s="30" t="s">
        <v>649</v>
      </c>
      <c r="H92" s="27" t="s">
        <v>650</v>
      </c>
      <c r="I92" s="27" t="s">
        <v>651</v>
      </c>
    </row>
    <row r="93">
      <c r="B93" s="27" t="s">
        <v>652</v>
      </c>
      <c r="C93" s="28">
        <v>4.62962962962963E-4</v>
      </c>
      <c r="D93" s="28">
        <v>0.058819444444444445</v>
      </c>
      <c r="E93" s="27" t="s">
        <v>653</v>
      </c>
      <c r="F93" s="27" t="s">
        <v>654</v>
      </c>
      <c r="G93" s="29">
        <f>+0.32 %</f>
        <v>0.0032</v>
      </c>
      <c r="H93" s="27" t="s">
        <v>655</v>
      </c>
      <c r="I93" s="27" t="s">
        <v>656</v>
      </c>
    </row>
    <row r="94">
      <c r="B94" s="27" t="s">
        <v>657</v>
      </c>
      <c r="C94" s="28">
        <v>6.481481481481481E-4</v>
      </c>
      <c r="D94" s="28">
        <v>0.059479166666666666</v>
      </c>
      <c r="E94" s="27" t="s">
        <v>297</v>
      </c>
      <c r="F94" s="27" t="s">
        <v>658</v>
      </c>
      <c r="G94" s="29">
        <f>+3.17 %</f>
        <v>0.0317</v>
      </c>
      <c r="H94" s="27" t="s">
        <v>659</v>
      </c>
      <c r="I94" s="27" t="s">
        <v>248</v>
      </c>
    </row>
    <row r="95">
      <c r="B95" s="27" t="s">
        <v>660</v>
      </c>
      <c r="C95" s="28">
        <v>1.8518518518518518E-4</v>
      </c>
      <c r="D95" s="28">
        <v>0.05966435185185185</v>
      </c>
      <c r="E95" s="27" t="s">
        <v>468</v>
      </c>
      <c r="F95" s="27" t="s">
        <v>661</v>
      </c>
      <c r="G95" s="29">
        <f>+0.34 %</f>
        <v>0.0034</v>
      </c>
      <c r="H95" s="27" t="s">
        <v>662</v>
      </c>
      <c r="I95" s="27" t="s">
        <v>284</v>
      </c>
    </row>
    <row r="96">
      <c r="B96" s="27" t="s">
        <v>663</v>
      </c>
      <c r="C96" s="28">
        <v>3.0092592592592595E-4</v>
      </c>
      <c r="D96" s="28">
        <v>0.05997685185185185</v>
      </c>
      <c r="E96" s="27" t="s">
        <v>306</v>
      </c>
      <c r="F96" s="27" t="s">
        <v>664</v>
      </c>
      <c r="G96" s="30" t="s">
        <v>665</v>
      </c>
      <c r="H96" s="27" t="s">
        <v>666</v>
      </c>
      <c r="I96" s="27" t="s">
        <v>667</v>
      </c>
    </row>
    <row r="97">
      <c r="B97" s="27" t="s">
        <v>668</v>
      </c>
      <c r="C97" s="28">
        <v>4.62962962962963E-4</v>
      </c>
      <c r="D97" s="28">
        <v>0.060439814814814814</v>
      </c>
      <c r="E97" s="27" t="s">
        <v>370</v>
      </c>
      <c r="F97" s="27" t="s">
        <v>669</v>
      </c>
      <c r="G97" s="29">
        <f>+1.9 %</f>
        <v>0.019</v>
      </c>
      <c r="H97" s="27" t="s">
        <v>670</v>
      </c>
      <c r="I97" s="27" t="s">
        <v>671</v>
      </c>
    </row>
    <row r="98">
      <c r="B98" s="27" t="s">
        <v>672</v>
      </c>
      <c r="C98" s="28">
        <v>9.606481481481482E-4</v>
      </c>
      <c r="D98" s="28">
        <v>0.061412037037037036</v>
      </c>
      <c r="E98" s="27" t="s">
        <v>673</v>
      </c>
      <c r="F98" s="27" t="s">
        <v>674</v>
      </c>
      <c r="G98" s="29">
        <f>+0.76 %</f>
        <v>0.0076</v>
      </c>
      <c r="H98" s="27" t="s">
        <v>675</v>
      </c>
      <c r="I98" s="27" t="s">
        <v>676</v>
      </c>
    </row>
    <row r="99">
      <c r="B99" s="27" t="s">
        <v>677</v>
      </c>
      <c r="C99" s="28">
        <v>0.0010185185185185184</v>
      </c>
      <c r="D99" s="28">
        <v>0.06243055555555556</v>
      </c>
      <c r="E99" s="27" t="s">
        <v>678</v>
      </c>
      <c r="F99" s="27" t="s">
        <v>679</v>
      </c>
      <c r="G99" s="29">
        <f>+0.92 %</f>
        <v>0.0092</v>
      </c>
      <c r="H99" s="27" t="s">
        <v>680</v>
      </c>
      <c r="I99" s="27" t="s">
        <v>363</v>
      </c>
    </row>
    <row r="100">
      <c r="B100" s="27" t="s">
        <v>681</v>
      </c>
      <c r="C100" s="28">
        <v>8.217592592592593E-4</v>
      </c>
      <c r="D100" s="28">
        <v>0.06326388888888888</v>
      </c>
      <c r="E100" s="27" t="s">
        <v>404</v>
      </c>
      <c r="F100" s="27" t="s">
        <v>682</v>
      </c>
      <c r="G100" s="30" t="s">
        <v>683</v>
      </c>
      <c r="H100" s="27" t="s">
        <v>684</v>
      </c>
      <c r="I100" s="27" t="s">
        <v>685</v>
      </c>
    </row>
    <row r="101">
      <c r="B101" s="27" t="s">
        <v>686</v>
      </c>
      <c r="C101" s="28">
        <v>1.6203703703703703E-4</v>
      </c>
      <c r="D101" s="28">
        <v>0.06342592592592593</v>
      </c>
      <c r="E101" s="27" t="s">
        <v>399</v>
      </c>
      <c r="F101" s="27" t="s">
        <v>687</v>
      </c>
      <c r="G101" s="30" t="s">
        <v>688</v>
      </c>
      <c r="H101" s="27" t="s">
        <v>275</v>
      </c>
      <c r="I101" s="27" t="s">
        <v>689</v>
      </c>
    </row>
    <row r="102">
      <c r="B102" s="27" t="s">
        <v>690</v>
      </c>
      <c r="C102" s="28">
        <v>7.407407407407407E-4</v>
      </c>
      <c r="D102" s="28">
        <v>0.06416666666666666</v>
      </c>
      <c r="E102" s="27" t="s">
        <v>691</v>
      </c>
      <c r="F102" s="27" t="s">
        <v>692</v>
      </c>
      <c r="G102" s="29">
        <f>+1.29 %</f>
        <v>0.0129</v>
      </c>
      <c r="H102" s="27" t="s">
        <v>693</v>
      </c>
      <c r="I102" s="27" t="s">
        <v>694</v>
      </c>
    </row>
    <row r="103">
      <c r="B103" s="27" t="s">
        <v>695</v>
      </c>
      <c r="C103" s="28">
        <v>9.490740740740741E-4</v>
      </c>
      <c r="D103" s="28">
        <v>0.06512731481481482</v>
      </c>
      <c r="E103" s="27" t="s">
        <v>612</v>
      </c>
      <c r="F103" s="27" t="s">
        <v>696</v>
      </c>
      <c r="G103" s="29">
        <f>+2.47 %</f>
        <v>0.0247</v>
      </c>
      <c r="H103" s="27" t="s">
        <v>697</v>
      </c>
      <c r="I103" s="27" t="s">
        <v>289</v>
      </c>
    </row>
    <row r="104">
      <c r="B104" s="27" t="s">
        <v>698</v>
      </c>
      <c r="C104" s="28">
        <v>8.217592592592593E-4</v>
      </c>
      <c r="D104" s="28">
        <v>0.06594907407407408</v>
      </c>
      <c r="E104" s="27" t="s">
        <v>394</v>
      </c>
      <c r="F104" s="27" t="s">
        <v>699</v>
      </c>
      <c r="G104" s="29">
        <f>+0.05 %</f>
        <v>0.0005</v>
      </c>
      <c r="H104" s="27" t="s">
        <v>700</v>
      </c>
      <c r="I104" s="27" t="s">
        <v>701</v>
      </c>
    </row>
    <row r="105">
      <c r="B105" s="27" t="s">
        <v>702</v>
      </c>
      <c r="C105" s="28">
        <v>0.0016435185185185185</v>
      </c>
      <c r="D105" s="28">
        <v>0.06760416666666667</v>
      </c>
      <c r="E105" s="27" t="s">
        <v>703</v>
      </c>
      <c r="F105" s="27" t="s">
        <v>704</v>
      </c>
      <c r="G105" s="29">
        <f>+0.22 %</f>
        <v>0.0022</v>
      </c>
      <c r="H105" s="27" t="s">
        <v>705</v>
      </c>
      <c r="I105" s="27" t="s">
        <v>706</v>
      </c>
    </row>
    <row r="106">
      <c r="B106" s="27" t="s">
        <v>707</v>
      </c>
      <c r="C106" s="28">
        <v>2.199074074074074E-4</v>
      </c>
      <c r="D106" s="28">
        <v>0.06782407407407408</v>
      </c>
      <c r="E106" s="27" t="s">
        <v>708</v>
      </c>
      <c r="F106" s="27" t="s">
        <v>709</v>
      </c>
      <c r="G106" s="29">
        <f>+1.07 %</f>
        <v>0.0107</v>
      </c>
      <c r="H106" s="27" t="s">
        <v>710</v>
      </c>
      <c r="I106" s="27" t="s">
        <v>711</v>
      </c>
    </row>
    <row r="107">
      <c r="B107" s="27" t="s">
        <v>712</v>
      </c>
      <c r="C107" s="28">
        <v>0.0011689814814814816</v>
      </c>
      <c r="D107" s="28">
        <v>0.06899305555555556</v>
      </c>
      <c r="E107" s="27" t="s">
        <v>713</v>
      </c>
      <c r="F107" s="27" t="s">
        <v>714</v>
      </c>
      <c r="G107" s="30" t="s">
        <v>715</v>
      </c>
      <c r="H107" s="27" t="s">
        <v>716</v>
      </c>
      <c r="I107" s="27" t="s">
        <v>717</v>
      </c>
    </row>
    <row r="108">
      <c r="B108" s="27" t="s">
        <v>718</v>
      </c>
      <c r="C108" s="28">
        <v>0.001238425925925926</v>
      </c>
      <c r="D108" s="28">
        <v>0.07024305555555556</v>
      </c>
      <c r="E108" s="27" t="s">
        <v>719</v>
      </c>
      <c r="F108" s="27" t="s">
        <v>720</v>
      </c>
      <c r="G108" s="30" t="s">
        <v>721</v>
      </c>
      <c r="H108" s="27" t="s">
        <v>722</v>
      </c>
      <c r="I108" s="27" t="s">
        <v>723</v>
      </c>
    </row>
    <row r="109">
      <c r="B109" s="27" t="s">
        <v>724</v>
      </c>
      <c r="C109" s="28">
        <v>8.564814814814815E-4</v>
      </c>
      <c r="D109" s="28">
        <v>0.07111111111111111</v>
      </c>
      <c r="E109" s="27" t="s">
        <v>725</v>
      </c>
      <c r="F109" s="27" t="s">
        <v>726</v>
      </c>
      <c r="G109" s="30" t="s">
        <v>727</v>
      </c>
      <c r="H109" s="27" t="s">
        <v>728</v>
      </c>
      <c r="I109" s="27" t="s">
        <v>729</v>
      </c>
    </row>
    <row r="110">
      <c r="B110" s="27" t="s">
        <v>730</v>
      </c>
      <c r="C110" s="28">
        <v>9.143518518518518E-4</v>
      </c>
      <c r="D110" s="28">
        <v>0.07202546296296296</v>
      </c>
      <c r="E110" s="27" t="s">
        <v>731</v>
      </c>
      <c r="F110" s="27" t="s">
        <v>732</v>
      </c>
      <c r="G110" s="29">
        <f>+0.16 %</f>
        <v>0.0016</v>
      </c>
      <c r="H110" s="27" t="s">
        <v>733</v>
      </c>
      <c r="I110" s="27" t="s">
        <v>392</v>
      </c>
    </row>
    <row r="111">
      <c r="B111" s="27" t="s">
        <v>734</v>
      </c>
      <c r="C111" s="28">
        <v>2.199074074074074E-4</v>
      </c>
      <c r="D111" s="28">
        <v>0.07225694444444444</v>
      </c>
      <c r="E111" s="27" t="s">
        <v>708</v>
      </c>
      <c r="F111" s="27" t="s">
        <v>735</v>
      </c>
      <c r="G111" s="30" t="s">
        <v>736</v>
      </c>
      <c r="H111" s="27" t="s">
        <v>737</v>
      </c>
      <c r="I111" s="27" t="s">
        <v>738</v>
      </c>
    </row>
    <row r="112">
      <c r="B112" s="27" t="s">
        <v>739</v>
      </c>
      <c r="C112" s="28">
        <v>1.8518518518518518E-4</v>
      </c>
      <c r="D112" s="28">
        <v>0.07244212962962963</v>
      </c>
      <c r="E112" s="27" t="s">
        <v>360</v>
      </c>
      <c r="F112" s="27" t="s">
        <v>740</v>
      </c>
      <c r="G112" s="30" t="s">
        <v>741</v>
      </c>
      <c r="H112" s="27" t="s">
        <v>78</v>
      </c>
      <c r="I112" s="27" t="s">
        <v>568</v>
      </c>
    </row>
    <row r="113">
      <c r="B113" s="27" t="s">
        <v>742</v>
      </c>
      <c r="C113" s="28">
        <v>2.8935185185185184E-4</v>
      </c>
      <c r="D113" s="28">
        <v>0.07273148148148148</v>
      </c>
      <c r="E113" s="27" t="s">
        <v>273</v>
      </c>
      <c r="F113" s="27" t="s">
        <v>743</v>
      </c>
      <c r="G113" s="30" t="s">
        <v>744</v>
      </c>
      <c r="H113" s="27" t="s">
        <v>745</v>
      </c>
      <c r="I113" s="27" t="s">
        <v>746</v>
      </c>
    </row>
    <row r="114">
      <c r="B114" s="27" t="s">
        <v>747</v>
      </c>
      <c r="C114" s="28">
        <v>7.638888888888889E-4</v>
      </c>
      <c r="D114" s="28">
        <v>0.07350694444444444</v>
      </c>
      <c r="E114" s="27" t="s">
        <v>748</v>
      </c>
      <c r="F114" s="27" t="s">
        <v>749</v>
      </c>
      <c r="G114" s="29">
        <f>+0.06 %</f>
        <v>0.0006</v>
      </c>
      <c r="H114" s="27" t="s">
        <v>750</v>
      </c>
      <c r="I114" s="27" t="s">
        <v>751</v>
      </c>
    </row>
    <row r="115">
      <c r="B115" s="27" t="s">
        <v>752</v>
      </c>
      <c r="C115" s="28">
        <v>3.4722222222222224E-4</v>
      </c>
      <c r="D115" s="28">
        <v>0.07386574074074075</v>
      </c>
      <c r="E115" s="27" t="s">
        <v>753</v>
      </c>
      <c r="F115" s="27" t="s">
        <v>754</v>
      </c>
      <c r="G115" s="29">
        <f>+0.38 %</f>
        <v>0.0038</v>
      </c>
      <c r="H115" s="27" t="s">
        <v>755</v>
      </c>
      <c r="I115" s="27" t="s">
        <v>756</v>
      </c>
    </row>
    <row r="116">
      <c r="B116" s="27" t="s">
        <v>757</v>
      </c>
      <c r="C116" s="28">
        <v>9.606481481481482E-4</v>
      </c>
      <c r="D116" s="28">
        <v>0.07482638888888889</v>
      </c>
      <c r="E116" s="27" t="s">
        <v>356</v>
      </c>
      <c r="F116" s="27" t="s">
        <v>758</v>
      </c>
      <c r="G116" s="29">
        <f>+1.72 %</f>
        <v>0.0172</v>
      </c>
      <c r="H116" s="27" t="s">
        <v>759</v>
      </c>
      <c r="I116" s="27" t="s">
        <v>402</v>
      </c>
    </row>
    <row r="117">
      <c r="B117" s="27" t="s">
        <v>760</v>
      </c>
      <c r="C117" s="28">
        <v>3.7037037037037035E-4</v>
      </c>
      <c r="D117" s="28">
        <v>0.07519675925925925</v>
      </c>
      <c r="E117" s="27" t="s">
        <v>382</v>
      </c>
      <c r="F117" s="27" t="s">
        <v>761</v>
      </c>
      <c r="G117" s="30" t="s">
        <v>762</v>
      </c>
      <c r="H117" s="27" t="s">
        <v>763</v>
      </c>
      <c r="I117" s="27" t="s">
        <v>701</v>
      </c>
    </row>
    <row r="118">
      <c r="B118" s="27" t="s">
        <v>764</v>
      </c>
      <c r="C118" s="28">
        <v>7.291666666666667E-4</v>
      </c>
      <c r="D118" s="28">
        <v>0.07592592592592592</v>
      </c>
      <c r="E118" s="27" t="s">
        <v>765</v>
      </c>
      <c r="F118" s="27" t="s">
        <v>766</v>
      </c>
      <c r="G118" s="30" t="s">
        <v>527</v>
      </c>
      <c r="H118" s="27" t="s">
        <v>767</v>
      </c>
      <c r="I118" s="27" t="s">
        <v>254</v>
      </c>
    </row>
    <row r="119">
      <c r="B119" s="27" t="s">
        <v>768</v>
      </c>
      <c r="C119" s="28">
        <v>3.935185185185185E-4</v>
      </c>
      <c r="D119" s="28">
        <v>0.07633101851851852</v>
      </c>
      <c r="E119" s="27" t="s">
        <v>281</v>
      </c>
      <c r="F119" s="27" t="s">
        <v>769</v>
      </c>
      <c r="G119" s="29">
        <f>+1.35 %</f>
        <v>0.0135</v>
      </c>
      <c r="H119" s="27" t="s">
        <v>770</v>
      </c>
      <c r="I119" s="27" t="s">
        <v>771</v>
      </c>
    </row>
    <row r="120">
      <c r="B120" s="27" t="s">
        <v>772</v>
      </c>
      <c r="C120" s="28">
        <v>0.001863425925925926</v>
      </c>
      <c r="D120" s="28">
        <v>0.07820601851851852</v>
      </c>
      <c r="E120" s="27" t="s">
        <v>345</v>
      </c>
      <c r="F120" s="27" t="s">
        <v>773</v>
      </c>
      <c r="G120" s="30" t="s">
        <v>774</v>
      </c>
      <c r="H120" s="27" t="s">
        <v>775</v>
      </c>
      <c r="I120" s="27" t="s">
        <v>776</v>
      </c>
    </row>
    <row r="121">
      <c r="B121" s="27" t="s">
        <v>777</v>
      </c>
      <c r="C121" s="28">
        <v>6.25E-4</v>
      </c>
      <c r="D121" s="28">
        <v>0.07884259259259259</v>
      </c>
      <c r="E121" s="27" t="s">
        <v>340</v>
      </c>
      <c r="F121" s="27" t="s">
        <v>778</v>
      </c>
      <c r="G121" s="30" t="s">
        <v>779</v>
      </c>
      <c r="H121" s="27" t="s">
        <v>439</v>
      </c>
      <c r="I121" s="27" t="s">
        <v>780</v>
      </c>
    </row>
    <row r="122">
      <c r="B122" s="27" t="s">
        <v>781</v>
      </c>
      <c r="C122" s="28">
        <v>6.597222222222222E-4</v>
      </c>
      <c r="D122" s="28">
        <v>0.07950231481481482</v>
      </c>
      <c r="E122" s="27" t="s">
        <v>229</v>
      </c>
      <c r="F122" s="27" t="s">
        <v>782</v>
      </c>
      <c r="G122" s="30" t="s">
        <v>783</v>
      </c>
      <c r="H122" s="27" t="s">
        <v>588</v>
      </c>
      <c r="I122" s="27" t="s">
        <v>495</v>
      </c>
    </row>
    <row r="123">
      <c r="B123" s="27" t="s">
        <v>784</v>
      </c>
      <c r="C123" s="28">
        <v>0.0016666666666666668</v>
      </c>
      <c r="D123" s="28">
        <v>0.08118055555555556</v>
      </c>
      <c r="E123" s="27" t="s">
        <v>785</v>
      </c>
      <c r="F123" s="27" t="s">
        <v>786</v>
      </c>
      <c r="G123" s="29">
        <f>+0.09 %</f>
        <v>0.0009</v>
      </c>
      <c r="H123" s="27" t="s">
        <v>787</v>
      </c>
      <c r="I123" s="27" t="s">
        <v>788</v>
      </c>
    </row>
    <row r="124">
      <c r="B124" s="27" t="s">
        <v>789</v>
      </c>
      <c r="C124" s="28">
        <v>4.7453703703703704E-4</v>
      </c>
      <c r="D124" s="28">
        <v>0.08166666666666667</v>
      </c>
      <c r="E124" s="27" t="s">
        <v>370</v>
      </c>
      <c r="F124" s="27" t="s">
        <v>790</v>
      </c>
      <c r="G124" s="29">
        <f>+1.6 %</f>
        <v>0.016</v>
      </c>
      <c r="H124" s="27" t="s">
        <v>791</v>
      </c>
      <c r="I124" s="27" t="s">
        <v>792</v>
      </c>
    </row>
    <row r="125">
      <c r="B125" s="27" t="s">
        <v>793</v>
      </c>
      <c r="C125" s="28">
        <v>1.8518518518518518E-4</v>
      </c>
      <c r="D125" s="28">
        <v>0.08185185185185186</v>
      </c>
      <c r="E125" s="27" t="s">
        <v>794</v>
      </c>
      <c r="F125" s="27" t="s">
        <v>795</v>
      </c>
      <c r="G125" s="29">
        <f>+4.21 %</f>
        <v>0.0421</v>
      </c>
      <c r="H125" s="27" t="s">
        <v>796</v>
      </c>
      <c r="I125" s="27" t="s">
        <v>797</v>
      </c>
    </row>
    <row r="126">
      <c r="B126" s="27" t="s">
        <v>798</v>
      </c>
      <c r="C126" s="28">
        <v>0.0013194444444444445</v>
      </c>
      <c r="D126" s="28">
        <v>0.08318287037037037</v>
      </c>
      <c r="E126" s="27" t="s">
        <v>799</v>
      </c>
      <c r="F126" s="27" t="s">
        <v>800</v>
      </c>
      <c r="G126" s="29">
        <f>+4.65 %</f>
        <v>0.0465</v>
      </c>
      <c r="H126" s="27" t="s">
        <v>801</v>
      </c>
      <c r="I126" s="27" t="s">
        <v>402</v>
      </c>
    </row>
    <row r="127">
      <c r="B127" s="27" t="s">
        <v>802</v>
      </c>
      <c r="C127" s="28">
        <v>7.291666666666667E-4</v>
      </c>
      <c r="D127" s="28">
        <v>0.08392361111111112</v>
      </c>
      <c r="E127" s="27" t="s">
        <v>229</v>
      </c>
      <c r="F127" s="27" t="s">
        <v>803</v>
      </c>
      <c r="G127" s="29">
        <f>+0.88 %</f>
        <v>0.0088</v>
      </c>
      <c r="H127" s="27" t="s">
        <v>804</v>
      </c>
      <c r="I127" s="27" t="s">
        <v>805</v>
      </c>
    </row>
    <row r="128">
      <c r="B128" s="27" t="s">
        <v>806</v>
      </c>
      <c r="C128" s="28">
        <v>3.0092592592592595E-4</v>
      </c>
      <c r="D128" s="28">
        <v>0.08423611111111111</v>
      </c>
      <c r="E128" s="27" t="s">
        <v>273</v>
      </c>
      <c r="F128" s="27" t="s">
        <v>807</v>
      </c>
      <c r="G128" s="30" t="s">
        <v>488</v>
      </c>
      <c r="H128" s="27" t="s">
        <v>808</v>
      </c>
      <c r="I128" s="27" t="s">
        <v>295</v>
      </c>
    </row>
    <row r="129">
      <c r="B129" s="27" t="s">
        <v>809</v>
      </c>
      <c r="C129" s="28">
        <v>1.6203703703703703E-4</v>
      </c>
      <c r="D129" s="28">
        <v>0.08439814814814815</v>
      </c>
      <c r="E129" s="27" t="s">
        <v>468</v>
      </c>
      <c r="F129" s="27" t="s">
        <v>810</v>
      </c>
      <c r="G129" s="29">
        <f>+0.95 %</f>
        <v>0.0095</v>
      </c>
      <c r="H129" s="27" t="s">
        <v>615</v>
      </c>
      <c r="I129" s="27" t="s">
        <v>811</v>
      </c>
    </row>
    <row r="130">
      <c r="B130" s="27" t="s">
        <v>812</v>
      </c>
      <c r="C130" s="28">
        <v>5.787037037037037E-4</v>
      </c>
      <c r="D130" s="28">
        <v>0.08498842592592593</v>
      </c>
      <c r="E130" s="27" t="s">
        <v>813</v>
      </c>
      <c r="F130" s="27" t="s">
        <v>814</v>
      </c>
      <c r="G130" s="30" t="s">
        <v>815</v>
      </c>
      <c r="H130" s="27" t="s">
        <v>650</v>
      </c>
      <c r="I130" s="27" t="s">
        <v>816</v>
      </c>
    </row>
    <row r="131">
      <c r="B131" s="27" t="s">
        <v>817</v>
      </c>
      <c r="C131" s="28">
        <v>1.8518518518518518E-4</v>
      </c>
      <c r="D131" s="28">
        <v>0.08518518518518518</v>
      </c>
      <c r="E131" s="27" t="s">
        <v>818</v>
      </c>
      <c r="F131" s="27" t="s">
        <v>819</v>
      </c>
      <c r="G131" s="29">
        <f>+0.72 %</f>
        <v>0.0072</v>
      </c>
      <c r="H131" s="27" t="s">
        <v>820</v>
      </c>
      <c r="I131" s="27" t="s">
        <v>821</v>
      </c>
    </row>
    <row r="132">
      <c r="B132" s="27" t="s">
        <v>822</v>
      </c>
      <c r="C132" s="28">
        <v>2.777777777777778E-4</v>
      </c>
      <c r="D132" s="28">
        <v>0.08546296296296296</v>
      </c>
      <c r="E132" s="27" t="s">
        <v>273</v>
      </c>
      <c r="F132" s="27" t="s">
        <v>823</v>
      </c>
      <c r="G132" s="30" t="s">
        <v>824</v>
      </c>
      <c r="H132" s="27" t="s">
        <v>825</v>
      </c>
      <c r="I132" s="27" t="s">
        <v>321</v>
      </c>
    </row>
    <row r="133">
      <c r="B133" s="27" t="s">
        <v>826</v>
      </c>
      <c r="C133" s="28">
        <v>1.0416666666666667E-4</v>
      </c>
      <c r="D133" s="28">
        <v>0.0855787037037037</v>
      </c>
      <c r="E133" s="27" t="s">
        <v>228</v>
      </c>
      <c r="F133" s="27" t="s">
        <v>827</v>
      </c>
      <c r="G133" s="30" t="s">
        <v>828</v>
      </c>
      <c r="H133" s="27" t="s">
        <v>829</v>
      </c>
      <c r="I133" s="27" t="s">
        <v>830</v>
      </c>
    </row>
    <row r="134">
      <c r="B134" s="27" t="s">
        <v>831</v>
      </c>
      <c r="C134" s="28">
        <v>1.7361111111111112E-4</v>
      </c>
      <c r="D134" s="28">
        <v>0.08575231481481481</v>
      </c>
      <c r="E134" s="27" t="s">
        <v>360</v>
      </c>
      <c r="F134" s="27" t="s">
        <v>832</v>
      </c>
      <c r="G134" s="30" t="s">
        <v>833</v>
      </c>
      <c r="H134" s="27" t="s">
        <v>834</v>
      </c>
      <c r="I134" s="27" t="s">
        <v>333</v>
      </c>
    </row>
    <row r="135">
      <c r="B135" s="27" t="s">
        <v>835</v>
      </c>
      <c r="C135" s="28">
        <v>1.1574074074074075E-4</v>
      </c>
      <c r="D135" s="28">
        <v>0.08586805555555556</v>
      </c>
      <c r="E135" s="27" t="s">
        <v>419</v>
      </c>
      <c r="F135" s="27" t="s">
        <v>836</v>
      </c>
      <c r="G135" s="29">
        <f>+0.78 %</f>
        <v>0.0078</v>
      </c>
      <c r="H135" s="27" t="s">
        <v>837</v>
      </c>
      <c r="I135" s="27" t="s">
        <v>838</v>
      </c>
    </row>
    <row r="136">
      <c r="B136" s="27" t="s">
        <v>839</v>
      </c>
      <c r="C136" s="28">
        <v>4.5138888888888887E-4</v>
      </c>
      <c r="D136" s="28">
        <v>0.08633101851851852</v>
      </c>
      <c r="E136" s="27" t="s">
        <v>261</v>
      </c>
      <c r="F136" s="27" t="s">
        <v>840</v>
      </c>
      <c r="G136" s="30" t="s">
        <v>841</v>
      </c>
      <c r="H136" s="27" t="s">
        <v>842</v>
      </c>
      <c r="I136" s="27" t="s">
        <v>321</v>
      </c>
    </row>
    <row r="137">
      <c r="B137" s="27" t="s">
        <v>843</v>
      </c>
      <c r="C137" s="28">
        <v>3.7037037037037035E-4</v>
      </c>
      <c r="D137" s="28">
        <v>0.08670138888888888</v>
      </c>
      <c r="E137" s="27" t="s">
        <v>514</v>
      </c>
      <c r="F137" s="27" t="s">
        <v>844</v>
      </c>
      <c r="G137" s="30" t="s">
        <v>845</v>
      </c>
      <c r="H137" s="27" t="s">
        <v>846</v>
      </c>
      <c r="I137" s="27" t="s">
        <v>847</v>
      </c>
    </row>
    <row r="138">
      <c r="B138" s="27" t="s">
        <v>848</v>
      </c>
      <c r="C138" s="28">
        <v>0.0013773148148148147</v>
      </c>
      <c r="D138" s="28">
        <v>0.0880787037037037</v>
      </c>
      <c r="E138" s="27" t="s">
        <v>849</v>
      </c>
      <c r="F138" s="27" t="s">
        <v>850</v>
      </c>
      <c r="G138" s="29">
        <f>+0.6 %</f>
        <v>0.006</v>
      </c>
      <c r="H138" s="27" t="s">
        <v>851</v>
      </c>
      <c r="I138" s="27" t="s">
        <v>852</v>
      </c>
    </row>
    <row r="139">
      <c r="B139" s="27" t="s">
        <v>853</v>
      </c>
      <c r="C139" s="28">
        <v>1.388888888888889E-4</v>
      </c>
      <c r="D139" s="28">
        <v>0.0882175925925926</v>
      </c>
      <c r="E139" s="27" t="s">
        <v>854</v>
      </c>
      <c r="F139" s="27" t="s">
        <v>855</v>
      </c>
      <c r="G139" s="30" t="s">
        <v>856</v>
      </c>
      <c r="H139" s="27" t="s">
        <v>857</v>
      </c>
      <c r="I139" s="27" t="s">
        <v>858</v>
      </c>
    </row>
    <row r="140">
      <c r="B140" s="27" t="s">
        <v>859</v>
      </c>
      <c r="C140" s="28">
        <v>2.546296296296296E-4</v>
      </c>
      <c r="D140" s="28">
        <v>0.0884837962962963</v>
      </c>
      <c r="E140" s="27" t="s">
        <v>267</v>
      </c>
      <c r="F140" s="27" t="s">
        <v>860</v>
      </c>
      <c r="G140" s="30" t="s">
        <v>861</v>
      </c>
      <c r="H140" s="27" t="s">
        <v>862</v>
      </c>
      <c r="I140" s="27" t="s">
        <v>863</v>
      </c>
    </row>
    <row r="141">
      <c r="B141" s="27" t="s">
        <v>864</v>
      </c>
      <c r="C141" s="28">
        <v>1.6203703703703703E-4</v>
      </c>
      <c r="D141" s="28">
        <v>0.08865740740740741</v>
      </c>
      <c r="E141" s="27" t="s">
        <v>468</v>
      </c>
      <c r="F141" s="27" t="s">
        <v>865</v>
      </c>
      <c r="G141" s="30" t="s">
        <v>866</v>
      </c>
      <c r="H141" s="27" t="s">
        <v>867</v>
      </c>
      <c r="I141" s="27" t="s">
        <v>780</v>
      </c>
    </row>
    <row r="142">
      <c r="B142" s="27" t="s">
        <v>868</v>
      </c>
      <c r="C142" s="28">
        <v>4.5138888888888887E-4</v>
      </c>
      <c r="D142" s="28">
        <v>0.0891087962962963</v>
      </c>
      <c r="E142" s="27" t="s">
        <v>520</v>
      </c>
      <c r="F142" s="27" t="s">
        <v>869</v>
      </c>
      <c r="G142" s="29">
        <f>+0.36 %</f>
        <v>0.0036</v>
      </c>
      <c r="H142" s="27" t="s">
        <v>870</v>
      </c>
      <c r="I142" s="27" t="s">
        <v>623</v>
      </c>
    </row>
    <row r="143">
      <c r="B143" s="27" t="s">
        <v>871</v>
      </c>
      <c r="C143" s="28">
        <v>9.490740740740741E-4</v>
      </c>
      <c r="D143" s="28">
        <v>0.09005787037037037</v>
      </c>
      <c r="E143" s="27" t="s">
        <v>356</v>
      </c>
      <c r="F143" s="27" t="s">
        <v>872</v>
      </c>
      <c r="G143" s="29">
        <f>+1.14 %</f>
        <v>0.0114</v>
      </c>
      <c r="H143" s="27" t="s">
        <v>873</v>
      </c>
      <c r="I143" s="27" t="s">
        <v>874</v>
      </c>
    </row>
    <row r="144">
      <c r="B144" s="27" t="s">
        <v>875</v>
      </c>
      <c r="C144" s="28">
        <v>1.7361111111111112E-4</v>
      </c>
      <c r="D144" s="28">
        <v>0.09023148148148148</v>
      </c>
      <c r="E144" s="27" t="s">
        <v>468</v>
      </c>
      <c r="F144" s="27" t="s">
        <v>876</v>
      </c>
      <c r="G144" s="30" t="s">
        <v>877</v>
      </c>
      <c r="H144" s="27" t="s">
        <v>878</v>
      </c>
      <c r="I144" s="27" t="s">
        <v>534</v>
      </c>
    </row>
    <row r="145">
      <c r="B145" s="27" t="s">
        <v>879</v>
      </c>
      <c r="C145" s="28">
        <v>4.398148148148148E-4</v>
      </c>
      <c r="D145" s="28">
        <v>0.09067129629629629</v>
      </c>
      <c r="E145" s="27" t="s">
        <v>445</v>
      </c>
      <c r="F145" s="27" t="s">
        <v>880</v>
      </c>
      <c r="G145" s="30" t="s">
        <v>881</v>
      </c>
      <c r="H145" s="27" t="s">
        <v>353</v>
      </c>
      <c r="I145" s="27" t="s">
        <v>882</v>
      </c>
    </row>
    <row r="146">
      <c r="B146" s="31" t="s">
        <v>883</v>
      </c>
      <c r="C146" s="32">
        <v>0.09067129629629629</v>
      </c>
      <c r="D146" s="32">
        <v>0.09067129629629629</v>
      </c>
      <c r="E146" s="27" t="s">
        <v>880</v>
      </c>
      <c r="F146" s="27" t="s">
        <v>880</v>
      </c>
      <c r="G146" s="33">
        <v>4.0E-4</v>
      </c>
      <c r="H146" s="31" t="s">
        <v>884</v>
      </c>
      <c r="I146" s="31" t="s">
        <v>885</v>
      </c>
    </row>
    <row r="147">
      <c r="B147" s="34"/>
      <c r="C147" s="34"/>
      <c r="D147" s="34"/>
      <c r="E147" s="34"/>
      <c r="F147" s="34"/>
      <c r="G147" s="35"/>
      <c r="H147" s="34"/>
      <c r="I147" s="34"/>
    </row>
    <row r="148">
      <c r="G148" s="24"/>
    </row>
    <row r="149">
      <c r="G149" s="24"/>
    </row>
    <row r="150">
      <c r="G150" s="24"/>
    </row>
    <row r="151">
      <c r="G151" s="24"/>
    </row>
    <row r="152">
      <c r="G152" s="24"/>
    </row>
    <row r="153">
      <c r="G153" s="24"/>
    </row>
    <row r="154">
      <c r="G154" s="24"/>
    </row>
    <row r="155">
      <c r="G155" s="24"/>
    </row>
    <row r="156">
      <c r="G156" s="24"/>
    </row>
    <row r="157">
      <c r="G157" s="24"/>
    </row>
    <row r="158">
      <c r="G158" s="24"/>
    </row>
    <row r="159">
      <c r="G159" s="24"/>
    </row>
    <row r="160">
      <c r="G160" s="24"/>
    </row>
    <row r="161">
      <c r="G161" s="24"/>
    </row>
    <row r="162">
      <c r="G162" s="24"/>
    </row>
    <row r="163">
      <c r="G163" s="24"/>
    </row>
    <row r="164">
      <c r="G164" s="24"/>
    </row>
    <row r="165">
      <c r="G165" s="24"/>
    </row>
    <row r="166">
      <c r="G166" s="24"/>
    </row>
    <row r="167">
      <c r="G167" s="24"/>
    </row>
    <row r="168">
      <c r="G168" s="24"/>
    </row>
    <row r="169">
      <c r="G169" s="24"/>
    </row>
    <row r="170">
      <c r="G170" s="24"/>
    </row>
    <row r="171">
      <c r="G171" s="24"/>
    </row>
    <row r="172">
      <c r="G172" s="24"/>
    </row>
    <row r="173">
      <c r="G173" s="24"/>
    </row>
    <row r="174">
      <c r="G174" s="24"/>
    </row>
    <row r="175">
      <c r="G175" s="24"/>
    </row>
    <row r="176">
      <c r="G176" s="24"/>
    </row>
    <row r="177">
      <c r="G177" s="24"/>
    </row>
    <row r="178">
      <c r="G178" s="24"/>
    </row>
    <row r="179">
      <c r="G179" s="24"/>
    </row>
    <row r="180">
      <c r="G180" s="24"/>
    </row>
    <row r="181">
      <c r="G181" s="24"/>
    </row>
    <row r="182">
      <c r="G182" s="24"/>
    </row>
    <row r="183">
      <c r="G183" s="24"/>
    </row>
    <row r="184">
      <c r="G184" s="24"/>
    </row>
    <row r="185">
      <c r="G185" s="24"/>
    </row>
    <row r="186">
      <c r="G186" s="24"/>
    </row>
    <row r="187">
      <c r="G187" s="24"/>
    </row>
    <row r="188">
      <c r="G188" s="24"/>
    </row>
    <row r="189">
      <c r="G189" s="24"/>
    </row>
    <row r="190">
      <c r="G190" s="24"/>
    </row>
    <row r="191">
      <c r="G191" s="24"/>
    </row>
    <row r="192">
      <c r="G192" s="24"/>
    </row>
    <row r="193">
      <c r="G193" s="24"/>
    </row>
    <row r="194">
      <c r="G194" s="24"/>
    </row>
    <row r="195">
      <c r="G195" s="24"/>
    </row>
    <row r="196">
      <c r="G196" s="24"/>
    </row>
    <row r="197">
      <c r="G197" s="24"/>
    </row>
    <row r="198">
      <c r="G198" s="24"/>
    </row>
    <row r="199">
      <c r="G199" s="24"/>
    </row>
    <row r="200">
      <c r="G200" s="24"/>
    </row>
    <row r="201">
      <c r="G201" s="24"/>
    </row>
    <row r="202">
      <c r="G202" s="24"/>
    </row>
    <row r="203">
      <c r="G203" s="24"/>
    </row>
    <row r="204">
      <c r="G204" s="24"/>
    </row>
    <row r="205">
      <c r="G205" s="24"/>
    </row>
    <row r="206">
      <c r="G206" s="24"/>
    </row>
    <row r="207">
      <c r="G207" s="24"/>
    </row>
    <row r="208">
      <c r="G208" s="24"/>
    </row>
    <row r="209">
      <c r="G209" s="24"/>
    </row>
    <row r="210">
      <c r="G210" s="24"/>
    </row>
    <row r="211">
      <c r="G211" s="24"/>
    </row>
    <row r="212">
      <c r="G212" s="24"/>
    </row>
    <row r="213">
      <c r="G213" s="24"/>
    </row>
    <row r="214">
      <c r="G214" s="24"/>
    </row>
    <row r="215">
      <c r="G215" s="24"/>
    </row>
    <row r="216">
      <c r="G216" s="24"/>
    </row>
    <row r="217">
      <c r="G217" s="24"/>
    </row>
    <row r="218">
      <c r="G218" s="24"/>
    </row>
    <row r="219">
      <c r="G219" s="24"/>
    </row>
    <row r="220">
      <c r="G220" s="24"/>
    </row>
    <row r="221">
      <c r="G221" s="24"/>
    </row>
    <row r="222">
      <c r="G222" s="24"/>
    </row>
    <row r="223">
      <c r="G223" s="24"/>
    </row>
    <row r="224">
      <c r="G224" s="24"/>
    </row>
    <row r="225">
      <c r="G225" s="24"/>
    </row>
    <row r="226">
      <c r="G226" s="24"/>
    </row>
    <row r="227">
      <c r="G227" s="24"/>
    </row>
    <row r="228">
      <c r="G228" s="24"/>
    </row>
    <row r="229">
      <c r="G229" s="24"/>
    </row>
    <row r="230">
      <c r="G230" s="24"/>
    </row>
    <row r="231">
      <c r="G231" s="24"/>
    </row>
    <row r="232">
      <c r="G232" s="24"/>
    </row>
    <row r="233">
      <c r="G233" s="24"/>
    </row>
    <row r="234">
      <c r="G234" s="24"/>
    </row>
    <row r="235">
      <c r="G235" s="24"/>
    </row>
    <row r="236">
      <c r="G236" s="24"/>
    </row>
    <row r="237">
      <c r="G237" s="24"/>
    </row>
    <row r="238">
      <c r="G238" s="24"/>
    </row>
    <row r="239">
      <c r="G239" s="24"/>
    </row>
    <row r="240">
      <c r="G240" s="24"/>
    </row>
    <row r="241">
      <c r="G241" s="24"/>
    </row>
    <row r="242">
      <c r="G242" s="24"/>
    </row>
    <row r="243">
      <c r="G243" s="24"/>
    </row>
    <row r="244">
      <c r="G244" s="24"/>
    </row>
    <row r="245">
      <c r="G245" s="24"/>
    </row>
    <row r="246">
      <c r="G246" s="24"/>
    </row>
    <row r="247">
      <c r="G247" s="24"/>
    </row>
    <row r="248">
      <c r="G248" s="24"/>
    </row>
    <row r="249">
      <c r="G249" s="24"/>
    </row>
    <row r="250">
      <c r="G250" s="24"/>
    </row>
    <row r="251">
      <c r="G251" s="24"/>
    </row>
    <row r="252">
      <c r="G252" s="24"/>
    </row>
    <row r="253">
      <c r="G253" s="24"/>
    </row>
    <row r="254">
      <c r="G254" s="24"/>
    </row>
    <row r="255">
      <c r="G255" s="24"/>
    </row>
    <row r="256">
      <c r="G256" s="24"/>
    </row>
    <row r="257">
      <c r="G257" s="24"/>
    </row>
    <row r="258">
      <c r="G258" s="24"/>
    </row>
    <row r="259">
      <c r="G259" s="24"/>
    </row>
    <row r="260">
      <c r="G260" s="24"/>
    </row>
    <row r="261">
      <c r="G261" s="24"/>
    </row>
    <row r="262">
      <c r="G262" s="24"/>
    </row>
    <row r="263">
      <c r="G263" s="24"/>
    </row>
    <row r="264">
      <c r="G264" s="24"/>
    </row>
    <row r="265">
      <c r="G265" s="24"/>
    </row>
    <row r="266">
      <c r="G266" s="24"/>
    </row>
    <row r="267">
      <c r="G267" s="24"/>
    </row>
    <row r="268">
      <c r="G268" s="24"/>
    </row>
    <row r="269">
      <c r="G269" s="24"/>
    </row>
    <row r="270">
      <c r="G270" s="24"/>
    </row>
    <row r="271">
      <c r="G271" s="24"/>
    </row>
    <row r="272">
      <c r="G272" s="24"/>
    </row>
    <row r="273">
      <c r="G273" s="24"/>
    </row>
    <row r="274">
      <c r="G274" s="24"/>
    </row>
    <row r="275">
      <c r="G275" s="24"/>
    </row>
    <row r="276">
      <c r="G276" s="24"/>
    </row>
    <row r="277">
      <c r="G277" s="24"/>
    </row>
    <row r="278">
      <c r="G278" s="24"/>
    </row>
    <row r="279">
      <c r="G279" s="24"/>
    </row>
    <row r="280">
      <c r="G280" s="24"/>
    </row>
    <row r="281">
      <c r="G281" s="24"/>
    </row>
    <row r="282">
      <c r="G282" s="24"/>
    </row>
    <row r="283">
      <c r="G283" s="24"/>
    </row>
    <row r="284">
      <c r="G284" s="24"/>
    </row>
    <row r="285">
      <c r="G285" s="24"/>
    </row>
    <row r="286">
      <c r="G286" s="24"/>
    </row>
    <row r="287">
      <c r="G287" s="24"/>
    </row>
    <row r="288">
      <c r="G288" s="24"/>
    </row>
    <row r="289">
      <c r="G289" s="24"/>
    </row>
    <row r="290">
      <c r="G290" s="24"/>
    </row>
    <row r="291">
      <c r="G291" s="24"/>
    </row>
    <row r="292">
      <c r="G292" s="24"/>
    </row>
    <row r="293">
      <c r="G293" s="24"/>
    </row>
    <row r="294">
      <c r="G294" s="24"/>
    </row>
    <row r="295">
      <c r="G295" s="24"/>
    </row>
    <row r="296">
      <c r="G296" s="24"/>
    </row>
    <row r="297">
      <c r="G297" s="24"/>
    </row>
    <row r="298">
      <c r="G298" s="24"/>
    </row>
    <row r="299">
      <c r="G299" s="24"/>
    </row>
    <row r="300">
      <c r="G300" s="24"/>
    </row>
    <row r="301">
      <c r="G301" s="24"/>
    </row>
    <row r="302">
      <c r="G302" s="24"/>
    </row>
    <row r="303">
      <c r="G303" s="24"/>
    </row>
    <row r="304">
      <c r="G304" s="24"/>
    </row>
    <row r="305">
      <c r="G305" s="24"/>
    </row>
    <row r="306">
      <c r="G306" s="24"/>
    </row>
    <row r="307">
      <c r="G307" s="24"/>
    </row>
    <row r="308">
      <c r="G308" s="24"/>
    </row>
    <row r="309">
      <c r="G309" s="24"/>
    </row>
    <row r="310">
      <c r="G310" s="24"/>
    </row>
    <row r="311">
      <c r="G311" s="24"/>
    </row>
    <row r="312">
      <c r="G312" s="24"/>
    </row>
    <row r="313">
      <c r="G313" s="24"/>
    </row>
    <row r="314">
      <c r="G314" s="24"/>
    </row>
    <row r="315">
      <c r="G315" s="24"/>
    </row>
    <row r="316">
      <c r="G316" s="24"/>
    </row>
    <row r="317">
      <c r="G317" s="24"/>
    </row>
    <row r="318">
      <c r="G318" s="24"/>
    </row>
    <row r="319">
      <c r="G319" s="24"/>
    </row>
    <row r="320">
      <c r="G320" s="24"/>
    </row>
    <row r="321">
      <c r="G321" s="24"/>
    </row>
    <row r="322">
      <c r="G322" s="24"/>
    </row>
    <row r="323">
      <c r="G323" s="24"/>
    </row>
    <row r="324">
      <c r="G324" s="24"/>
    </row>
    <row r="325">
      <c r="G325" s="24"/>
    </row>
    <row r="326">
      <c r="G326" s="24"/>
    </row>
    <row r="327">
      <c r="G327" s="24"/>
    </row>
    <row r="328">
      <c r="G328" s="24"/>
    </row>
    <row r="329">
      <c r="G329" s="24"/>
    </row>
    <row r="330">
      <c r="G330" s="24"/>
    </row>
    <row r="331">
      <c r="G331" s="24"/>
    </row>
    <row r="332">
      <c r="G332" s="24"/>
    </row>
    <row r="333">
      <c r="G333" s="24"/>
    </row>
    <row r="334">
      <c r="G334" s="24"/>
    </row>
    <row r="335">
      <c r="G335" s="24"/>
    </row>
    <row r="336">
      <c r="G336" s="24"/>
    </row>
    <row r="337">
      <c r="G337" s="24"/>
    </row>
    <row r="338">
      <c r="G338" s="24"/>
    </row>
    <row r="339">
      <c r="G339" s="24"/>
    </row>
    <row r="340">
      <c r="G340" s="24"/>
    </row>
    <row r="341">
      <c r="G341" s="24"/>
    </row>
    <row r="342">
      <c r="G342" s="24"/>
    </row>
    <row r="343">
      <c r="G343" s="24"/>
    </row>
    <row r="344">
      <c r="G344" s="24"/>
    </row>
    <row r="345">
      <c r="G345" s="24"/>
    </row>
    <row r="346">
      <c r="G346" s="24"/>
    </row>
    <row r="347">
      <c r="G347" s="24"/>
    </row>
    <row r="348">
      <c r="G348" s="24"/>
    </row>
    <row r="349">
      <c r="G349" s="24"/>
    </row>
    <row r="350">
      <c r="G350" s="24"/>
    </row>
    <row r="351">
      <c r="G351" s="24"/>
    </row>
    <row r="352">
      <c r="G352" s="24"/>
    </row>
    <row r="353">
      <c r="G353" s="24"/>
    </row>
    <row r="354">
      <c r="G354" s="24"/>
    </row>
    <row r="355">
      <c r="G355" s="24"/>
    </row>
    <row r="356">
      <c r="G356" s="24"/>
    </row>
    <row r="357">
      <c r="G357" s="24"/>
    </row>
    <row r="358">
      <c r="G358" s="24"/>
    </row>
    <row r="359">
      <c r="G359" s="24"/>
    </row>
    <row r="360">
      <c r="G360" s="24"/>
    </row>
    <row r="361">
      <c r="G361" s="24"/>
    </row>
    <row r="362">
      <c r="G362" s="24"/>
    </row>
    <row r="363">
      <c r="G363" s="24"/>
    </row>
    <row r="364">
      <c r="G364" s="24"/>
    </row>
    <row r="365">
      <c r="G365" s="24"/>
    </row>
    <row r="366">
      <c r="G366" s="24"/>
    </row>
    <row r="367">
      <c r="G367" s="24"/>
    </row>
    <row r="368">
      <c r="G368" s="24"/>
    </row>
    <row r="369">
      <c r="G369" s="24"/>
    </row>
    <row r="370">
      <c r="G370" s="24"/>
    </row>
    <row r="371">
      <c r="G371" s="24"/>
    </row>
    <row r="372">
      <c r="G372" s="24"/>
    </row>
    <row r="373">
      <c r="G373" s="24"/>
    </row>
    <row r="374">
      <c r="G374" s="24"/>
    </row>
    <row r="375">
      <c r="G375" s="24"/>
    </row>
    <row r="376">
      <c r="G376" s="24"/>
    </row>
    <row r="377">
      <c r="G377" s="24"/>
    </row>
    <row r="378">
      <c r="G378" s="24"/>
    </row>
    <row r="379">
      <c r="G379" s="24"/>
    </row>
    <row r="380">
      <c r="G380" s="24"/>
    </row>
    <row r="381">
      <c r="G381" s="24"/>
    </row>
    <row r="382">
      <c r="G382" s="24"/>
    </row>
    <row r="383">
      <c r="G383" s="24"/>
    </row>
    <row r="384">
      <c r="G384" s="24"/>
    </row>
    <row r="385">
      <c r="G385" s="24"/>
    </row>
    <row r="386">
      <c r="G386" s="24"/>
    </row>
    <row r="387">
      <c r="G387" s="24"/>
    </row>
    <row r="388">
      <c r="G388" s="24"/>
    </row>
    <row r="389">
      <c r="G389" s="24"/>
    </row>
    <row r="390">
      <c r="G390" s="24"/>
    </row>
    <row r="391">
      <c r="G391" s="24"/>
    </row>
    <row r="392">
      <c r="G392" s="24"/>
    </row>
    <row r="393">
      <c r="G393" s="24"/>
    </row>
    <row r="394">
      <c r="G394" s="24"/>
    </row>
    <row r="395">
      <c r="G395" s="24"/>
    </row>
    <row r="396">
      <c r="G396" s="24"/>
    </row>
    <row r="397">
      <c r="G397" s="24"/>
    </row>
    <row r="398">
      <c r="G398" s="24"/>
    </row>
    <row r="399">
      <c r="G399" s="24"/>
    </row>
    <row r="400">
      <c r="G400" s="24"/>
    </row>
    <row r="401">
      <c r="G401" s="24"/>
    </row>
    <row r="402">
      <c r="G402" s="24"/>
    </row>
    <row r="403">
      <c r="G403" s="24"/>
    </row>
    <row r="404">
      <c r="G404" s="24"/>
    </row>
    <row r="405">
      <c r="G405" s="24"/>
    </row>
    <row r="406">
      <c r="G406" s="24"/>
    </row>
    <row r="407">
      <c r="G407" s="24"/>
    </row>
    <row r="408">
      <c r="G408" s="24"/>
    </row>
    <row r="409">
      <c r="G409" s="24"/>
    </row>
    <row r="410">
      <c r="G410" s="24"/>
    </row>
    <row r="411">
      <c r="G411" s="24"/>
    </row>
    <row r="412">
      <c r="G412" s="24"/>
    </row>
    <row r="413">
      <c r="G413" s="24"/>
    </row>
    <row r="414">
      <c r="G414" s="24"/>
    </row>
    <row r="415">
      <c r="G415" s="24"/>
    </row>
    <row r="416">
      <c r="G416" s="24"/>
    </row>
    <row r="417">
      <c r="G417" s="24"/>
    </row>
    <row r="418">
      <c r="G418" s="24"/>
    </row>
    <row r="419">
      <c r="G419" s="24"/>
    </row>
    <row r="420">
      <c r="G420" s="24"/>
    </row>
    <row r="421">
      <c r="G421" s="24"/>
    </row>
    <row r="422">
      <c r="G422" s="24"/>
    </row>
    <row r="423">
      <c r="G423" s="24"/>
    </row>
    <row r="424">
      <c r="G424" s="24"/>
    </row>
    <row r="425">
      <c r="G425" s="24"/>
    </row>
    <row r="426">
      <c r="G426" s="24"/>
    </row>
    <row r="427">
      <c r="G427" s="24"/>
    </row>
    <row r="428">
      <c r="G428" s="24"/>
    </row>
    <row r="429">
      <c r="G429" s="24"/>
    </row>
    <row r="430">
      <c r="G430" s="24"/>
    </row>
    <row r="431">
      <c r="G431" s="24"/>
    </row>
    <row r="432">
      <c r="G432" s="24"/>
    </row>
    <row r="433">
      <c r="G433" s="24"/>
    </row>
    <row r="434">
      <c r="G434" s="24"/>
    </row>
    <row r="435">
      <c r="G435" s="24"/>
    </row>
    <row r="436">
      <c r="G436" s="24"/>
    </row>
    <row r="437">
      <c r="G437" s="24"/>
    </row>
    <row r="438">
      <c r="G438" s="24"/>
    </row>
    <row r="439">
      <c r="G439" s="24"/>
    </row>
    <row r="440">
      <c r="G440" s="24"/>
    </row>
    <row r="441">
      <c r="G441" s="24"/>
    </row>
    <row r="442">
      <c r="G442" s="24"/>
    </row>
    <row r="443">
      <c r="G443" s="24"/>
    </row>
    <row r="444">
      <c r="G444" s="24"/>
    </row>
    <row r="445">
      <c r="G445" s="24"/>
    </row>
    <row r="446">
      <c r="G446" s="24"/>
    </row>
    <row r="447">
      <c r="G447" s="24"/>
    </row>
    <row r="448">
      <c r="G448" s="24"/>
    </row>
    <row r="449">
      <c r="G449" s="24"/>
    </row>
    <row r="450">
      <c r="G450" s="24"/>
    </row>
    <row r="451">
      <c r="G451" s="24"/>
    </row>
    <row r="452">
      <c r="G452" s="24"/>
    </row>
    <row r="453">
      <c r="G453" s="24"/>
    </row>
    <row r="454">
      <c r="G454" s="24"/>
    </row>
    <row r="455">
      <c r="G455" s="24"/>
    </row>
    <row r="456">
      <c r="G456" s="24"/>
    </row>
    <row r="457">
      <c r="G457" s="24"/>
    </row>
    <row r="458">
      <c r="G458" s="24"/>
    </row>
    <row r="459">
      <c r="G459" s="24"/>
    </row>
    <row r="460">
      <c r="G460" s="24"/>
    </row>
    <row r="461">
      <c r="G461" s="24"/>
    </row>
    <row r="462">
      <c r="G462" s="24"/>
    </row>
    <row r="463">
      <c r="G463" s="24"/>
    </row>
    <row r="464">
      <c r="G464" s="24"/>
    </row>
    <row r="465">
      <c r="G465" s="24"/>
    </row>
    <row r="466">
      <c r="G466" s="24"/>
    </row>
    <row r="467">
      <c r="G467" s="24"/>
    </row>
    <row r="468">
      <c r="G468" s="24"/>
    </row>
    <row r="469">
      <c r="G469" s="24"/>
    </row>
    <row r="470">
      <c r="G470" s="24"/>
    </row>
    <row r="471">
      <c r="G471" s="24"/>
    </row>
    <row r="472">
      <c r="G472" s="24"/>
    </row>
    <row r="473">
      <c r="G473" s="24"/>
    </row>
    <row r="474">
      <c r="G474" s="24"/>
    </row>
    <row r="475">
      <c r="G475" s="24"/>
    </row>
    <row r="476">
      <c r="G476" s="24"/>
    </row>
    <row r="477">
      <c r="G477" s="24"/>
    </row>
    <row r="478">
      <c r="G478" s="24"/>
    </row>
    <row r="479">
      <c r="G479" s="24"/>
    </row>
    <row r="480">
      <c r="G480" s="24"/>
    </row>
    <row r="481">
      <c r="G481" s="24"/>
    </row>
    <row r="482">
      <c r="G482" s="24"/>
    </row>
    <row r="483">
      <c r="G483" s="24"/>
    </row>
    <row r="484">
      <c r="G484" s="24"/>
    </row>
    <row r="485">
      <c r="G485" s="24"/>
    </row>
    <row r="486">
      <c r="G486" s="24"/>
    </row>
    <row r="487">
      <c r="G487" s="24"/>
    </row>
    <row r="488">
      <c r="G488" s="24"/>
    </row>
    <row r="489">
      <c r="G489" s="24"/>
    </row>
    <row r="490">
      <c r="G490" s="24"/>
    </row>
    <row r="491">
      <c r="G491" s="24"/>
    </row>
    <row r="492">
      <c r="G492" s="24"/>
    </row>
    <row r="493">
      <c r="G493" s="24"/>
    </row>
    <row r="494">
      <c r="G494" s="24"/>
    </row>
    <row r="495">
      <c r="G495" s="24"/>
    </row>
    <row r="496">
      <c r="G496" s="24"/>
    </row>
    <row r="497">
      <c r="G497" s="24"/>
    </row>
    <row r="498">
      <c r="G498" s="24"/>
    </row>
    <row r="499">
      <c r="G499" s="24"/>
    </row>
    <row r="500">
      <c r="G500" s="24"/>
    </row>
    <row r="501">
      <c r="G501" s="24"/>
    </row>
    <row r="502">
      <c r="G502" s="24"/>
    </row>
    <row r="503">
      <c r="G503" s="24"/>
    </row>
    <row r="504">
      <c r="G504" s="24"/>
    </row>
    <row r="505">
      <c r="G505" s="24"/>
    </row>
    <row r="506">
      <c r="G506" s="24"/>
    </row>
    <row r="507">
      <c r="G507" s="24"/>
    </row>
    <row r="508">
      <c r="G508" s="24"/>
    </row>
    <row r="509">
      <c r="G509" s="24"/>
    </row>
    <row r="510">
      <c r="G510" s="24"/>
    </row>
    <row r="511">
      <c r="G511" s="24"/>
    </row>
    <row r="512">
      <c r="G512" s="24"/>
    </row>
    <row r="513">
      <c r="G513" s="24"/>
    </row>
    <row r="514">
      <c r="G514" s="24"/>
    </row>
    <row r="515">
      <c r="G515" s="24"/>
    </row>
    <row r="516">
      <c r="G516" s="24"/>
    </row>
    <row r="517">
      <c r="G517" s="24"/>
    </row>
    <row r="518">
      <c r="G518" s="24"/>
    </row>
    <row r="519">
      <c r="G519" s="24"/>
    </row>
    <row r="520">
      <c r="G520" s="24"/>
    </row>
    <row r="521">
      <c r="G521" s="24"/>
    </row>
    <row r="522">
      <c r="G522" s="24"/>
    </row>
    <row r="523">
      <c r="G523" s="24"/>
    </row>
    <row r="524">
      <c r="G524" s="24"/>
    </row>
    <row r="525">
      <c r="G525" s="24"/>
    </row>
    <row r="526">
      <c r="G526" s="24"/>
    </row>
    <row r="527">
      <c r="G527" s="24"/>
    </row>
    <row r="528">
      <c r="G528" s="24"/>
    </row>
    <row r="529">
      <c r="G529" s="24"/>
    </row>
    <row r="530">
      <c r="G530" s="24"/>
    </row>
    <row r="531">
      <c r="G531" s="24"/>
    </row>
    <row r="532">
      <c r="G532" s="24"/>
    </row>
    <row r="533">
      <c r="G533" s="24"/>
    </row>
    <row r="534">
      <c r="G534" s="24"/>
    </row>
    <row r="535">
      <c r="G535" s="24"/>
    </row>
    <row r="536">
      <c r="G536" s="24"/>
    </row>
    <row r="537">
      <c r="G537" s="24"/>
    </row>
    <row r="538">
      <c r="G538" s="24"/>
    </row>
    <row r="539">
      <c r="G539" s="24"/>
    </row>
    <row r="540">
      <c r="G540" s="24"/>
    </row>
    <row r="541">
      <c r="G541" s="24"/>
    </row>
    <row r="542">
      <c r="G542" s="24"/>
    </row>
    <row r="543">
      <c r="G543" s="24"/>
    </row>
    <row r="544">
      <c r="G544" s="24"/>
    </row>
    <row r="545">
      <c r="G545" s="24"/>
    </row>
    <row r="546">
      <c r="G546" s="24"/>
    </row>
    <row r="547">
      <c r="G547" s="24"/>
    </row>
    <row r="548">
      <c r="G548" s="24"/>
    </row>
    <row r="549">
      <c r="G549" s="24"/>
    </row>
    <row r="550">
      <c r="G550" s="24"/>
    </row>
    <row r="551">
      <c r="G551" s="24"/>
    </row>
    <row r="552">
      <c r="G552" s="24"/>
    </row>
    <row r="553">
      <c r="G553" s="24"/>
    </row>
    <row r="554">
      <c r="G554" s="24"/>
    </row>
    <row r="555">
      <c r="G555" s="24"/>
    </row>
    <row r="556">
      <c r="G556" s="24"/>
    </row>
    <row r="557">
      <c r="G557" s="24"/>
    </row>
    <row r="558">
      <c r="G558" s="24"/>
    </row>
    <row r="559">
      <c r="G559" s="24"/>
    </row>
    <row r="560">
      <c r="G560" s="24"/>
    </row>
    <row r="561">
      <c r="G561" s="24"/>
    </row>
    <row r="562">
      <c r="G562" s="24"/>
    </row>
    <row r="563">
      <c r="G563" s="24"/>
    </row>
    <row r="564">
      <c r="G564" s="24"/>
    </row>
    <row r="565">
      <c r="G565" s="24"/>
    </row>
    <row r="566">
      <c r="G566" s="24"/>
    </row>
    <row r="567">
      <c r="G567" s="24"/>
    </row>
    <row r="568">
      <c r="G568" s="24"/>
    </row>
    <row r="569">
      <c r="G569" s="24"/>
    </row>
    <row r="570">
      <c r="G570" s="24"/>
    </row>
    <row r="571">
      <c r="G571" s="24"/>
    </row>
    <row r="572">
      <c r="G572" s="24"/>
    </row>
    <row r="573">
      <c r="G573" s="24"/>
    </row>
    <row r="574">
      <c r="G574" s="24"/>
    </row>
    <row r="575">
      <c r="G575" s="24"/>
    </row>
    <row r="576">
      <c r="G576" s="24"/>
    </row>
    <row r="577">
      <c r="G577" s="24"/>
    </row>
    <row r="578">
      <c r="G578" s="24"/>
    </row>
    <row r="579">
      <c r="G579" s="24"/>
    </row>
    <row r="580">
      <c r="G580" s="24"/>
    </row>
    <row r="581">
      <c r="G581" s="24"/>
    </row>
    <row r="582">
      <c r="G582" s="24"/>
    </row>
    <row r="583">
      <c r="G583" s="24"/>
    </row>
    <row r="584">
      <c r="G584" s="24"/>
    </row>
    <row r="585">
      <c r="G585" s="24"/>
    </row>
    <row r="586">
      <c r="G586" s="24"/>
    </row>
    <row r="587">
      <c r="G587" s="24"/>
    </row>
    <row r="588">
      <c r="G588" s="24"/>
    </row>
    <row r="589">
      <c r="G589" s="24"/>
    </row>
    <row r="590">
      <c r="G590" s="24"/>
    </row>
    <row r="591">
      <c r="G591" s="24"/>
    </row>
    <row r="592">
      <c r="G592" s="24"/>
    </row>
    <row r="593">
      <c r="G593" s="24"/>
    </row>
    <row r="594">
      <c r="G594" s="24"/>
    </row>
    <row r="595">
      <c r="G595" s="24"/>
    </row>
    <row r="596">
      <c r="G596" s="24"/>
    </row>
    <row r="597">
      <c r="G597" s="24"/>
    </row>
    <row r="598">
      <c r="G598" s="24"/>
    </row>
    <row r="599">
      <c r="G599" s="24"/>
    </row>
    <row r="600">
      <c r="G600" s="24"/>
    </row>
    <row r="601">
      <c r="G601" s="24"/>
    </row>
    <row r="602">
      <c r="G602" s="24"/>
    </row>
    <row r="603">
      <c r="G603" s="24"/>
    </row>
    <row r="604">
      <c r="G604" s="24"/>
    </row>
    <row r="605">
      <c r="G605" s="24"/>
    </row>
    <row r="606">
      <c r="G606" s="24"/>
    </row>
    <row r="607">
      <c r="G607" s="24"/>
    </row>
    <row r="608">
      <c r="G608" s="24"/>
    </row>
    <row r="609">
      <c r="G609" s="24"/>
    </row>
    <row r="610">
      <c r="G610" s="24"/>
    </row>
    <row r="611">
      <c r="G611" s="24"/>
    </row>
    <row r="612">
      <c r="G612" s="24"/>
    </row>
    <row r="613">
      <c r="G613" s="24"/>
    </row>
    <row r="614">
      <c r="G614" s="24"/>
    </row>
    <row r="615">
      <c r="G615" s="24"/>
    </row>
    <row r="616">
      <c r="G616" s="24"/>
    </row>
    <row r="617">
      <c r="G617" s="24"/>
    </row>
    <row r="618">
      <c r="G618" s="24"/>
    </row>
    <row r="619">
      <c r="G619" s="24"/>
    </row>
    <row r="620">
      <c r="G620" s="24"/>
    </row>
    <row r="621">
      <c r="G621" s="24"/>
    </row>
    <row r="622">
      <c r="G622" s="24"/>
    </row>
    <row r="623">
      <c r="G623" s="24"/>
    </row>
    <row r="624">
      <c r="G624" s="24"/>
    </row>
    <row r="625">
      <c r="G625" s="24"/>
    </row>
    <row r="626">
      <c r="G626" s="24"/>
    </row>
    <row r="627">
      <c r="G627" s="24"/>
    </row>
    <row r="628">
      <c r="G628" s="24"/>
    </row>
    <row r="629">
      <c r="G629" s="24"/>
    </row>
    <row r="630">
      <c r="G630" s="24"/>
    </row>
    <row r="631">
      <c r="G631" s="24"/>
    </row>
    <row r="632">
      <c r="G632" s="24"/>
    </row>
    <row r="633">
      <c r="G633" s="24"/>
    </row>
    <row r="634">
      <c r="G634" s="24"/>
    </row>
    <row r="635">
      <c r="G635" s="24"/>
    </row>
    <row r="636">
      <c r="G636" s="24"/>
    </row>
    <row r="637">
      <c r="G637" s="24"/>
    </row>
    <row r="638">
      <c r="G638" s="24"/>
    </row>
    <row r="639">
      <c r="G639" s="24"/>
    </row>
    <row r="640">
      <c r="G640" s="24"/>
    </row>
    <row r="641">
      <c r="G641" s="24"/>
    </row>
    <row r="642">
      <c r="G642" s="24"/>
    </row>
    <row r="643">
      <c r="G643" s="24"/>
    </row>
    <row r="644">
      <c r="G644" s="24"/>
    </row>
    <row r="645">
      <c r="G645" s="24"/>
    </row>
    <row r="646">
      <c r="G646" s="24"/>
    </row>
    <row r="647">
      <c r="G647" s="24"/>
    </row>
    <row r="648">
      <c r="G648" s="24"/>
    </row>
    <row r="649">
      <c r="G649" s="24"/>
    </row>
    <row r="650">
      <c r="G650" s="24"/>
    </row>
    <row r="651">
      <c r="G651" s="24"/>
    </row>
    <row r="652">
      <c r="G652" s="24"/>
    </row>
    <row r="653">
      <c r="G653" s="24"/>
    </row>
    <row r="654">
      <c r="G654" s="24"/>
    </row>
    <row r="655">
      <c r="G655" s="24"/>
    </row>
    <row r="656">
      <c r="G656" s="24"/>
    </row>
    <row r="657">
      <c r="G657" s="24"/>
    </row>
    <row r="658">
      <c r="G658" s="24"/>
    </row>
    <row r="659">
      <c r="G659" s="24"/>
    </row>
    <row r="660">
      <c r="G660" s="24"/>
    </row>
    <row r="661">
      <c r="G661" s="24"/>
    </row>
    <row r="662">
      <c r="G662" s="24"/>
    </row>
    <row r="663">
      <c r="G663" s="24"/>
    </row>
    <row r="664">
      <c r="G664" s="24"/>
    </row>
    <row r="665">
      <c r="G665" s="24"/>
    </row>
    <row r="666">
      <c r="G666" s="24"/>
    </row>
    <row r="667">
      <c r="G667" s="24"/>
    </row>
    <row r="668">
      <c r="G668" s="24"/>
    </row>
    <row r="669">
      <c r="G669" s="24"/>
    </row>
    <row r="670">
      <c r="G670" s="24"/>
    </row>
    <row r="671">
      <c r="G671" s="24"/>
    </row>
    <row r="672">
      <c r="G672" s="24"/>
    </row>
    <row r="673">
      <c r="G673" s="24"/>
    </row>
    <row r="674">
      <c r="G674" s="24"/>
    </row>
    <row r="675">
      <c r="G675" s="24"/>
    </row>
    <row r="676">
      <c r="G676" s="24"/>
    </row>
    <row r="677">
      <c r="G677" s="24"/>
    </row>
    <row r="678">
      <c r="G678" s="24"/>
    </row>
    <row r="679">
      <c r="G679" s="24"/>
    </row>
    <row r="680">
      <c r="G680" s="24"/>
    </row>
    <row r="681">
      <c r="G681" s="24"/>
    </row>
    <row r="682">
      <c r="G682" s="24"/>
    </row>
    <row r="683">
      <c r="G683" s="24"/>
    </row>
    <row r="684">
      <c r="G684" s="24"/>
    </row>
    <row r="685">
      <c r="G685" s="24"/>
    </row>
    <row r="686">
      <c r="G686" s="24"/>
    </row>
    <row r="687">
      <c r="G687" s="24"/>
    </row>
    <row r="688">
      <c r="G688" s="24"/>
    </row>
    <row r="689">
      <c r="G689" s="24"/>
    </row>
    <row r="690">
      <c r="G690" s="24"/>
    </row>
    <row r="691">
      <c r="G691" s="24"/>
    </row>
    <row r="692">
      <c r="G692" s="24"/>
    </row>
    <row r="693">
      <c r="G693" s="24"/>
    </row>
    <row r="694">
      <c r="G694" s="24"/>
    </row>
    <row r="695">
      <c r="G695" s="24"/>
    </row>
    <row r="696">
      <c r="G696" s="24"/>
    </row>
    <row r="697">
      <c r="G697" s="24"/>
    </row>
    <row r="698">
      <c r="G698" s="24"/>
    </row>
    <row r="699">
      <c r="G699" s="24"/>
    </row>
    <row r="700">
      <c r="G700" s="24"/>
    </row>
    <row r="701">
      <c r="G701" s="24"/>
    </row>
    <row r="702">
      <c r="G702" s="24"/>
    </row>
    <row r="703">
      <c r="G703" s="24"/>
    </row>
    <row r="704">
      <c r="G704" s="24"/>
    </row>
    <row r="705">
      <c r="G705" s="24"/>
    </row>
    <row r="706">
      <c r="G706" s="24"/>
    </row>
    <row r="707">
      <c r="G707" s="24"/>
    </row>
    <row r="708">
      <c r="G708" s="24"/>
    </row>
    <row r="709">
      <c r="G709" s="24"/>
    </row>
    <row r="710">
      <c r="G710" s="24"/>
    </row>
    <row r="711">
      <c r="G711" s="24"/>
    </row>
    <row r="712">
      <c r="G712" s="24"/>
    </row>
    <row r="713">
      <c r="G713" s="24"/>
    </row>
    <row r="714">
      <c r="G714" s="24"/>
    </row>
    <row r="715">
      <c r="G715" s="24"/>
    </row>
    <row r="716">
      <c r="G716" s="24"/>
    </row>
    <row r="717">
      <c r="G717" s="24"/>
    </row>
    <row r="718">
      <c r="G718" s="24"/>
    </row>
    <row r="719">
      <c r="G719" s="24"/>
    </row>
    <row r="720">
      <c r="G720" s="24"/>
    </row>
    <row r="721">
      <c r="G721" s="24"/>
    </row>
    <row r="722">
      <c r="G722" s="24"/>
    </row>
    <row r="723">
      <c r="G723" s="24"/>
    </row>
    <row r="724">
      <c r="G724" s="24"/>
    </row>
    <row r="725">
      <c r="G725" s="24"/>
    </row>
    <row r="726">
      <c r="G726" s="24"/>
    </row>
    <row r="727">
      <c r="G727" s="24"/>
    </row>
    <row r="728">
      <c r="G728" s="24"/>
    </row>
    <row r="729">
      <c r="G729" s="24"/>
    </row>
    <row r="730">
      <c r="G730" s="24"/>
    </row>
    <row r="731">
      <c r="G731" s="24"/>
    </row>
    <row r="732">
      <c r="G732" s="24"/>
    </row>
    <row r="733">
      <c r="G733" s="24"/>
    </row>
    <row r="734">
      <c r="G734" s="24"/>
    </row>
    <row r="735">
      <c r="G735" s="24"/>
    </row>
    <row r="736">
      <c r="G736" s="24"/>
    </row>
    <row r="737">
      <c r="G737" s="24"/>
    </row>
    <row r="738">
      <c r="G738" s="24"/>
    </row>
    <row r="739">
      <c r="G739" s="24"/>
    </row>
    <row r="740">
      <c r="G740" s="24"/>
    </row>
    <row r="741">
      <c r="G741" s="24"/>
    </row>
    <row r="742">
      <c r="G742" s="24"/>
    </row>
    <row r="743">
      <c r="G743" s="24"/>
    </row>
    <row r="744">
      <c r="G744" s="24"/>
    </row>
    <row r="745">
      <c r="G745" s="24"/>
    </row>
    <row r="746">
      <c r="G746" s="24"/>
    </row>
    <row r="747">
      <c r="G747" s="24"/>
    </row>
    <row r="748">
      <c r="G748" s="24"/>
    </row>
    <row r="749">
      <c r="G749" s="24"/>
    </row>
    <row r="750">
      <c r="G750" s="24"/>
    </row>
    <row r="751">
      <c r="G751" s="24"/>
    </row>
    <row r="752">
      <c r="G752" s="24"/>
    </row>
    <row r="753">
      <c r="G753" s="24"/>
    </row>
    <row r="754">
      <c r="G754" s="24"/>
    </row>
    <row r="755">
      <c r="G755" s="24"/>
    </row>
    <row r="756">
      <c r="G756" s="24"/>
    </row>
    <row r="757">
      <c r="G757" s="24"/>
    </row>
    <row r="758">
      <c r="G758" s="24"/>
    </row>
    <row r="759">
      <c r="G759" s="24"/>
    </row>
    <row r="760">
      <c r="G760" s="24"/>
    </row>
    <row r="761">
      <c r="G761" s="24"/>
    </row>
    <row r="762">
      <c r="G762" s="24"/>
    </row>
    <row r="763">
      <c r="G763" s="24"/>
    </row>
    <row r="764">
      <c r="G764" s="24"/>
    </row>
    <row r="765">
      <c r="G765" s="24"/>
    </row>
    <row r="766">
      <c r="G766" s="24"/>
    </row>
    <row r="767">
      <c r="G767" s="24"/>
    </row>
    <row r="768">
      <c r="G768" s="24"/>
    </row>
    <row r="769">
      <c r="G769" s="24"/>
    </row>
    <row r="770">
      <c r="G770" s="24"/>
    </row>
    <row r="771">
      <c r="G771" s="24"/>
    </row>
    <row r="772">
      <c r="G772" s="24"/>
    </row>
    <row r="773">
      <c r="G773" s="24"/>
    </row>
    <row r="774">
      <c r="G774" s="24"/>
    </row>
    <row r="775">
      <c r="G775" s="24"/>
    </row>
    <row r="776">
      <c r="G776" s="24"/>
    </row>
    <row r="777">
      <c r="G777" s="24"/>
    </row>
    <row r="778">
      <c r="G778" s="24"/>
    </row>
    <row r="779">
      <c r="G779" s="24"/>
    </row>
    <row r="780">
      <c r="G780" s="24"/>
    </row>
    <row r="781">
      <c r="G781" s="24"/>
    </row>
    <row r="782">
      <c r="G782" s="24"/>
    </row>
    <row r="783">
      <c r="G783" s="24"/>
    </row>
    <row r="784">
      <c r="G784" s="24"/>
    </row>
    <row r="785">
      <c r="G785" s="24"/>
    </row>
    <row r="786">
      <c r="G786" s="24"/>
    </row>
    <row r="787">
      <c r="G787" s="24"/>
    </row>
    <row r="788">
      <c r="G788" s="24"/>
    </row>
    <row r="789">
      <c r="G789" s="24"/>
    </row>
    <row r="790">
      <c r="G790" s="24"/>
    </row>
    <row r="791">
      <c r="G791" s="24"/>
    </row>
    <row r="792">
      <c r="G792" s="24"/>
    </row>
    <row r="793">
      <c r="G793" s="24"/>
    </row>
    <row r="794">
      <c r="G794" s="24"/>
    </row>
    <row r="795">
      <c r="G795" s="24"/>
    </row>
    <row r="796">
      <c r="G796" s="24"/>
    </row>
    <row r="797">
      <c r="G797" s="24"/>
    </row>
    <row r="798">
      <c r="G798" s="24"/>
    </row>
    <row r="799">
      <c r="G799" s="24"/>
    </row>
    <row r="800">
      <c r="G800" s="24"/>
    </row>
    <row r="801">
      <c r="G801" s="24"/>
    </row>
    <row r="802">
      <c r="G802" s="24"/>
    </row>
    <row r="803">
      <c r="G803" s="24"/>
    </row>
    <row r="804">
      <c r="G804" s="24"/>
    </row>
    <row r="805">
      <c r="G805" s="24"/>
    </row>
    <row r="806">
      <c r="G806" s="24"/>
    </row>
    <row r="807">
      <c r="G807" s="24"/>
    </row>
    <row r="808">
      <c r="G808" s="24"/>
    </row>
    <row r="809">
      <c r="G809" s="24"/>
    </row>
    <row r="810">
      <c r="G810" s="24"/>
    </row>
    <row r="811">
      <c r="G811" s="24"/>
    </row>
    <row r="812">
      <c r="G812" s="24"/>
    </row>
    <row r="813">
      <c r="G813" s="24"/>
    </row>
    <row r="814">
      <c r="G814" s="24"/>
    </row>
    <row r="815">
      <c r="G815" s="24"/>
    </row>
    <row r="816">
      <c r="G816" s="24"/>
    </row>
    <row r="817">
      <c r="G817" s="24"/>
    </row>
    <row r="818">
      <c r="G818" s="24"/>
    </row>
    <row r="819">
      <c r="G819" s="24"/>
    </row>
    <row r="820">
      <c r="G820" s="24"/>
    </row>
    <row r="821">
      <c r="G821" s="24"/>
    </row>
    <row r="822">
      <c r="G822" s="24"/>
    </row>
    <row r="823">
      <c r="G823" s="24"/>
    </row>
    <row r="824">
      <c r="G824" s="24"/>
    </row>
    <row r="825">
      <c r="G825" s="24"/>
    </row>
    <row r="826">
      <c r="G826" s="24"/>
    </row>
    <row r="827">
      <c r="G827" s="24"/>
    </row>
    <row r="828">
      <c r="G828" s="24"/>
    </row>
    <row r="829">
      <c r="G829" s="24"/>
    </row>
    <row r="830">
      <c r="G830" s="24"/>
    </row>
    <row r="831">
      <c r="G831" s="24"/>
    </row>
    <row r="832">
      <c r="G832" s="24"/>
    </row>
    <row r="833">
      <c r="G833" s="24"/>
    </row>
    <row r="834">
      <c r="G834" s="24"/>
    </row>
    <row r="835">
      <c r="G835" s="24"/>
    </row>
    <row r="836">
      <c r="G836" s="24"/>
    </row>
    <row r="837">
      <c r="G837" s="24"/>
    </row>
    <row r="838">
      <c r="G838" s="24"/>
    </row>
    <row r="839">
      <c r="G839" s="24"/>
    </row>
    <row r="840">
      <c r="G840" s="24"/>
    </row>
    <row r="841">
      <c r="G841" s="24"/>
    </row>
    <row r="842">
      <c r="G842" s="24"/>
    </row>
    <row r="843">
      <c r="G843" s="24"/>
    </row>
    <row r="844">
      <c r="G844" s="24"/>
    </row>
    <row r="845">
      <c r="G845" s="24"/>
    </row>
    <row r="846">
      <c r="G846" s="24"/>
    </row>
    <row r="847">
      <c r="G847" s="24"/>
    </row>
    <row r="848">
      <c r="G848" s="24"/>
    </row>
    <row r="849">
      <c r="G849" s="24"/>
    </row>
    <row r="850">
      <c r="G850" s="24"/>
    </row>
    <row r="851">
      <c r="G851" s="24"/>
    </row>
    <row r="852">
      <c r="G852" s="24"/>
    </row>
    <row r="853">
      <c r="G853" s="24"/>
    </row>
    <row r="854">
      <c r="G854" s="24"/>
    </row>
    <row r="855">
      <c r="G855" s="24"/>
    </row>
    <row r="856">
      <c r="G856" s="24"/>
    </row>
    <row r="857">
      <c r="G857" s="24"/>
    </row>
    <row r="858">
      <c r="G858" s="24"/>
    </row>
    <row r="859">
      <c r="G859" s="24"/>
    </row>
    <row r="860">
      <c r="G860" s="24"/>
    </row>
    <row r="861">
      <c r="G861" s="24"/>
    </row>
    <row r="862">
      <c r="G862" s="24"/>
    </row>
    <row r="863">
      <c r="G863" s="24"/>
    </row>
    <row r="864">
      <c r="G864" s="24"/>
    </row>
    <row r="865">
      <c r="G865" s="24"/>
    </row>
    <row r="866">
      <c r="G866" s="24"/>
    </row>
    <row r="867">
      <c r="G867" s="24"/>
    </row>
    <row r="868">
      <c r="G868" s="24"/>
    </row>
    <row r="869">
      <c r="G869" s="24"/>
    </row>
    <row r="870">
      <c r="G870" s="24"/>
    </row>
    <row r="871">
      <c r="G871" s="24"/>
    </row>
    <row r="872">
      <c r="G872" s="24"/>
    </row>
    <row r="873">
      <c r="G873" s="24"/>
    </row>
    <row r="874">
      <c r="G874" s="24"/>
    </row>
    <row r="875">
      <c r="G875" s="24"/>
    </row>
    <row r="876">
      <c r="G876" s="24"/>
    </row>
    <row r="877">
      <c r="G877" s="24"/>
    </row>
    <row r="878">
      <c r="G878" s="24"/>
    </row>
    <row r="879">
      <c r="G879" s="24"/>
    </row>
    <row r="880">
      <c r="G880" s="24"/>
    </row>
    <row r="881">
      <c r="G881" s="24"/>
    </row>
    <row r="882">
      <c r="G882" s="24"/>
    </row>
    <row r="883">
      <c r="G883" s="24"/>
    </row>
    <row r="884">
      <c r="G884" s="24"/>
    </row>
    <row r="885">
      <c r="G885" s="24"/>
    </row>
    <row r="886">
      <c r="G886" s="24"/>
    </row>
    <row r="887">
      <c r="G887" s="24"/>
    </row>
    <row r="888">
      <c r="G888" s="24"/>
    </row>
    <row r="889">
      <c r="G889" s="24"/>
    </row>
    <row r="890">
      <c r="G890" s="24"/>
    </row>
    <row r="891">
      <c r="G891" s="24"/>
    </row>
    <row r="892">
      <c r="G892" s="24"/>
    </row>
    <row r="893">
      <c r="G893" s="24"/>
    </row>
    <row r="894">
      <c r="G894" s="24"/>
    </row>
    <row r="895">
      <c r="G895" s="24"/>
    </row>
    <row r="896">
      <c r="G896" s="24"/>
    </row>
    <row r="897">
      <c r="G897" s="24"/>
    </row>
    <row r="898">
      <c r="G898" s="24"/>
    </row>
    <row r="899">
      <c r="G899" s="24"/>
    </row>
    <row r="900">
      <c r="G900" s="24"/>
    </row>
    <row r="901">
      <c r="G901" s="24"/>
    </row>
    <row r="902">
      <c r="G902" s="24"/>
    </row>
    <row r="903">
      <c r="G903" s="24"/>
    </row>
    <row r="904">
      <c r="G904" s="24"/>
    </row>
    <row r="905">
      <c r="G905" s="24"/>
    </row>
    <row r="906">
      <c r="G906" s="24"/>
    </row>
    <row r="907">
      <c r="G907" s="24"/>
    </row>
    <row r="908">
      <c r="G908" s="24"/>
    </row>
    <row r="909">
      <c r="G909" s="24"/>
    </row>
    <row r="910">
      <c r="G910" s="24"/>
    </row>
    <row r="911">
      <c r="G911" s="24"/>
    </row>
    <row r="912">
      <c r="G912" s="24"/>
    </row>
    <row r="913">
      <c r="G913" s="24"/>
    </row>
    <row r="914">
      <c r="G914" s="24"/>
    </row>
    <row r="915">
      <c r="G915" s="24"/>
    </row>
    <row r="916">
      <c r="G916" s="24"/>
    </row>
    <row r="917">
      <c r="G917" s="24"/>
    </row>
    <row r="918">
      <c r="G918" s="24"/>
    </row>
    <row r="919">
      <c r="G919" s="24"/>
    </row>
    <row r="920">
      <c r="G920" s="24"/>
    </row>
    <row r="921">
      <c r="G921" s="24"/>
    </row>
    <row r="922">
      <c r="G922" s="24"/>
    </row>
    <row r="923">
      <c r="G923" s="24"/>
    </row>
    <row r="924">
      <c r="G924" s="24"/>
    </row>
    <row r="925">
      <c r="G925" s="24"/>
    </row>
    <row r="926">
      <c r="G926" s="24"/>
    </row>
    <row r="927">
      <c r="G927" s="24"/>
    </row>
    <row r="928">
      <c r="G928" s="24"/>
    </row>
    <row r="929">
      <c r="G929" s="24"/>
    </row>
    <row r="930">
      <c r="G930" s="24"/>
    </row>
    <row r="931">
      <c r="G931" s="24"/>
    </row>
    <row r="932">
      <c r="G932" s="24"/>
    </row>
    <row r="933">
      <c r="G933" s="24"/>
    </row>
    <row r="934">
      <c r="G934" s="24"/>
    </row>
    <row r="935">
      <c r="G935" s="24"/>
    </row>
    <row r="936">
      <c r="G936" s="24"/>
    </row>
    <row r="937">
      <c r="G937" s="24"/>
    </row>
    <row r="938">
      <c r="G938" s="24"/>
    </row>
    <row r="939">
      <c r="G939" s="24"/>
    </row>
    <row r="940">
      <c r="G940" s="24"/>
    </row>
    <row r="941">
      <c r="G941" s="24"/>
    </row>
    <row r="942">
      <c r="G942" s="24"/>
    </row>
    <row r="943">
      <c r="G943" s="24"/>
    </row>
    <row r="944">
      <c r="G944" s="24"/>
    </row>
    <row r="945">
      <c r="G945" s="24"/>
    </row>
    <row r="946">
      <c r="G946" s="24"/>
    </row>
    <row r="947">
      <c r="G947" s="24"/>
    </row>
    <row r="948">
      <c r="G948" s="24"/>
    </row>
    <row r="949">
      <c r="G949" s="24"/>
    </row>
    <row r="950">
      <c r="G950" s="24"/>
    </row>
    <row r="951">
      <c r="G951" s="24"/>
    </row>
    <row r="952">
      <c r="G952" s="24"/>
    </row>
    <row r="953">
      <c r="G953" s="24"/>
    </row>
    <row r="954">
      <c r="G954" s="24"/>
    </row>
    <row r="955">
      <c r="G955" s="24"/>
    </row>
    <row r="956">
      <c r="G956" s="24"/>
    </row>
    <row r="957">
      <c r="G957" s="24"/>
    </row>
    <row r="958">
      <c r="G958" s="24"/>
    </row>
    <row r="959">
      <c r="G959" s="24"/>
    </row>
    <row r="960">
      <c r="G960" s="24"/>
    </row>
    <row r="961">
      <c r="G961" s="24"/>
    </row>
    <row r="962">
      <c r="G962" s="24"/>
    </row>
    <row r="963">
      <c r="G963" s="24"/>
    </row>
    <row r="964">
      <c r="G964" s="24"/>
    </row>
    <row r="965">
      <c r="G965" s="24"/>
    </row>
    <row r="966">
      <c r="G966" s="24"/>
    </row>
    <row r="967">
      <c r="G967" s="24"/>
    </row>
    <row r="968">
      <c r="G968" s="24"/>
    </row>
    <row r="969">
      <c r="G969" s="24"/>
    </row>
    <row r="970">
      <c r="G970" s="24"/>
    </row>
    <row r="971">
      <c r="G971" s="24"/>
    </row>
    <row r="972">
      <c r="G972" s="24"/>
    </row>
    <row r="973">
      <c r="G973" s="24"/>
    </row>
    <row r="974">
      <c r="G974" s="24"/>
    </row>
    <row r="975">
      <c r="G975" s="24"/>
    </row>
    <row r="976">
      <c r="G976" s="24"/>
    </row>
    <row r="977">
      <c r="G977" s="24"/>
    </row>
    <row r="978">
      <c r="G978" s="24"/>
    </row>
    <row r="979">
      <c r="G979" s="24"/>
    </row>
    <row r="980">
      <c r="G980" s="24"/>
    </row>
    <row r="981">
      <c r="G981" s="24"/>
    </row>
    <row r="982">
      <c r="G982" s="24"/>
    </row>
    <row r="983">
      <c r="G983" s="24"/>
    </row>
    <row r="984">
      <c r="G984" s="24"/>
    </row>
    <row r="985">
      <c r="G985" s="24"/>
    </row>
    <row r="986">
      <c r="G986" s="24"/>
    </row>
    <row r="987">
      <c r="G987" s="24"/>
    </row>
    <row r="988">
      <c r="G988" s="24"/>
    </row>
    <row r="989">
      <c r="G989" s="24"/>
    </row>
    <row r="990">
      <c r="G990" s="24"/>
    </row>
    <row r="991">
      <c r="G991" s="24"/>
    </row>
    <row r="992">
      <c r="G992" s="24"/>
    </row>
    <row r="993">
      <c r="G993" s="24"/>
    </row>
    <row r="994">
      <c r="G994" s="24"/>
    </row>
    <row r="995">
      <c r="G995" s="24"/>
    </row>
    <row r="996">
      <c r="G996" s="24"/>
    </row>
    <row r="997">
      <c r="G997" s="24"/>
    </row>
    <row r="998">
      <c r="G998" s="24"/>
    </row>
    <row r="999">
      <c r="G999" s="24"/>
    </row>
    <row r="1000">
      <c r="G1000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3" max="3" width="16.75"/>
    <col customWidth="1" min="6" max="6" width="20.0"/>
    <col hidden="1" min="7" max="7" width="12.63"/>
    <col hidden="1" min="9" max="18" width="12.63"/>
  </cols>
  <sheetData>
    <row r="1" ht="4.5" customHeight="1">
      <c r="A1" s="36"/>
      <c r="B1" s="36"/>
      <c r="C1" s="36"/>
      <c r="D1" s="36"/>
      <c r="E1" s="36"/>
      <c r="F1" s="36"/>
      <c r="G1" s="36"/>
      <c r="H1" s="36"/>
      <c r="I1" s="37"/>
      <c r="J1" s="37"/>
      <c r="K1" s="37"/>
      <c r="L1" s="37"/>
      <c r="M1" s="37"/>
      <c r="N1" s="37"/>
      <c r="O1" s="37"/>
      <c r="P1" s="37"/>
      <c r="Q1" s="37"/>
      <c r="R1" s="37"/>
      <c r="S1" s="38"/>
      <c r="T1" s="38"/>
      <c r="U1" s="38"/>
      <c r="V1" s="38"/>
      <c r="W1" s="38"/>
      <c r="X1" s="38"/>
      <c r="Y1" s="38"/>
      <c r="Z1" s="38"/>
      <c r="AA1" s="38"/>
    </row>
    <row r="2" ht="27.0" customHeight="1">
      <c r="A2" s="36"/>
      <c r="B2" s="39" t="s">
        <v>886</v>
      </c>
      <c r="C2" s="40"/>
      <c r="D2" s="40"/>
      <c r="E2" s="41"/>
      <c r="F2" s="39" t="s">
        <v>887</v>
      </c>
      <c r="G2" s="40"/>
      <c r="H2" s="41"/>
      <c r="I2" s="42" t="s">
        <v>888</v>
      </c>
      <c r="J2" s="40"/>
      <c r="K2" s="40"/>
      <c r="L2" s="40"/>
      <c r="M2" s="40"/>
      <c r="N2" s="40"/>
      <c r="O2" s="40"/>
      <c r="P2" s="40"/>
      <c r="Q2" s="40"/>
      <c r="R2" s="41"/>
    </row>
    <row r="3">
      <c r="A3" s="43"/>
      <c r="B3" s="44" t="s">
        <v>889</v>
      </c>
      <c r="C3" s="45" t="s">
        <v>890</v>
      </c>
      <c r="D3" s="44" t="s">
        <v>891</v>
      </c>
      <c r="E3" s="44" t="s">
        <v>892</v>
      </c>
      <c r="F3" s="44" t="s">
        <v>893</v>
      </c>
      <c r="G3" s="44" t="s">
        <v>894</v>
      </c>
      <c r="H3" s="44" t="s">
        <v>895</v>
      </c>
      <c r="I3" s="7" t="s">
        <v>896</v>
      </c>
      <c r="J3" s="46" t="s">
        <v>897</v>
      </c>
      <c r="K3" s="7" t="s">
        <v>896</v>
      </c>
      <c r="L3" s="7" t="s">
        <v>898</v>
      </c>
      <c r="M3" s="7" t="s">
        <v>899</v>
      </c>
      <c r="N3" s="7" t="s">
        <v>900</v>
      </c>
      <c r="O3" s="7" t="s">
        <v>901</v>
      </c>
      <c r="P3" s="7" t="s">
        <v>902</v>
      </c>
      <c r="Q3" s="7" t="s">
        <v>903</v>
      </c>
      <c r="R3" s="7" t="s">
        <v>904</v>
      </c>
    </row>
    <row r="4">
      <c r="A4" s="43"/>
      <c r="B4" s="47" t="s">
        <v>35</v>
      </c>
      <c r="C4" s="48">
        <v>0.4</v>
      </c>
      <c r="D4" s="49">
        <v>0.001238425925925926</v>
      </c>
      <c r="E4" s="50" t="s">
        <v>36</v>
      </c>
      <c r="F4" s="51" t="s">
        <v>905</v>
      </c>
      <c r="G4" s="52">
        <f t="shared" ref="G4:G22" si="1">(F4/60)/C4</f>
        <v>4.458333333</v>
      </c>
      <c r="H4" s="53" t="str">
        <f t="shared" ref="H4:H22" si="2">Trunc(G4)&amp;":"&amp;(Trunc((G4-Trunc(G4))*60))</f>
        <v>4:27</v>
      </c>
      <c r="I4" s="10">
        <f t="shared" ref="I4:I22" si="3">MINUTE(D4)*60+SECOND(D4)</f>
        <v>107</v>
      </c>
      <c r="J4" s="46">
        <v>0.4</v>
      </c>
      <c r="K4" s="54" t="s">
        <v>906</v>
      </c>
      <c r="L4" s="54" t="s">
        <v>905</v>
      </c>
      <c r="M4" s="54" t="s">
        <v>907</v>
      </c>
      <c r="N4" s="54" t="s">
        <v>907</v>
      </c>
      <c r="O4" s="54" t="s">
        <v>905</v>
      </c>
      <c r="P4" s="54" t="s">
        <v>905</v>
      </c>
      <c r="Q4" s="54" t="s">
        <v>908</v>
      </c>
      <c r="R4" s="54" t="s">
        <v>908</v>
      </c>
    </row>
    <row r="5">
      <c r="A5" s="43"/>
      <c r="B5" s="55" t="s">
        <v>37</v>
      </c>
      <c r="C5" s="56">
        <v>0.9999999999999999</v>
      </c>
      <c r="D5" s="8">
        <v>0.0025810185185185185</v>
      </c>
      <c r="E5" s="7" t="s">
        <v>38</v>
      </c>
      <c r="F5" s="54" t="s">
        <v>909</v>
      </c>
      <c r="G5" s="10">
        <f t="shared" si="1"/>
        <v>2.845839714</v>
      </c>
      <c r="H5" s="57" t="str">
        <f t="shared" si="2"/>
        <v>2:50</v>
      </c>
      <c r="I5" s="10">
        <f t="shared" si="3"/>
        <v>223</v>
      </c>
      <c r="J5" s="46">
        <v>1.0</v>
      </c>
      <c r="K5" s="54" t="s">
        <v>910</v>
      </c>
      <c r="L5" s="54" t="s">
        <v>911</v>
      </c>
      <c r="M5" s="54" t="s">
        <v>912</v>
      </c>
      <c r="N5" s="54" t="s">
        <v>913</v>
      </c>
      <c r="O5" s="54" t="s">
        <v>911</v>
      </c>
      <c r="P5" s="54" t="s">
        <v>909</v>
      </c>
      <c r="Q5" s="54" t="s">
        <v>914</v>
      </c>
      <c r="R5" s="54" t="s">
        <v>915</v>
      </c>
    </row>
    <row r="6">
      <c r="A6" s="43"/>
      <c r="B6" s="55" t="s">
        <v>39</v>
      </c>
      <c r="C6" s="56">
        <v>1.2000000000000002</v>
      </c>
      <c r="D6" s="8">
        <v>0.003553240740740741</v>
      </c>
      <c r="E6" s="7" t="s">
        <v>40</v>
      </c>
      <c r="F6" s="54" t="s">
        <v>916</v>
      </c>
      <c r="G6" s="10">
        <f t="shared" si="1"/>
        <v>3.766686298</v>
      </c>
      <c r="H6" s="57" t="str">
        <f t="shared" si="2"/>
        <v>3:46</v>
      </c>
      <c r="I6" s="10">
        <f t="shared" si="3"/>
        <v>307</v>
      </c>
      <c r="J6" s="46">
        <v>1.2</v>
      </c>
      <c r="K6" s="54" t="s">
        <v>917</v>
      </c>
      <c r="L6" s="54" t="s">
        <v>918</v>
      </c>
      <c r="M6" s="54" t="s">
        <v>919</v>
      </c>
      <c r="N6" s="54" t="s">
        <v>920</v>
      </c>
      <c r="O6" s="54" t="s">
        <v>918</v>
      </c>
      <c r="P6" s="54" t="s">
        <v>916</v>
      </c>
      <c r="Q6" s="54" t="s">
        <v>921</v>
      </c>
      <c r="R6" s="54" t="s">
        <v>922</v>
      </c>
    </row>
    <row r="7">
      <c r="A7" s="43"/>
      <c r="B7" s="55" t="s">
        <v>41</v>
      </c>
      <c r="C7" s="56">
        <v>1.4</v>
      </c>
      <c r="D7" s="8">
        <v>0.003715277777777778</v>
      </c>
      <c r="E7" s="7" t="s">
        <v>42</v>
      </c>
      <c r="F7" s="54" t="s">
        <v>923</v>
      </c>
      <c r="G7" s="10">
        <f t="shared" si="1"/>
        <v>3.855355702</v>
      </c>
      <c r="H7" s="57" t="str">
        <f t="shared" si="2"/>
        <v>3:51</v>
      </c>
      <c r="I7" s="10">
        <f t="shared" si="3"/>
        <v>321</v>
      </c>
      <c r="J7" s="46">
        <v>1.4</v>
      </c>
      <c r="K7" s="54" t="s">
        <v>924</v>
      </c>
      <c r="L7" s="54" t="s">
        <v>925</v>
      </c>
      <c r="M7" s="54" t="s">
        <v>926</v>
      </c>
      <c r="N7" s="54" t="s">
        <v>927</v>
      </c>
      <c r="O7" s="54" t="s">
        <v>925</v>
      </c>
      <c r="P7" s="54" t="s">
        <v>923</v>
      </c>
      <c r="Q7" s="54" t="s">
        <v>928</v>
      </c>
      <c r="R7" s="54" t="s">
        <v>929</v>
      </c>
    </row>
    <row r="8">
      <c r="A8" s="43"/>
      <c r="B8" s="55" t="s">
        <v>43</v>
      </c>
      <c r="C8" s="56">
        <v>1.2999999999999998</v>
      </c>
      <c r="D8" s="8">
        <v>0.003171296296296296</v>
      </c>
      <c r="E8" s="7" t="s">
        <v>44</v>
      </c>
      <c r="F8" s="54" t="s">
        <v>930</v>
      </c>
      <c r="G8" s="10">
        <f t="shared" si="1"/>
        <v>3.970185932</v>
      </c>
      <c r="H8" s="57" t="str">
        <f t="shared" si="2"/>
        <v>3:58</v>
      </c>
      <c r="I8" s="10">
        <f t="shared" si="3"/>
        <v>274</v>
      </c>
      <c r="J8" s="46">
        <v>1.3</v>
      </c>
      <c r="K8" s="54" t="s">
        <v>931</v>
      </c>
      <c r="L8" s="54" t="s">
        <v>932</v>
      </c>
      <c r="M8" s="54" t="s">
        <v>933</v>
      </c>
      <c r="N8" s="54" t="s">
        <v>934</v>
      </c>
      <c r="O8" s="54" t="s">
        <v>932</v>
      </c>
      <c r="P8" s="54" t="s">
        <v>930</v>
      </c>
      <c r="Q8" s="54" t="s">
        <v>935</v>
      </c>
      <c r="R8" s="54" t="s">
        <v>936</v>
      </c>
    </row>
    <row r="9">
      <c r="A9" s="43"/>
      <c r="B9" s="55" t="s">
        <v>45</v>
      </c>
      <c r="C9" s="56">
        <v>1.4000000000000004</v>
      </c>
      <c r="D9" s="8">
        <v>0.0035069444444444445</v>
      </c>
      <c r="E9" s="7" t="s">
        <v>46</v>
      </c>
      <c r="F9" s="54" t="s">
        <v>937</v>
      </c>
      <c r="G9" s="10">
        <f t="shared" si="1"/>
        <v>4.159528202</v>
      </c>
      <c r="H9" s="57" t="str">
        <f t="shared" si="2"/>
        <v>4:9</v>
      </c>
      <c r="I9" s="10">
        <f t="shared" si="3"/>
        <v>303</v>
      </c>
      <c r="J9" s="46">
        <v>1.4</v>
      </c>
      <c r="K9" s="54" t="s">
        <v>938</v>
      </c>
      <c r="L9" s="54" t="s">
        <v>939</v>
      </c>
      <c r="M9" s="54" t="s">
        <v>940</v>
      </c>
      <c r="N9" s="54" t="s">
        <v>941</v>
      </c>
      <c r="O9" s="54" t="s">
        <v>939</v>
      </c>
      <c r="P9" s="54" t="s">
        <v>937</v>
      </c>
      <c r="Q9" s="54" t="s">
        <v>942</v>
      </c>
      <c r="R9" s="54" t="s">
        <v>943</v>
      </c>
    </row>
    <row r="10">
      <c r="A10" s="43"/>
      <c r="B10" s="55" t="s">
        <v>47</v>
      </c>
      <c r="C10" s="56">
        <v>1.0999999999999996</v>
      </c>
      <c r="D10" s="8">
        <v>0.0029976851851851853</v>
      </c>
      <c r="E10" s="7" t="s">
        <v>48</v>
      </c>
      <c r="F10" s="54" t="s">
        <v>944</v>
      </c>
      <c r="G10" s="10">
        <f t="shared" si="1"/>
        <v>4.084348901</v>
      </c>
      <c r="H10" s="57" t="str">
        <f t="shared" si="2"/>
        <v>4:5</v>
      </c>
      <c r="I10" s="10">
        <f t="shared" si="3"/>
        <v>259</v>
      </c>
      <c r="J10" s="46">
        <v>1.1</v>
      </c>
      <c r="K10" s="54" t="s">
        <v>945</v>
      </c>
      <c r="L10" s="54" t="s">
        <v>946</v>
      </c>
      <c r="M10" s="54" t="s">
        <v>947</v>
      </c>
      <c r="N10" s="54" t="s">
        <v>948</v>
      </c>
      <c r="O10" s="54" t="s">
        <v>946</v>
      </c>
      <c r="P10" s="54" t="s">
        <v>944</v>
      </c>
      <c r="Q10" s="54" t="s">
        <v>949</v>
      </c>
      <c r="R10" s="54" t="s">
        <v>950</v>
      </c>
    </row>
    <row r="11">
      <c r="A11" s="43"/>
      <c r="B11" s="55" t="s">
        <v>49</v>
      </c>
      <c r="C11" s="56">
        <v>1.3999999999999995</v>
      </c>
      <c r="D11" s="8">
        <v>0.0037847222222222223</v>
      </c>
      <c r="E11" s="7" t="s">
        <v>50</v>
      </c>
      <c r="F11" s="54" t="s">
        <v>951</v>
      </c>
      <c r="G11" s="10">
        <f t="shared" si="1"/>
        <v>3.902222477</v>
      </c>
      <c r="H11" s="57" t="str">
        <f t="shared" si="2"/>
        <v>3:54</v>
      </c>
      <c r="I11" s="10">
        <f t="shared" si="3"/>
        <v>327</v>
      </c>
      <c r="J11" s="46">
        <v>1.4</v>
      </c>
      <c r="K11" s="54" t="s">
        <v>952</v>
      </c>
      <c r="L11" s="54" t="s">
        <v>953</v>
      </c>
      <c r="M11" s="54" t="s">
        <v>954</v>
      </c>
      <c r="N11" s="54" t="s">
        <v>955</v>
      </c>
      <c r="O11" s="54" t="s">
        <v>953</v>
      </c>
      <c r="P11" s="54" t="s">
        <v>951</v>
      </c>
      <c r="Q11" s="54" t="s">
        <v>956</v>
      </c>
      <c r="R11" s="54" t="s">
        <v>957</v>
      </c>
    </row>
    <row r="12">
      <c r="A12" s="43"/>
      <c r="B12" s="55" t="s">
        <v>51</v>
      </c>
      <c r="C12" s="56">
        <v>1.200000000000001</v>
      </c>
      <c r="D12" s="8">
        <v>0.002939814814814815</v>
      </c>
      <c r="E12" s="7" t="s">
        <v>52</v>
      </c>
      <c r="F12" s="54" t="s">
        <v>958</v>
      </c>
      <c r="G12" s="10">
        <f t="shared" si="1"/>
        <v>3.53060226</v>
      </c>
      <c r="H12" s="57" t="str">
        <f t="shared" si="2"/>
        <v>3:31</v>
      </c>
      <c r="I12" s="10">
        <f t="shared" si="3"/>
        <v>254</v>
      </c>
      <c r="J12" s="46">
        <v>1.2</v>
      </c>
      <c r="K12" s="54" t="s">
        <v>959</v>
      </c>
      <c r="L12" s="54" t="s">
        <v>960</v>
      </c>
      <c r="M12" s="54" t="s">
        <v>961</v>
      </c>
      <c r="N12" s="54" t="s">
        <v>962</v>
      </c>
      <c r="O12" s="54" t="s">
        <v>960</v>
      </c>
      <c r="P12" s="54" t="s">
        <v>958</v>
      </c>
      <c r="Q12" s="54" t="s">
        <v>963</v>
      </c>
      <c r="R12" s="54" t="s">
        <v>964</v>
      </c>
    </row>
    <row r="13">
      <c r="A13" s="43"/>
      <c r="B13" s="55" t="s">
        <v>53</v>
      </c>
      <c r="C13" s="56">
        <v>0.40000000000000036</v>
      </c>
      <c r="D13" s="8">
        <v>0.001261574074074074</v>
      </c>
      <c r="E13" s="7" t="s">
        <v>54</v>
      </c>
      <c r="F13" s="54" t="s">
        <v>965</v>
      </c>
      <c r="G13" s="10">
        <f t="shared" si="1"/>
        <v>4.276522285</v>
      </c>
      <c r="H13" s="57" t="str">
        <f t="shared" si="2"/>
        <v>4:16</v>
      </c>
      <c r="I13" s="10">
        <f t="shared" si="3"/>
        <v>109</v>
      </c>
      <c r="J13" s="46">
        <v>0.4</v>
      </c>
      <c r="K13" s="54" t="s">
        <v>966</v>
      </c>
      <c r="L13" s="54" t="s">
        <v>967</v>
      </c>
      <c r="M13" s="54" t="s">
        <v>968</v>
      </c>
      <c r="N13" s="54" t="s">
        <v>969</v>
      </c>
      <c r="O13" s="54" t="s">
        <v>967</v>
      </c>
      <c r="P13" s="54" t="s">
        <v>965</v>
      </c>
      <c r="Q13" s="54" t="s">
        <v>970</v>
      </c>
      <c r="R13" s="54" t="s">
        <v>971</v>
      </c>
    </row>
    <row r="14">
      <c r="A14" s="43"/>
      <c r="B14" s="55" t="s">
        <v>55</v>
      </c>
      <c r="C14" s="56">
        <v>1.0</v>
      </c>
      <c r="D14" s="8">
        <v>0.002685185185185185</v>
      </c>
      <c r="E14" s="7" t="s">
        <v>56</v>
      </c>
      <c r="F14" s="54" t="s">
        <v>972</v>
      </c>
      <c r="G14" s="10">
        <f t="shared" si="1"/>
        <v>3.600248293</v>
      </c>
      <c r="H14" s="57" t="str">
        <f t="shared" si="2"/>
        <v>3:36</v>
      </c>
      <c r="I14" s="10">
        <f t="shared" si="3"/>
        <v>232</v>
      </c>
      <c r="J14" s="46">
        <v>1.0</v>
      </c>
      <c r="K14" s="54" t="s">
        <v>973</v>
      </c>
      <c r="L14" s="54" t="s">
        <v>974</v>
      </c>
      <c r="M14" s="54" t="s">
        <v>975</v>
      </c>
      <c r="N14" s="54" t="s">
        <v>976</v>
      </c>
      <c r="O14" s="54" t="s">
        <v>974</v>
      </c>
      <c r="P14" s="54" t="s">
        <v>972</v>
      </c>
      <c r="Q14" s="54" t="s">
        <v>977</v>
      </c>
      <c r="R14" s="54" t="s">
        <v>978</v>
      </c>
    </row>
    <row r="15">
      <c r="A15" s="43"/>
      <c r="B15" s="55" t="s">
        <v>57</v>
      </c>
      <c r="C15" s="56">
        <v>1.1999999999999993</v>
      </c>
      <c r="D15" s="8">
        <v>0.0036574074074074074</v>
      </c>
      <c r="E15" s="7" t="s">
        <v>58</v>
      </c>
      <c r="F15" s="54" t="s">
        <v>979</v>
      </c>
      <c r="G15" s="10">
        <f t="shared" si="1"/>
        <v>3.533726964</v>
      </c>
      <c r="H15" s="57" t="str">
        <f t="shared" si="2"/>
        <v>3:32</v>
      </c>
      <c r="I15" s="10">
        <f t="shared" si="3"/>
        <v>316</v>
      </c>
      <c r="J15" s="46">
        <v>1.2</v>
      </c>
      <c r="K15" s="54" t="s">
        <v>980</v>
      </c>
      <c r="L15" s="54" t="s">
        <v>981</v>
      </c>
      <c r="M15" s="54" t="s">
        <v>982</v>
      </c>
      <c r="N15" s="54" t="s">
        <v>983</v>
      </c>
      <c r="O15" s="54" t="s">
        <v>981</v>
      </c>
      <c r="P15" s="54" t="s">
        <v>979</v>
      </c>
      <c r="Q15" s="54" t="s">
        <v>984</v>
      </c>
      <c r="R15" s="54" t="s">
        <v>985</v>
      </c>
    </row>
    <row r="16">
      <c r="A16" s="43"/>
      <c r="B16" s="55" t="s">
        <v>59</v>
      </c>
      <c r="C16" s="56">
        <v>1.4000000000000004</v>
      </c>
      <c r="D16" s="8">
        <v>0.0038078703703703703</v>
      </c>
      <c r="E16" s="7" t="s">
        <v>60</v>
      </c>
      <c r="F16" s="54" t="s">
        <v>986</v>
      </c>
      <c r="G16" s="10">
        <f t="shared" si="1"/>
        <v>2.953745601</v>
      </c>
      <c r="H16" s="57" t="str">
        <f t="shared" si="2"/>
        <v>2:57</v>
      </c>
      <c r="I16" s="10">
        <f t="shared" si="3"/>
        <v>329</v>
      </c>
      <c r="J16" s="46">
        <v>1.4</v>
      </c>
      <c r="K16" s="54" t="s">
        <v>987</v>
      </c>
      <c r="L16" s="54" t="s">
        <v>988</v>
      </c>
      <c r="M16" s="54" t="s">
        <v>989</v>
      </c>
      <c r="N16" s="54" t="s">
        <v>990</v>
      </c>
      <c r="O16" s="54" t="s">
        <v>988</v>
      </c>
      <c r="P16" s="54" t="s">
        <v>986</v>
      </c>
      <c r="Q16" s="54" t="s">
        <v>991</v>
      </c>
      <c r="R16" s="54" t="s">
        <v>992</v>
      </c>
    </row>
    <row r="17">
      <c r="A17" s="43"/>
      <c r="B17" s="55" t="s">
        <v>61</v>
      </c>
      <c r="C17" s="56">
        <v>1.299999999999999</v>
      </c>
      <c r="D17" s="8">
        <v>0.0032407407407407406</v>
      </c>
      <c r="E17" s="7" t="s">
        <v>62</v>
      </c>
      <c r="F17" s="54" t="s">
        <v>993</v>
      </c>
      <c r="G17" s="10">
        <f t="shared" si="1"/>
        <v>3.392952353</v>
      </c>
      <c r="H17" s="57" t="str">
        <f t="shared" si="2"/>
        <v>3:23</v>
      </c>
      <c r="I17" s="10">
        <f t="shared" si="3"/>
        <v>280</v>
      </c>
      <c r="J17" s="46">
        <v>1.3</v>
      </c>
      <c r="K17" s="54" t="s">
        <v>994</v>
      </c>
      <c r="L17" s="54" t="s">
        <v>995</v>
      </c>
      <c r="M17" s="54" t="s">
        <v>996</v>
      </c>
      <c r="N17" s="54" t="s">
        <v>997</v>
      </c>
      <c r="O17" s="54" t="s">
        <v>995</v>
      </c>
      <c r="P17" s="54" t="s">
        <v>993</v>
      </c>
      <c r="Q17" s="54" t="s">
        <v>998</v>
      </c>
      <c r="R17" s="54" t="s">
        <v>999</v>
      </c>
    </row>
    <row r="18">
      <c r="A18" s="43"/>
      <c r="B18" s="55" t="s">
        <v>63</v>
      </c>
      <c r="C18" s="56">
        <v>1.4000000000000021</v>
      </c>
      <c r="D18" s="8">
        <v>0.0034837962962962965</v>
      </c>
      <c r="E18" s="7" t="s">
        <v>64</v>
      </c>
      <c r="F18" s="54" t="s">
        <v>1000</v>
      </c>
      <c r="G18" s="10">
        <f t="shared" si="1"/>
        <v>3.932543167</v>
      </c>
      <c r="H18" s="57" t="str">
        <f t="shared" si="2"/>
        <v>3:55</v>
      </c>
      <c r="I18" s="10">
        <f t="shared" si="3"/>
        <v>301</v>
      </c>
      <c r="J18" s="46">
        <v>1.4</v>
      </c>
      <c r="K18" s="54" t="s">
        <v>1001</v>
      </c>
      <c r="L18" s="54" t="s">
        <v>1002</v>
      </c>
      <c r="M18" s="54" t="s">
        <v>1003</v>
      </c>
      <c r="N18" s="54" t="s">
        <v>1004</v>
      </c>
      <c r="O18" s="54" t="s">
        <v>1002</v>
      </c>
      <c r="P18" s="54" t="s">
        <v>1000</v>
      </c>
      <c r="Q18" s="54" t="s">
        <v>1005</v>
      </c>
      <c r="R18" s="54" t="s">
        <v>1006</v>
      </c>
    </row>
    <row r="19">
      <c r="A19" s="43"/>
      <c r="B19" s="55" t="s">
        <v>65</v>
      </c>
      <c r="C19" s="56">
        <v>1.0999999999999979</v>
      </c>
      <c r="D19" s="8">
        <v>0.0030671296296296297</v>
      </c>
      <c r="E19" s="7" t="s">
        <v>66</v>
      </c>
      <c r="F19" s="54" t="s">
        <v>1007</v>
      </c>
      <c r="G19" s="10">
        <f t="shared" si="1"/>
        <v>4.375710021</v>
      </c>
      <c r="H19" s="57" t="str">
        <f t="shared" si="2"/>
        <v>4:22</v>
      </c>
      <c r="I19" s="10">
        <f t="shared" si="3"/>
        <v>265</v>
      </c>
      <c r="J19" s="46">
        <v>1.1</v>
      </c>
      <c r="K19" s="54" t="s">
        <v>1008</v>
      </c>
      <c r="L19" s="54" t="s">
        <v>1009</v>
      </c>
      <c r="M19" s="54" t="s">
        <v>1010</v>
      </c>
      <c r="N19" s="54" t="s">
        <v>1011</v>
      </c>
      <c r="O19" s="54" t="s">
        <v>1009</v>
      </c>
      <c r="P19" s="54" t="s">
        <v>1007</v>
      </c>
      <c r="Q19" s="54" t="s">
        <v>1012</v>
      </c>
      <c r="R19" s="54" t="s">
        <v>1013</v>
      </c>
    </row>
    <row r="20">
      <c r="A20" s="43"/>
      <c r="B20" s="55" t="s">
        <v>67</v>
      </c>
      <c r="C20" s="56">
        <v>1.4000000000000021</v>
      </c>
      <c r="D20" s="8">
        <v>0.0038888888888888888</v>
      </c>
      <c r="E20" s="7" t="s">
        <v>68</v>
      </c>
      <c r="F20" s="54" t="s">
        <v>1014</v>
      </c>
      <c r="G20" s="10">
        <f t="shared" si="1"/>
        <v>4.500450045</v>
      </c>
      <c r="H20" s="57" t="str">
        <f t="shared" si="2"/>
        <v>4:30</v>
      </c>
      <c r="I20" s="10">
        <f t="shared" si="3"/>
        <v>336</v>
      </c>
      <c r="J20" s="46">
        <v>1.4</v>
      </c>
      <c r="K20" s="54" t="s">
        <v>1015</v>
      </c>
      <c r="L20" s="54" t="s">
        <v>1016</v>
      </c>
      <c r="M20" s="54" t="s">
        <v>1017</v>
      </c>
      <c r="N20" s="54" t="s">
        <v>1018</v>
      </c>
      <c r="O20" s="54" t="s">
        <v>1016</v>
      </c>
      <c r="P20" s="54" t="s">
        <v>1014</v>
      </c>
      <c r="Q20" s="54" t="s">
        <v>1019</v>
      </c>
      <c r="R20" s="54" t="s">
        <v>1020</v>
      </c>
    </row>
    <row r="21">
      <c r="A21" s="43"/>
      <c r="B21" s="55" t="s">
        <v>69</v>
      </c>
      <c r="C21" s="56">
        <v>1.1999999999999993</v>
      </c>
      <c r="D21" s="8">
        <v>0.002916666666666667</v>
      </c>
      <c r="E21" s="7" t="s">
        <v>44</v>
      </c>
      <c r="F21" s="54" t="s">
        <v>1021</v>
      </c>
      <c r="G21" s="10">
        <f t="shared" si="1"/>
        <v>3.539644013</v>
      </c>
      <c r="H21" s="57" t="str">
        <f t="shared" si="2"/>
        <v>3:32</v>
      </c>
      <c r="I21" s="10">
        <f t="shared" si="3"/>
        <v>252</v>
      </c>
      <c r="J21" s="46">
        <v>1.2</v>
      </c>
      <c r="K21" s="54" t="s">
        <v>1022</v>
      </c>
      <c r="L21" s="54" t="s">
        <v>1023</v>
      </c>
      <c r="M21" s="54" t="s">
        <v>1024</v>
      </c>
      <c r="N21" s="54" t="s">
        <v>1025</v>
      </c>
      <c r="O21" s="54" t="s">
        <v>1023</v>
      </c>
      <c r="P21" s="54" t="s">
        <v>1021</v>
      </c>
      <c r="Q21" s="54" t="s">
        <v>1026</v>
      </c>
      <c r="R21" s="54" t="s">
        <v>1027</v>
      </c>
    </row>
    <row r="22">
      <c r="A22" s="43"/>
      <c r="B22" s="55" t="s">
        <v>70</v>
      </c>
      <c r="C22" s="56">
        <v>0.3000000000000007</v>
      </c>
      <c r="D22" s="8">
        <v>9.722222222222222E-4</v>
      </c>
      <c r="E22" s="7" t="s">
        <v>71</v>
      </c>
      <c r="F22" s="54" t="s">
        <v>1028</v>
      </c>
      <c r="G22" s="10">
        <f t="shared" si="1"/>
        <v>4.670402989</v>
      </c>
      <c r="H22" s="57" t="str">
        <f t="shared" si="2"/>
        <v>4:40</v>
      </c>
      <c r="I22" s="10">
        <f t="shared" si="3"/>
        <v>84</v>
      </c>
      <c r="J22" s="46">
        <v>0.3</v>
      </c>
      <c r="K22" s="54" t="s">
        <v>1029</v>
      </c>
      <c r="L22" s="54" t="s">
        <v>1030</v>
      </c>
      <c r="M22" s="54" t="s">
        <v>1031</v>
      </c>
      <c r="N22" s="54" t="s">
        <v>1032</v>
      </c>
      <c r="O22" s="54" t="s">
        <v>1030</v>
      </c>
      <c r="P22" s="54" t="s">
        <v>1028</v>
      </c>
      <c r="Q22" s="54" t="s">
        <v>1033</v>
      </c>
      <c r="R22" s="54" t="s">
        <v>1034</v>
      </c>
    </row>
    <row r="23">
      <c r="A23" s="38"/>
      <c r="B23" s="58" t="s">
        <v>1035</v>
      </c>
      <c r="C23" s="59"/>
      <c r="D23" s="60"/>
      <c r="E23" s="60"/>
      <c r="F23" s="60"/>
      <c r="G23" s="60"/>
      <c r="H23" s="61" t="str">
        <f>Trunc(SUMPRODUCT(J4:J22, G4:G22)/SUM(J4:J22))&amp;":"&amp;(Trunc((SUMPRODUCT(J4:J22, G4:G22)/SUM(J4:J22)-Trunc(SUMPRODUCT(J4:J22, G4:G22)/SUM(J4:J22)))*60))
</f>
        <v>3:47</v>
      </c>
      <c r="J23" s="56"/>
    </row>
    <row r="24">
      <c r="A24" s="38"/>
      <c r="C24" s="56"/>
      <c r="J24" s="56"/>
    </row>
    <row r="25">
      <c r="A25" s="38"/>
      <c r="C25" s="56"/>
      <c r="J25" s="56"/>
    </row>
    <row r="26">
      <c r="A26" s="62"/>
      <c r="B26" s="63"/>
      <c r="C26" s="56"/>
      <c r="D26" s="1" t="s">
        <v>1036</v>
      </c>
      <c r="E26" s="63" t="s">
        <v>1037</v>
      </c>
      <c r="J26" s="56"/>
    </row>
    <row r="27">
      <c r="A27" s="38"/>
      <c r="C27" s="56"/>
      <c r="J27" s="56"/>
    </row>
    <row r="28">
      <c r="A28" s="38"/>
      <c r="C28" s="56"/>
      <c r="J28" s="56"/>
    </row>
    <row r="29">
      <c r="A29" s="38"/>
      <c r="C29" s="56"/>
      <c r="J29" s="56"/>
    </row>
    <row r="30">
      <c r="A30" s="38"/>
      <c r="C30" s="56"/>
      <c r="J30" s="56"/>
    </row>
    <row r="31">
      <c r="A31" s="38"/>
      <c r="C31" s="56"/>
      <c r="J31" s="56"/>
    </row>
    <row r="32">
      <c r="A32" s="38"/>
      <c r="C32" s="56"/>
      <c r="J32" s="56"/>
    </row>
    <row r="33">
      <c r="A33" s="38"/>
      <c r="C33" s="56"/>
      <c r="J33" s="56"/>
    </row>
    <row r="34">
      <c r="A34" s="38"/>
      <c r="C34" s="56"/>
      <c r="J34" s="56"/>
    </row>
    <row r="35">
      <c r="A35" s="38"/>
      <c r="C35" s="56"/>
      <c r="J35" s="56"/>
    </row>
    <row r="36">
      <c r="A36" s="38"/>
      <c r="C36" s="56"/>
      <c r="J36" s="56"/>
    </row>
    <row r="37">
      <c r="A37" s="38"/>
      <c r="C37" s="56"/>
      <c r="J37" s="56"/>
    </row>
    <row r="38">
      <c r="A38" s="38"/>
      <c r="C38" s="56"/>
      <c r="J38" s="56"/>
    </row>
    <row r="39">
      <c r="A39" s="38"/>
      <c r="C39" s="56"/>
      <c r="J39" s="56"/>
    </row>
    <row r="40">
      <c r="A40" s="38"/>
      <c r="C40" s="56"/>
      <c r="J40" s="56"/>
    </row>
    <row r="41">
      <c r="A41" s="38"/>
      <c r="C41" s="56"/>
      <c r="J41" s="56"/>
    </row>
    <row r="42">
      <c r="A42" s="38"/>
      <c r="C42" s="56"/>
      <c r="J42" s="56"/>
    </row>
    <row r="43">
      <c r="A43" s="38"/>
      <c r="C43" s="56"/>
      <c r="J43" s="56"/>
    </row>
    <row r="44">
      <c r="A44" s="38"/>
      <c r="C44" s="56"/>
      <c r="J44" s="56"/>
    </row>
    <row r="45">
      <c r="A45" s="38"/>
      <c r="C45" s="56"/>
      <c r="J45" s="56"/>
    </row>
    <row r="46">
      <c r="A46" s="38"/>
      <c r="C46" s="56"/>
      <c r="J46" s="56"/>
    </row>
    <row r="47">
      <c r="A47" s="38"/>
      <c r="C47" s="56"/>
      <c r="J47" s="56"/>
    </row>
    <row r="48">
      <c r="A48" s="38"/>
      <c r="C48" s="56"/>
      <c r="J48" s="56"/>
    </row>
    <row r="49">
      <c r="A49" s="38"/>
      <c r="C49" s="56"/>
      <c r="J49" s="56"/>
    </row>
    <row r="50">
      <c r="A50" s="38"/>
      <c r="C50" s="56"/>
      <c r="J50" s="56"/>
    </row>
    <row r="51">
      <c r="A51" s="38"/>
      <c r="C51" s="56"/>
      <c r="J51" s="56"/>
    </row>
    <row r="52">
      <c r="A52" s="38"/>
      <c r="C52" s="56"/>
      <c r="J52" s="56"/>
    </row>
    <row r="53">
      <c r="A53" s="38"/>
      <c r="C53" s="56"/>
      <c r="J53" s="56"/>
    </row>
    <row r="54">
      <c r="A54" s="38"/>
      <c r="C54" s="56"/>
      <c r="J54" s="56"/>
    </row>
    <row r="55">
      <c r="A55" s="38"/>
      <c r="C55" s="56"/>
      <c r="J55" s="56"/>
    </row>
    <row r="56">
      <c r="A56" s="38"/>
      <c r="C56" s="56"/>
      <c r="J56" s="56"/>
    </row>
    <row r="57">
      <c r="A57" s="38"/>
      <c r="C57" s="56"/>
      <c r="J57" s="56"/>
    </row>
    <row r="58">
      <c r="A58" s="38"/>
      <c r="C58" s="56"/>
      <c r="J58" s="56"/>
    </row>
    <row r="59">
      <c r="A59" s="38"/>
      <c r="C59" s="56"/>
      <c r="J59" s="56"/>
    </row>
    <row r="60">
      <c r="A60" s="38"/>
      <c r="C60" s="56"/>
      <c r="J60" s="56"/>
    </row>
    <row r="61">
      <c r="A61" s="38"/>
      <c r="C61" s="56"/>
      <c r="J61" s="56"/>
    </row>
    <row r="62">
      <c r="A62" s="38"/>
      <c r="C62" s="56"/>
      <c r="J62" s="56"/>
    </row>
    <row r="63">
      <c r="A63" s="38"/>
      <c r="C63" s="56"/>
      <c r="J63" s="56"/>
    </row>
    <row r="64">
      <c r="A64" s="38"/>
      <c r="C64" s="56"/>
      <c r="J64" s="56"/>
    </row>
    <row r="65">
      <c r="A65" s="38"/>
      <c r="C65" s="56"/>
      <c r="J65" s="56"/>
    </row>
    <row r="66">
      <c r="A66" s="38"/>
      <c r="C66" s="56"/>
      <c r="J66" s="56"/>
    </row>
    <row r="67">
      <c r="A67" s="38"/>
      <c r="C67" s="56"/>
      <c r="J67" s="56"/>
    </row>
    <row r="68">
      <c r="A68" s="38"/>
      <c r="C68" s="56"/>
      <c r="J68" s="56"/>
    </row>
    <row r="69">
      <c r="A69" s="38"/>
      <c r="C69" s="56"/>
      <c r="J69" s="56"/>
    </row>
    <row r="70">
      <c r="A70" s="38"/>
      <c r="C70" s="56"/>
      <c r="J70" s="56"/>
    </row>
    <row r="71">
      <c r="A71" s="38"/>
      <c r="C71" s="56"/>
      <c r="J71" s="56"/>
    </row>
    <row r="72">
      <c r="A72" s="38"/>
      <c r="C72" s="56"/>
      <c r="J72" s="56"/>
    </row>
    <row r="73">
      <c r="A73" s="38"/>
      <c r="C73" s="56"/>
      <c r="J73" s="56"/>
    </row>
    <row r="74">
      <c r="A74" s="38"/>
      <c r="C74" s="56"/>
      <c r="J74" s="56"/>
    </row>
    <row r="75">
      <c r="A75" s="38"/>
      <c r="C75" s="56"/>
      <c r="J75" s="56"/>
    </row>
    <row r="76">
      <c r="A76" s="38"/>
      <c r="C76" s="56"/>
      <c r="J76" s="56"/>
    </row>
    <row r="77">
      <c r="A77" s="38"/>
      <c r="C77" s="56"/>
      <c r="J77" s="56"/>
    </row>
    <row r="78">
      <c r="A78" s="38"/>
      <c r="C78" s="56"/>
      <c r="J78" s="56"/>
    </row>
    <row r="79">
      <c r="A79" s="38"/>
      <c r="C79" s="56"/>
      <c r="J79" s="56"/>
    </row>
    <row r="80">
      <c r="A80" s="38"/>
      <c r="C80" s="56"/>
      <c r="J80" s="56"/>
    </row>
    <row r="81">
      <c r="A81" s="38"/>
      <c r="C81" s="56"/>
      <c r="J81" s="56"/>
    </row>
    <row r="82">
      <c r="A82" s="38"/>
      <c r="C82" s="56"/>
      <c r="J82" s="56"/>
    </row>
    <row r="83">
      <c r="A83" s="38"/>
      <c r="C83" s="56"/>
      <c r="J83" s="56"/>
    </row>
    <row r="84">
      <c r="A84" s="38"/>
      <c r="C84" s="56"/>
      <c r="J84" s="56"/>
    </row>
    <row r="85">
      <c r="A85" s="38"/>
      <c r="C85" s="56"/>
      <c r="J85" s="56"/>
    </row>
    <row r="86">
      <c r="A86" s="38"/>
      <c r="C86" s="56"/>
      <c r="J86" s="56"/>
    </row>
    <row r="87">
      <c r="A87" s="38"/>
      <c r="C87" s="56"/>
      <c r="J87" s="56"/>
    </row>
    <row r="88">
      <c r="A88" s="38"/>
      <c r="C88" s="56"/>
      <c r="J88" s="56"/>
    </row>
    <row r="89">
      <c r="A89" s="38"/>
      <c r="C89" s="56"/>
      <c r="J89" s="56"/>
    </row>
    <row r="90">
      <c r="A90" s="38"/>
      <c r="C90" s="56"/>
      <c r="J90" s="56"/>
    </row>
    <row r="91">
      <c r="A91" s="38"/>
      <c r="C91" s="56"/>
      <c r="J91" s="56"/>
    </row>
    <row r="92">
      <c r="A92" s="38"/>
      <c r="C92" s="56"/>
      <c r="J92" s="56"/>
    </row>
    <row r="93">
      <c r="A93" s="38"/>
      <c r="C93" s="56"/>
      <c r="J93" s="56"/>
    </row>
    <row r="94">
      <c r="A94" s="38"/>
      <c r="C94" s="56"/>
      <c r="J94" s="56"/>
    </row>
    <row r="95">
      <c r="A95" s="38"/>
      <c r="C95" s="56"/>
      <c r="J95" s="56"/>
    </row>
    <row r="96">
      <c r="A96" s="38"/>
      <c r="C96" s="56"/>
      <c r="J96" s="56"/>
    </row>
    <row r="97">
      <c r="A97" s="38"/>
      <c r="C97" s="56"/>
      <c r="J97" s="56"/>
    </row>
    <row r="98">
      <c r="A98" s="38"/>
      <c r="C98" s="56"/>
      <c r="J98" s="56"/>
    </row>
    <row r="99">
      <c r="A99" s="38"/>
      <c r="C99" s="56"/>
      <c r="J99" s="56"/>
    </row>
    <row r="100">
      <c r="A100" s="38"/>
      <c r="C100" s="56"/>
      <c r="J100" s="56"/>
    </row>
    <row r="101">
      <c r="A101" s="38"/>
      <c r="C101" s="56"/>
      <c r="J101" s="56"/>
    </row>
    <row r="102">
      <c r="A102" s="38"/>
      <c r="C102" s="56"/>
      <c r="J102" s="56"/>
    </row>
    <row r="103">
      <c r="A103" s="38"/>
      <c r="C103" s="56"/>
      <c r="J103" s="56"/>
    </row>
    <row r="104">
      <c r="A104" s="38"/>
      <c r="C104" s="56"/>
      <c r="J104" s="56"/>
    </row>
    <row r="105">
      <c r="A105" s="38"/>
      <c r="C105" s="56"/>
      <c r="J105" s="56"/>
    </row>
    <row r="106">
      <c r="A106" s="38"/>
      <c r="C106" s="56"/>
      <c r="J106" s="56"/>
    </row>
    <row r="107">
      <c r="A107" s="38"/>
      <c r="C107" s="56"/>
      <c r="J107" s="56"/>
    </row>
    <row r="108">
      <c r="A108" s="38"/>
      <c r="C108" s="56"/>
      <c r="J108" s="56"/>
    </row>
    <row r="109">
      <c r="A109" s="38"/>
      <c r="C109" s="56"/>
      <c r="J109" s="56"/>
    </row>
    <row r="110">
      <c r="A110" s="38"/>
      <c r="C110" s="56"/>
      <c r="J110" s="56"/>
    </row>
    <row r="111">
      <c r="A111" s="38"/>
      <c r="C111" s="56"/>
      <c r="J111" s="56"/>
    </row>
    <row r="112">
      <c r="A112" s="38"/>
      <c r="C112" s="56"/>
      <c r="J112" s="56"/>
    </row>
    <row r="113">
      <c r="A113" s="38"/>
      <c r="C113" s="56"/>
      <c r="J113" s="56"/>
    </row>
    <row r="114">
      <c r="A114" s="38"/>
      <c r="C114" s="56"/>
      <c r="J114" s="56"/>
    </row>
    <row r="115">
      <c r="A115" s="38"/>
      <c r="C115" s="56"/>
      <c r="J115" s="56"/>
    </row>
    <row r="116">
      <c r="A116" s="38"/>
      <c r="C116" s="56"/>
      <c r="J116" s="56"/>
    </row>
    <row r="117">
      <c r="A117" s="38"/>
      <c r="C117" s="56"/>
      <c r="J117" s="56"/>
    </row>
    <row r="118">
      <c r="A118" s="38"/>
      <c r="C118" s="56"/>
      <c r="J118" s="56"/>
    </row>
    <row r="119">
      <c r="A119" s="38"/>
      <c r="C119" s="56"/>
      <c r="J119" s="56"/>
    </row>
    <row r="120">
      <c r="A120" s="38"/>
      <c r="C120" s="56"/>
      <c r="J120" s="56"/>
    </row>
    <row r="121">
      <c r="A121" s="38"/>
      <c r="C121" s="56"/>
      <c r="J121" s="56"/>
    </row>
    <row r="122">
      <c r="A122" s="38"/>
      <c r="C122" s="56"/>
      <c r="J122" s="56"/>
    </row>
    <row r="123">
      <c r="A123" s="38"/>
      <c r="C123" s="56"/>
      <c r="J123" s="56"/>
    </row>
    <row r="124">
      <c r="A124" s="38"/>
      <c r="C124" s="56"/>
      <c r="J124" s="56"/>
    </row>
    <row r="125">
      <c r="A125" s="38"/>
      <c r="C125" s="56"/>
      <c r="J125" s="56"/>
    </row>
    <row r="126">
      <c r="A126" s="38"/>
      <c r="C126" s="56"/>
      <c r="J126" s="56"/>
    </row>
    <row r="127">
      <c r="A127" s="38"/>
      <c r="C127" s="56"/>
      <c r="J127" s="56"/>
    </row>
    <row r="128">
      <c r="A128" s="38"/>
      <c r="C128" s="56"/>
      <c r="J128" s="56"/>
    </row>
    <row r="129">
      <c r="A129" s="38"/>
      <c r="C129" s="56"/>
      <c r="J129" s="56"/>
    </row>
    <row r="130">
      <c r="A130" s="38"/>
      <c r="C130" s="56"/>
      <c r="J130" s="56"/>
    </row>
    <row r="131">
      <c r="A131" s="38"/>
      <c r="C131" s="56"/>
      <c r="J131" s="56"/>
    </row>
    <row r="132">
      <c r="A132" s="38"/>
      <c r="C132" s="56"/>
      <c r="J132" s="56"/>
    </row>
    <row r="133">
      <c r="A133" s="38"/>
      <c r="C133" s="56"/>
      <c r="J133" s="56"/>
    </row>
    <row r="134">
      <c r="A134" s="38"/>
      <c r="C134" s="56"/>
      <c r="J134" s="56"/>
    </row>
    <row r="135">
      <c r="A135" s="38"/>
      <c r="C135" s="56"/>
      <c r="J135" s="56"/>
    </row>
    <row r="136">
      <c r="A136" s="38"/>
      <c r="C136" s="56"/>
      <c r="J136" s="56"/>
    </row>
    <row r="137">
      <c r="A137" s="38"/>
      <c r="C137" s="56"/>
      <c r="J137" s="56"/>
    </row>
    <row r="138">
      <c r="A138" s="38"/>
      <c r="C138" s="56"/>
      <c r="J138" s="56"/>
    </row>
    <row r="139">
      <c r="A139" s="38"/>
      <c r="C139" s="56"/>
      <c r="J139" s="56"/>
    </row>
    <row r="140">
      <c r="A140" s="38"/>
      <c r="C140" s="56"/>
      <c r="J140" s="56"/>
    </row>
    <row r="141">
      <c r="A141" s="38"/>
      <c r="C141" s="56"/>
      <c r="J141" s="56"/>
    </row>
    <row r="142">
      <c r="A142" s="38"/>
      <c r="C142" s="56"/>
      <c r="J142" s="56"/>
    </row>
    <row r="143">
      <c r="A143" s="38"/>
      <c r="C143" s="56"/>
      <c r="J143" s="56"/>
    </row>
    <row r="144">
      <c r="A144" s="38"/>
      <c r="C144" s="56"/>
      <c r="J144" s="56"/>
    </row>
    <row r="145">
      <c r="A145" s="38"/>
      <c r="C145" s="56"/>
      <c r="J145" s="56"/>
    </row>
    <row r="146">
      <c r="A146" s="38"/>
      <c r="C146" s="56"/>
      <c r="J146" s="56"/>
    </row>
    <row r="147">
      <c r="A147" s="38"/>
      <c r="C147" s="56"/>
      <c r="J147" s="56"/>
    </row>
    <row r="148">
      <c r="A148" s="38"/>
      <c r="C148" s="56"/>
      <c r="J148" s="56"/>
    </row>
    <row r="149">
      <c r="A149" s="38"/>
      <c r="C149" s="56"/>
      <c r="J149" s="56"/>
    </row>
    <row r="150">
      <c r="A150" s="38"/>
      <c r="C150" s="56"/>
      <c r="J150" s="56"/>
    </row>
    <row r="151">
      <c r="A151" s="38"/>
      <c r="C151" s="56"/>
      <c r="J151" s="56"/>
    </row>
    <row r="152">
      <c r="A152" s="38"/>
      <c r="C152" s="56"/>
      <c r="J152" s="56"/>
    </row>
    <row r="153">
      <c r="A153" s="38"/>
      <c r="C153" s="56"/>
      <c r="J153" s="56"/>
    </row>
    <row r="154">
      <c r="A154" s="38"/>
      <c r="C154" s="56"/>
      <c r="J154" s="56"/>
    </row>
    <row r="155">
      <c r="A155" s="38"/>
      <c r="C155" s="56"/>
      <c r="J155" s="56"/>
    </row>
    <row r="156">
      <c r="A156" s="38"/>
      <c r="C156" s="56"/>
      <c r="J156" s="56"/>
    </row>
    <row r="157">
      <c r="A157" s="38"/>
      <c r="C157" s="56"/>
      <c r="J157" s="56"/>
    </row>
    <row r="158">
      <c r="A158" s="38"/>
      <c r="C158" s="56"/>
      <c r="J158" s="56"/>
    </row>
    <row r="159">
      <c r="A159" s="38"/>
      <c r="C159" s="56"/>
      <c r="J159" s="56"/>
    </row>
    <row r="160">
      <c r="A160" s="38"/>
      <c r="C160" s="56"/>
      <c r="J160" s="56"/>
    </row>
    <row r="161">
      <c r="A161" s="38"/>
      <c r="C161" s="56"/>
      <c r="J161" s="56"/>
    </row>
    <row r="162">
      <c r="A162" s="38"/>
      <c r="C162" s="56"/>
      <c r="J162" s="56"/>
    </row>
    <row r="163">
      <c r="A163" s="38"/>
      <c r="C163" s="56"/>
      <c r="J163" s="56"/>
    </row>
    <row r="164">
      <c r="A164" s="38"/>
      <c r="C164" s="56"/>
      <c r="J164" s="56"/>
    </row>
    <row r="165">
      <c r="A165" s="38"/>
      <c r="C165" s="56"/>
      <c r="J165" s="56"/>
    </row>
    <row r="166">
      <c r="A166" s="38"/>
      <c r="C166" s="56"/>
      <c r="J166" s="56"/>
    </row>
    <row r="167">
      <c r="A167" s="38"/>
      <c r="C167" s="56"/>
      <c r="J167" s="56"/>
    </row>
    <row r="168">
      <c r="A168" s="38"/>
      <c r="C168" s="56"/>
      <c r="J168" s="56"/>
    </row>
    <row r="169">
      <c r="A169" s="38"/>
      <c r="C169" s="56"/>
      <c r="J169" s="56"/>
    </row>
    <row r="170">
      <c r="A170" s="38"/>
      <c r="C170" s="56"/>
      <c r="J170" s="56"/>
    </row>
    <row r="171">
      <c r="A171" s="38"/>
      <c r="C171" s="56"/>
      <c r="J171" s="56"/>
    </row>
    <row r="172">
      <c r="A172" s="38"/>
      <c r="C172" s="56"/>
      <c r="J172" s="56"/>
    </row>
    <row r="173">
      <c r="A173" s="38"/>
      <c r="C173" s="56"/>
      <c r="J173" s="56"/>
    </row>
    <row r="174">
      <c r="A174" s="38"/>
      <c r="C174" s="56"/>
      <c r="J174" s="56"/>
    </row>
    <row r="175">
      <c r="A175" s="38"/>
      <c r="C175" s="56"/>
      <c r="J175" s="56"/>
    </row>
    <row r="176">
      <c r="A176" s="38"/>
      <c r="C176" s="56"/>
      <c r="J176" s="56"/>
    </row>
    <row r="177">
      <c r="A177" s="38"/>
      <c r="C177" s="56"/>
      <c r="J177" s="56"/>
    </row>
    <row r="178">
      <c r="A178" s="38"/>
      <c r="C178" s="56"/>
      <c r="J178" s="56"/>
    </row>
    <row r="179">
      <c r="A179" s="38"/>
      <c r="C179" s="56"/>
      <c r="J179" s="56"/>
    </row>
    <row r="180">
      <c r="A180" s="38"/>
      <c r="C180" s="56"/>
      <c r="J180" s="56"/>
    </row>
    <row r="181">
      <c r="A181" s="38"/>
      <c r="C181" s="56"/>
      <c r="J181" s="56"/>
    </row>
    <row r="182">
      <c r="A182" s="38"/>
      <c r="C182" s="56"/>
      <c r="J182" s="56"/>
    </row>
    <row r="183">
      <c r="A183" s="38"/>
      <c r="C183" s="56"/>
      <c r="J183" s="56"/>
    </row>
    <row r="184">
      <c r="A184" s="38"/>
      <c r="C184" s="56"/>
      <c r="J184" s="56"/>
    </row>
    <row r="185">
      <c r="A185" s="38"/>
      <c r="C185" s="56"/>
      <c r="J185" s="56"/>
    </row>
    <row r="186">
      <c r="A186" s="38"/>
      <c r="C186" s="56"/>
      <c r="J186" s="56"/>
    </row>
    <row r="187">
      <c r="A187" s="38"/>
      <c r="C187" s="56"/>
      <c r="J187" s="56"/>
    </row>
    <row r="188">
      <c r="A188" s="38"/>
      <c r="C188" s="56"/>
      <c r="J188" s="56"/>
    </row>
    <row r="189">
      <c r="A189" s="38"/>
      <c r="C189" s="56"/>
      <c r="J189" s="56"/>
    </row>
    <row r="190">
      <c r="A190" s="38"/>
      <c r="C190" s="56"/>
      <c r="J190" s="56"/>
    </row>
    <row r="191">
      <c r="A191" s="38"/>
      <c r="C191" s="56"/>
      <c r="J191" s="56"/>
    </row>
    <row r="192">
      <c r="A192" s="38"/>
      <c r="C192" s="56"/>
      <c r="J192" s="56"/>
    </row>
    <row r="193">
      <c r="A193" s="38"/>
      <c r="C193" s="56"/>
      <c r="J193" s="56"/>
    </row>
    <row r="194">
      <c r="A194" s="38"/>
      <c r="C194" s="56"/>
      <c r="J194" s="56"/>
    </row>
    <row r="195">
      <c r="A195" s="38"/>
      <c r="C195" s="56"/>
      <c r="J195" s="56"/>
    </row>
    <row r="196">
      <c r="A196" s="38"/>
      <c r="C196" s="56"/>
      <c r="J196" s="56"/>
    </row>
    <row r="197">
      <c r="A197" s="38"/>
      <c r="C197" s="56"/>
      <c r="J197" s="56"/>
    </row>
    <row r="198">
      <c r="A198" s="38"/>
      <c r="C198" s="56"/>
      <c r="J198" s="56"/>
    </row>
    <row r="199">
      <c r="A199" s="38"/>
      <c r="C199" s="56"/>
      <c r="J199" s="56"/>
    </row>
    <row r="200">
      <c r="A200" s="38"/>
      <c r="C200" s="56"/>
      <c r="J200" s="56"/>
    </row>
    <row r="201">
      <c r="A201" s="38"/>
      <c r="C201" s="56"/>
      <c r="J201" s="56"/>
    </row>
    <row r="202">
      <c r="A202" s="38"/>
      <c r="C202" s="56"/>
      <c r="J202" s="56"/>
    </row>
    <row r="203">
      <c r="A203" s="38"/>
      <c r="C203" s="56"/>
      <c r="J203" s="56"/>
    </row>
    <row r="204">
      <c r="A204" s="38"/>
      <c r="C204" s="56"/>
      <c r="J204" s="56"/>
    </row>
    <row r="205">
      <c r="A205" s="38"/>
      <c r="C205" s="56"/>
      <c r="J205" s="56"/>
    </row>
    <row r="206">
      <c r="A206" s="38"/>
      <c r="C206" s="56"/>
      <c r="J206" s="56"/>
    </row>
    <row r="207">
      <c r="A207" s="38"/>
      <c r="C207" s="56"/>
      <c r="J207" s="56"/>
    </row>
    <row r="208">
      <c r="A208" s="38"/>
      <c r="C208" s="56"/>
      <c r="J208" s="56"/>
    </row>
    <row r="209">
      <c r="A209" s="38"/>
      <c r="C209" s="56"/>
      <c r="J209" s="56"/>
    </row>
    <row r="210">
      <c r="A210" s="38"/>
      <c r="C210" s="56"/>
      <c r="J210" s="56"/>
    </row>
    <row r="211">
      <c r="A211" s="38"/>
      <c r="C211" s="56"/>
      <c r="J211" s="56"/>
    </row>
    <row r="212">
      <c r="A212" s="38"/>
      <c r="C212" s="56"/>
      <c r="J212" s="56"/>
    </row>
    <row r="213">
      <c r="A213" s="38"/>
      <c r="C213" s="56"/>
      <c r="J213" s="56"/>
    </row>
    <row r="214">
      <c r="A214" s="38"/>
      <c r="C214" s="56"/>
      <c r="J214" s="56"/>
    </row>
    <row r="215">
      <c r="A215" s="38"/>
      <c r="C215" s="56"/>
      <c r="J215" s="56"/>
    </row>
    <row r="216">
      <c r="A216" s="38"/>
      <c r="C216" s="56"/>
      <c r="J216" s="56"/>
    </row>
    <row r="217">
      <c r="A217" s="38"/>
      <c r="C217" s="56"/>
      <c r="J217" s="56"/>
    </row>
    <row r="218">
      <c r="A218" s="38"/>
      <c r="C218" s="56"/>
      <c r="J218" s="56"/>
    </row>
    <row r="219">
      <c r="A219" s="38"/>
      <c r="C219" s="56"/>
      <c r="J219" s="56"/>
    </row>
    <row r="220">
      <c r="A220" s="38"/>
      <c r="C220" s="56"/>
      <c r="J220" s="56"/>
    </row>
    <row r="221">
      <c r="A221" s="38"/>
      <c r="C221" s="56"/>
      <c r="J221" s="56"/>
    </row>
    <row r="222">
      <c r="A222" s="38"/>
      <c r="C222" s="56"/>
      <c r="J222" s="56"/>
    </row>
    <row r="223">
      <c r="A223" s="38"/>
      <c r="C223" s="56"/>
      <c r="J223" s="56"/>
    </row>
    <row r="224">
      <c r="A224" s="38"/>
      <c r="C224" s="56"/>
      <c r="J224" s="56"/>
    </row>
    <row r="225">
      <c r="A225" s="38"/>
      <c r="C225" s="56"/>
      <c r="J225" s="56"/>
    </row>
    <row r="226">
      <c r="A226" s="38"/>
      <c r="C226" s="56"/>
      <c r="J226" s="56"/>
    </row>
    <row r="227">
      <c r="A227" s="38"/>
      <c r="C227" s="56"/>
      <c r="J227" s="56"/>
    </row>
    <row r="228">
      <c r="A228" s="38"/>
      <c r="C228" s="56"/>
      <c r="J228" s="56"/>
    </row>
    <row r="229">
      <c r="A229" s="38"/>
      <c r="C229" s="56"/>
      <c r="J229" s="56"/>
    </row>
    <row r="230">
      <c r="A230" s="38"/>
      <c r="C230" s="56"/>
      <c r="J230" s="56"/>
    </row>
    <row r="231">
      <c r="A231" s="38"/>
      <c r="C231" s="56"/>
      <c r="J231" s="56"/>
    </row>
    <row r="232">
      <c r="A232" s="38"/>
      <c r="C232" s="56"/>
      <c r="J232" s="56"/>
    </row>
    <row r="233">
      <c r="A233" s="38"/>
      <c r="C233" s="56"/>
      <c r="J233" s="56"/>
    </row>
    <row r="234">
      <c r="A234" s="38"/>
      <c r="C234" s="56"/>
      <c r="J234" s="56"/>
    </row>
    <row r="235">
      <c r="A235" s="38"/>
      <c r="C235" s="56"/>
      <c r="J235" s="56"/>
    </row>
    <row r="236">
      <c r="A236" s="38"/>
      <c r="C236" s="56"/>
      <c r="J236" s="56"/>
    </row>
    <row r="237">
      <c r="A237" s="38"/>
      <c r="C237" s="56"/>
      <c r="J237" s="56"/>
    </row>
    <row r="238">
      <c r="A238" s="38"/>
      <c r="C238" s="56"/>
      <c r="J238" s="56"/>
    </row>
    <row r="239">
      <c r="A239" s="38"/>
      <c r="C239" s="56"/>
      <c r="J239" s="56"/>
    </row>
    <row r="240">
      <c r="A240" s="38"/>
      <c r="C240" s="56"/>
      <c r="J240" s="56"/>
    </row>
    <row r="241">
      <c r="A241" s="38"/>
      <c r="C241" s="56"/>
      <c r="J241" s="56"/>
    </row>
    <row r="242">
      <c r="A242" s="38"/>
      <c r="C242" s="56"/>
      <c r="J242" s="56"/>
    </row>
    <row r="243">
      <c r="A243" s="38"/>
      <c r="C243" s="56"/>
      <c r="J243" s="56"/>
    </row>
    <row r="244">
      <c r="A244" s="38"/>
      <c r="C244" s="56"/>
      <c r="J244" s="56"/>
    </row>
    <row r="245">
      <c r="A245" s="38"/>
      <c r="C245" s="56"/>
      <c r="J245" s="56"/>
    </row>
    <row r="246">
      <c r="A246" s="38"/>
      <c r="C246" s="56"/>
      <c r="J246" s="56"/>
    </row>
    <row r="247">
      <c r="A247" s="38"/>
      <c r="C247" s="56"/>
      <c r="J247" s="56"/>
    </row>
    <row r="248">
      <c r="A248" s="38"/>
      <c r="C248" s="56"/>
      <c r="J248" s="56"/>
    </row>
    <row r="249">
      <c r="A249" s="38"/>
      <c r="C249" s="56"/>
      <c r="J249" s="56"/>
    </row>
    <row r="250">
      <c r="A250" s="38"/>
      <c r="C250" s="56"/>
      <c r="J250" s="56"/>
    </row>
    <row r="251">
      <c r="A251" s="38"/>
      <c r="C251" s="56"/>
      <c r="J251" s="56"/>
    </row>
    <row r="252">
      <c r="A252" s="38"/>
      <c r="C252" s="56"/>
      <c r="J252" s="56"/>
    </row>
    <row r="253">
      <c r="A253" s="38"/>
      <c r="C253" s="56"/>
      <c r="J253" s="56"/>
    </row>
    <row r="254">
      <c r="A254" s="38"/>
      <c r="C254" s="56"/>
      <c r="J254" s="56"/>
    </row>
    <row r="255">
      <c r="A255" s="38"/>
      <c r="C255" s="56"/>
      <c r="J255" s="56"/>
    </row>
    <row r="256">
      <c r="A256" s="38"/>
      <c r="C256" s="56"/>
      <c r="J256" s="56"/>
    </row>
    <row r="257">
      <c r="A257" s="38"/>
      <c r="C257" s="56"/>
      <c r="J257" s="56"/>
    </row>
    <row r="258">
      <c r="A258" s="38"/>
      <c r="C258" s="56"/>
      <c r="J258" s="56"/>
    </row>
    <row r="259">
      <c r="A259" s="38"/>
      <c r="C259" s="56"/>
      <c r="J259" s="56"/>
    </row>
    <row r="260">
      <c r="A260" s="38"/>
      <c r="C260" s="56"/>
      <c r="J260" s="56"/>
    </row>
    <row r="261">
      <c r="A261" s="38"/>
      <c r="C261" s="56"/>
      <c r="J261" s="56"/>
    </row>
    <row r="262">
      <c r="A262" s="38"/>
      <c r="C262" s="56"/>
      <c r="J262" s="56"/>
    </row>
    <row r="263">
      <c r="A263" s="38"/>
      <c r="C263" s="56"/>
      <c r="J263" s="56"/>
    </row>
    <row r="264">
      <c r="A264" s="38"/>
      <c r="C264" s="56"/>
      <c r="J264" s="56"/>
    </row>
    <row r="265">
      <c r="A265" s="38"/>
      <c r="C265" s="56"/>
      <c r="J265" s="56"/>
    </row>
    <row r="266">
      <c r="A266" s="38"/>
      <c r="C266" s="56"/>
      <c r="J266" s="56"/>
    </row>
    <row r="267">
      <c r="A267" s="38"/>
      <c r="C267" s="56"/>
      <c r="J267" s="56"/>
    </row>
    <row r="268">
      <c r="A268" s="38"/>
      <c r="C268" s="56"/>
      <c r="J268" s="56"/>
    </row>
    <row r="269">
      <c r="A269" s="38"/>
      <c r="C269" s="56"/>
      <c r="J269" s="56"/>
    </row>
    <row r="270">
      <c r="A270" s="38"/>
      <c r="C270" s="56"/>
      <c r="J270" s="56"/>
    </row>
    <row r="271">
      <c r="A271" s="38"/>
      <c r="C271" s="56"/>
      <c r="J271" s="56"/>
    </row>
    <row r="272">
      <c r="A272" s="38"/>
      <c r="C272" s="56"/>
      <c r="J272" s="56"/>
    </row>
    <row r="273">
      <c r="A273" s="38"/>
      <c r="C273" s="56"/>
      <c r="J273" s="56"/>
    </row>
    <row r="274">
      <c r="A274" s="38"/>
      <c r="C274" s="56"/>
      <c r="J274" s="56"/>
    </row>
    <row r="275">
      <c r="A275" s="38"/>
      <c r="C275" s="56"/>
      <c r="J275" s="56"/>
    </row>
    <row r="276">
      <c r="A276" s="38"/>
      <c r="C276" s="56"/>
      <c r="J276" s="56"/>
    </row>
    <row r="277">
      <c r="A277" s="38"/>
      <c r="C277" s="56"/>
      <c r="J277" s="56"/>
    </row>
    <row r="278">
      <c r="A278" s="38"/>
      <c r="C278" s="56"/>
      <c r="J278" s="56"/>
    </row>
    <row r="279">
      <c r="A279" s="38"/>
      <c r="C279" s="56"/>
      <c r="J279" s="56"/>
    </row>
    <row r="280">
      <c r="A280" s="38"/>
      <c r="C280" s="56"/>
      <c r="J280" s="56"/>
    </row>
    <row r="281">
      <c r="A281" s="38"/>
      <c r="C281" s="56"/>
      <c r="J281" s="56"/>
    </row>
    <row r="282">
      <c r="A282" s="38"/>
      <c r="C282" s="56"/>
      <c r="J282" s="56"/>
    </row>
    <row r="283">
      <c r="A283" s="38"/>
      <c r="C283" s="56"/>
      <c r="J283" s="56"/>
    </row>
    <row r="284">
      <c r="A284" s="38"/>
      <c r="C284" s="56"/>
      <c r="J284" s="56"/>
    </row>
    <row r="285">
      <c r="A285" s="38"/>
      <c r="C285" s="56"/>
      <c r="J285" s="56"/>
    </row>
    <row r="286">
      <c r="A286" s="38"/>
      <c r="C286" s="56"/>
      <c r="J286" s="56"/>
    </row>
    <row r="287">
      <c r="A287" s="38"/>
      <c r="C287" s="56"/>
      <c r="J287" s="56"/>
    </row>
    <row r="288">
      <c r="A288" s="38"/>
      <c r="C288" s="56"/>
      <c r="J288" s="56"/>
    </row>
    <row r="289">
      <c r="A289" s="38"/>
      <c r="C289" s="56"/>
      <c r="J289" s="56"/>
    </row>
    <row r="290">
      <c r="A290" s="38"/>
      <c r="C290" s="56"/>
      <c r="J290" s="56"/>
    </row>
    <row r="291">
      <c r="A291" s="38"/>
      <c r="C291" s="56"/>
      <c r="J291" s="56"/>
    </row>
    <row r="292">
      <c r="A292" s="38"/>
      <c r="C292" s="56"/>
      <c r="J292" s="56"/>
    </row>
    <row r="293">
      <c r="A293" s="38"/>
      <c r="C293" s="56"/>
      <c r="J293" s="56"/>
    </row>
    <row r="294">
      <c r="A294" s="38"/>
      <c r="C294" s="56"/>
      <c r="J294" s="56"/>
    </row>
    <row r="295">
      <c r="A295" s="38"/>
      <c r="C295" s="56"/>
      <c r="J295" s="56"/>
    </row>
    <row r="296">
      <c r="A296" s="38"/>
      <c r="C296" s="56"/>
      <c r="J296" s="56"/>
    </row>
    <row r="297">
      <c r="A297" s="38"/>
      <c r="C297" s="56"/>
      <c r="J297" s="56"/>
    </row>
    <row r="298">
      <c r="A298" s="38"/>
      <c r="C298" s="56"/>
      <c r="J298" s="56"/>
    </row>
    <row r="299">
      <c r="A299" s="38"/>
      <c r="C299" s="56"/>
      <c r="J299" s="56"/>
    </row>
    <row r="300">
      <c r="A300" s="38"/>
      <c r="C300" s="56"/>
      <c r="J300" s="56"/>
    </row>
    <row r="301">
      <c r="A301" s="38"/>
      <c r="C301" s="56"/>
      <c r="J301" s="56"/>
    </row>
    <row r="302">
      <c r="A302" s="38"/>
      <c r="C302" s="56"/>
      <c r="J302" s="56"/>
    </row>
    <row r="303">
      <c r="A303" s="38"/>
      <c r="C303" s="56"/>
      <c r="J303" s="56"/>
    </row>
    <row r="304">
      <c r="A304" s="38"/>
      <c r="C304" s="56"/>
      <c r="J304" s="56"/>
    </row>
    <row r="305">
      <c r="A305" s="38"/>
      <c r="C305" s="56"/>
      <c r="J305" s="56"/>
    </row>
    <row r="306">
      <c r="A306" s="38"/>
      <c r="C306" s="56"/>
      <c r="J306" s="56"/>
    </row>
    <row r="307">
      <c r="A307" s="38"/>
      <c r="C307" s="56"/>
      <c r="J307" s="56"/>
    </row>
    <row r="308">
      <c r="A308" s="38"/>
      <c r="C308" s="56"/>
      <c r="J308" s="56"/>
    </row>
    <row r="309">
      <c r="A309" s="38"/>
      <c r="C309" s="56"/>
      <c r="J309" s="56"/>
    </row>
    <row r="310">
      <c r="A310" s="38"/>
      <c r="C310" s="56"/>
      <c r="J310" s="56"/>
    </row>
    <row r="311">
      <c r="A311" s="38"/>
      <c r="C311" s="56"/>
      <c r="J311" s="56"/>
    </row>
    <row r="312">
      <c r="A312" s="38"/>
      <c r="C312" s="56"/>
      <c r="J312" s="56"/>
    </row>
    <row r="313">
      <c r="A313" s="38"/>
      <c r="C313" s="56"/>
      <c r="J313" s="56"/>
    </row>
    <row r="314">
      <c r="A314" s="38"/>
      <c r="C314" s="56"/>
      <c r="J314" s="56"/>
    </row>
    <row r="315">
      <c r="A315" s="38"/>
      <c r="C315" s="56"/>
      <c r="J315" s="56"/>
    </row>
    <row r="316">
      <c r="A316" s="38"/>
      <c r="C316" s="56"/>
      <c r="J316" s="56"/>
    </row>
    <row r="317">
      <c r="A317" s="38"/>
      <c r="C317" s="56"/>
      <c r="J317" s="56"/>
    </row>
    <row r="318">
      <c r="A318" s="38"/>
      <c r="C318" s="56"/>
      <c r="J318" s="56"/>
    </row>
    <row r="319">
      <c r="A319" s="38"/>
      <c r="C319" s="56"/>
      <c r="J319" s="56"/>
    </row>
    <row r="320">
      <c r="A320" s="38"/>
      <c r="C320" s="56"/>
      <c r="J320" s="56"/>
    </row>
    <row r="321">
      <c r="A321" s="38"/>
      <c r="C321" s="56"/>
      <c r="J321" s="56"/>
    </row>
    <row r="322">
      <c r="A322" s="38"/>
      <c r="C322" s="56"/>
      <c r="J322" s="56"/>
    </row>
    <row r="323">
      <c r="A323" s="38"/>
      <c r="C323" s="56"/>
      <c r="J323" s="56"/>
    </row>
    <row r="324">
      <c r="A324" s="38"/>
      <c r="C324" s="56"/>
      <c r="J324" s="56"/>
    </row>
    <row r="325">
      <c r="A325" s="38"/>
      <c r="C325" s="56"/>
      <c r="J325" s="56"/>
    </row>
    <row r="326">
      <c r="A326" s="38"/>
      <c r="C326" s="56"/>
      <c r="J326" s="56"/>
    </row>
    <row r="327">
      <c r="A327" s="38"/>
      <c r="C327" s="56"/>
      <c r="J327" s="56"/>
    </row>
    <row r="328">
      <c r="A328" s="38"/>
      <c r="C328" s="56"/>
      <c r="J328" s="56"/>
    </row>
    <row r="329">
      <c r="A329" s="38"/>
      <c r="C329" s="56"/>
      <c r="J329" s="56"/>
    </row>
    <row r="330">
      <c r="A330" s="38"/>
      <c r="C330" s="56"/>
      <c r="J330" s="56"/>
    </row>
    <row r="331">
      <c r="A331" s="38"/>
      <c r="C331" s="56"/>
      <c r="J331" s="56"/>
    </row>
    <row r="332">
      <c r="A332" s="38"/>
      <c r="C332" s="56"/>
      <c r="J332" s="56"/>
    </row>
    <row r="333">
      <c r="A333" s="38"/>
      <c r="C333" s="56"/>
      <c r="J333" s="56"/>
    </row>
    <row r="334">
      <c r="A334" s="38"/>
      <c r="C334" s="56"/>
      <c r="J334" s="56"/>
    </row>
    <row r="335">
      <c r="A335" s="38"/>
      <c r="C335" s="56"/>
      <c r="J335" s="56"/>
    </row>
    <row r="336">
      <c r="A336" s="38"/>
      <c r="C336" s="56"/>
      <c r="J336" s="56"/>
    </row>
    <row r="337">
      <c r="A337" s="38"/>
      <c r="C337" s="56"/>
      <c r="J337" s="56"/>
    </row>
    <row r="338">
      <c r="A338" s="38"/>
      <c r="C338" s="56"/>
      <c r="J338" s="56"/>
    </row>
    <row r="339">
      <c r="A339" s="38"/>
      <c r="C339" s="56"/>
      <c r="J339" s="56"/>
    </row>
    <row r="340">
      <c r="A340" s="38"/>
      <c r="C340" s="56"/>
      <c r="J340" s="56"/>
    </row>
    <row r="341">
      <c r="A341" s="38"/>
      <c r="C341" s="56"/>
      <c r="J341" s="56"/>
    </row>
    <row r="342">
      <c r="A342" s="38"/>
      <c r="C342" s="56"/>
      <c r="J342" s="56"/>
    </row>
    <row r="343">
      <c r="A343" s="38"/>
      <c r="C343" s="56"/>
      <c r="J343" s="56"/>
    </row>
    <row r="344">
      <c r="A344" s="38"/>
      <c r="C344" s="56"/>
      <c r="J344" s="56"/>
    </row>
    <row r="345">
      <c r="A345" s="38"/>
      <c r="C345" s="56"/>
      <c r="J345" s="56"/>
    </row>
    <row r="346">
      <c r="A346" s="38"/>
      <c r="C346" s="56"/>
      <c r="J346" s="56"/>
    </row>
    <row r="347">
      <c r="A347" s="38"/>
      <c r="C347" s="56"/>
      <c r="J347" s="56"/>
    </row>
    <row r="348">
      <c r="A348" s="38"/>
      <c r="C348" s="56"/>
      <c r="J348" s="56"/>
    </row>
    <row r="349">
      <c r="A349" s="38"/>
      <c r="C349" s="56"/>
      <c r="J349" s="56"/>
    </row>
    <row r="350">
      <c r="A350" s="38"/>
      <c r="C350" s="56"/>
      <c r="J350" s="56"/>
    </row>
    <row r="351">
      <c r="A351" s="38"/>
      <c r="C351" s="56"/>
      <c r="J351" s="56"/>
    </row>
    <row r="352">
      <c r="A352" s="38"/>
      <c r="C352" s="56"/>
      <c r="J352" s="56"/>
    </row>
    <row r="353">
      <c r="A353" s="38"/>
      <c r="C353" s="56"/>
      <c r="J353" s="56"/>
    </row>
    <row r="354">
      <c r="A354" s="38"/>
      <c r="C354" s="56"/>
      <c r="J354" s="56"/>
    </row>
    <row r="355">
      <c r="A355" s="38"/>
      <c r="C355" s="56"/>
      <c r="J355" s="56"/>
    </row>
    <row r="356">
      <c r="A356" s="38"/>
      <c r="C356" s="56"/>
      <c r="J356" s="56"/>
    </row>
    <row r="357">
      <c r="A357" s="38"/>
      <c r="C357" s="56"/>
      <c r="J357" s="56"/>
    </row>
    <row r="358">
      <c r="A358" s="38"/>
      <c r="C358" s="56"/>
      <c r="J358" s="56"/>
    </row>
    <row r="359">
      <c r="A359" s="38"/>
      <c r="C359" s="56"/>
      <c r="J359" s="56"/>
    </row>
    <row r="360">
      <c r="A360" s="38"/>
      <c r="C360" s="56"/>
      <c r="J360" s="56"/>
    </row>
    <row r="361">
      <c r="A361" s="38"/>
      <c r="C361" s="56"/>
      <c r="J361" s="56"/>
    </row>
    <row r="362">
      <c r="A362" s="38"/>
      <c r="C362" s="56"/>
      <c r="J362" s="56"/>
    </row>
    <row r="363">
      <c r="A363" s="38"/>
      <c r="C363" s="56"/>
      <c r="J363" s="56"/>
    </row>
    <row r="364">
      <c r="A364" s="38"/>
      <c r="C364" s="56"/>
      <c r="J364" s="56"/>
    </row>
    <row r="365">
      <c r="A365" s="38"/>
      <c r="C365" s="56"/>
      <c r="J365" s="56"/>
    </row>
    <row r="366">
      <c r="A366" s="38"/>
      <c r="C366" s="56"/>
      <c r="J366" s="56"/>
    </row>
    <row r="367">
      <c r="A367" s="38"/>
      <c r="C367" s="56"/>
      <c r="J367" s="56"/>
    </row>
    <row r="368">
      <c r="A368" s="38"/>
      <c r="C368" s="56"/>
      <c r="J368" s="56"/>
    </row>
    <row r="369">
      <c r="A369" s="38"/>
      <c r="C369" s="56"/>
      <c r="J369" s="56"/>
    </row>
    <row r="370">
      <c r="A370" s="38"/>
      <c r="C370" s="56"/>
      <c r="J370" s="56"/>
    </row>
    <row r="371">
      <c r="A371" s="38"/>
      <c r="C371" s="56"/>
      <c r="J371" s="56"/>
    </row>
    <row r="372">
      <c r="A372" s="38"/>
      <c r="C372" s="56"/>
      <c r="J372" s="56"/>
    </row>
    <row r="373">
      <c r="A373" s="38"/>
      <c r="C373" s="56"/>
      <c r="J373" s="56"/>
    </row>
    <row r="374">
      <c r="A374" s="38"/>
      <c r="C374" s="56"/>
      <c r="J374" s="56"/>
    </row>
    <row r="375">
      <c r="A375" s="38"/>
      <c r="C375" s="56"/>
      <c r="J375" s="56"/>
    </row>
    <row r="376">
      <c r="A376" s="38"/>
      <c r="C376" s="56"/>
      <c r="J376" s="56"/>
    </row>
    <row r="377">
      <c r="A377" s="38"/>
      <c r="C377" s="56"/>
      <c r="J377" s="56"/>
    </row>
    <row r="378">
      <c r="A378" s="38"/>
      <c r="C378" s="56"/>
      <c r="J378" s="56"/>
    </row>
    <row r="379">
      <c r="A379" s="38"/>
      <c r="C379" s="56"/>
      <c r="J379" s="56"/>
    </row>
    <row r="380">
      <c r="A380" s="38"/>
      <c r="C380" s="56"/>
      <c r="J380" s="56"/>
    </row>
    <row r="381">
      <c r="A381" s="38"/>
      <c r="C381" s="56"/>
      <c r="J381" s="56"/>
    </row>
    <row r="382">
      <c r="A382" s="38"/>
      <c r="C382" s="56"/>
      <c r="J382" s="56"/>
    </row>
    <row r="383">
      <c r="A383" s="38"/>
      <c r="C383" s="56"/>
      <c r="J383" s="56"/>
    </row>
    <row r="384">
      <c r="A384" s="38"/>
      <c r="C384" s="56"/>
      <c r="J384" s="56"/>
    </row>
    <row r="385">
      <c r="A385" s="38"/>
      <c r="C385" s="56"/>
      <c r="J385" s="56"/>
    </row>
    <row r="386">
      <c r="A386" s="38"/>
      <c r="C386" s="56"/>
      <c r="J386" s="56"/>
    </row>
    <row r="387">
      <c r="A387" s="38"/>
      <c r="C387" s="56"/>
      <c r="J387" s="56"/>
    </row>
    <row r="388">
      <c r="A388" s="38"/>
      <c r="C388" s="56"/>
      <c r="J388" s="56"/>
    </row>
    <row r="389">
      <c r="A389" s="38"/>
      <c r="C389" s="56"/>
      <c r="J389" s="56"/>
    </row>
    <row r="390">
      <c r="A390" s="38"/>
      <c r="C390" s="56"/>
      <c r="J390" s="56"/>
    </row>
    <row r="391">
      <c r="A391" s="38"/>
      <c r="C391" s="56"/>
      <c r="J391" s="56"/>
    </row>
    <row r="392">
      <c r="A392" s="38"/>
      <c r="C392" s="56"/>
      <c r="J392" s="56"/>
    </row>
    <row r="393">
      <c r="A393" s="38"/>
      <c r="C393" s="56"/>
      <c r="J393" s="56"/>
    </row>
    <row r="394">
      <c r="A394" s="38"/>
      <c r="C394" s="56"/>
      <c r="J394" s="56"/>
    </row>
    <row r="395">
      <c r="A395" s="38"/>
      <c r="C395" s="56"/>
      <c r="J395" s="56"/>
    </row>
    <row r="396">
      <c r="A396" s="38"/>
      <c r="C396" s="56"/>
      <c r="J396" s="56"/>
    </row>
    <row r="397">
      <c r="A397" s="38"/>
      <c r="C397" s="56"/>
      <c r="J397" s="56"/>
    </row>
    <row r="398">
      <c r="A398" s="38"/>
      <c r="C398" s="56"/>
      <c r="J398" s="56"/>
    </row>
    <row r="399">
      <c r="A399" s="38"/>
      <c r="C399" s="56"/>
      <c r="J399" s="56"/>
    </row>
    <row r="400">
      <c r="A400" s="38"/>
      <c r="C400" s="56"/>
      <c r="J400" s="56"/>
    </row>
    <row r="401">
      <c r="A401" s="38"/>
      <c r="C401" s="56"/>
      <c r="J401" s="56"/>
    </row>
    <row r="402">
      <c r="A402" s="38"/>
      <c r="C402" s="56"/>
      <c r="J402" s="56"/>
    </row>
    <row r="403">
      <c r="A403" s="38"/>
      <c r="C403" s="56"/>
      <c r="J403" s="56"/>
    </row>
    <row r="404">
      <c r="A404" s="38"/>
      <c r="C404" s="56"/>
      <c r="J404" s="56"/>
    </row>
    <row r="405">
      <c r="A405" s="38"/>
      <c r="C405" s="56"/>
      <c r="J405" s="56"/>
    </row>
    <row r="406">
      <c r="A406" s="38"/>
      <c r="C406" s="56"/>
      <c r="J406" s="56"/>
    </row>
    <row r="407">
      <c r="A407" s="38"/>
      <c r="C407" s="56"/>
      <c r="J407" s="56"/>
    </row>
    <row r="408">
      <c r="A408" s="38"/>
      <c r="C408" s="56"/>
      <c r="J408" s="56"/>
    </row>
    <row r="409">
      <c r="A409" s="38"/>
      <c r="C409" s="56"/>
      <c r="J409" s="56"/>
    </row>
    <row r="410">
      <c r="A410" s="38"/>
      <c r="C410" s="56"/>
      <c r="J410" s="56"/>
    </row>
    <row r="411">
      <c r="A411" s="38"/>
      <c r="C411" s="56"/>
      <c r="J411" s="56"/>
    </row>
    <row r="412">
      <c r="A412" s="38"/>
      <c r="C412" s="56"/>
      <c r="J412" s="56"/>
    </row>
    <row r="413">
      <c r="A413" s="38"/>
      <c r="C413" s="56"/>
      <c r="J413" s="56"/>
    </row>
    <row r="414">
      <c r="A414" s="38"/>
      <c r="C414" s="56"/>
      <c r="J414" s="56"/>
    </row>
    <row r="415">
      <c r="A415" s="38"/>
      <c r="C415" s="56"/>
      <c r="J415" s="56"/>
    </row>
    <row r="416">
      <c r="A416" s="38"/>
      <c r="C416" s="56"/>
      <c r="J416" s="56"/>
    </row>
    <row r="417">
      <c r="A417" s="38"/>
      <c r="C417" s="56"/>
      <c r="J417" s="56"/>
    </row>
    <row r="418">
      <c r="A418" s="38"/>
      <c r="C418" s="56"/>
      <c r="J418" s="56"/>
    </row>
    <row r="419">
      <c r="A419" s="38"/>
      <c r="C419" s="56"/>
      <c r="J419" s="56"/>
    </row>
    <row r="420">
      <c r="A420" s="38"/>
      <c r="C420" s="56"/>
      <c r="J420" s="56"/>
    </row>
    <row r="421">
      <c r="A421" s="38"/>
      <c r="C421" s="56"/>
      <c r="J421" s="56"/>
    </row>
    <row r="422">
      <c r="A422" s="38"/>
      <c r="C422" s="56"/>
      <c r="J422" s="56"/>
    </row>
    <row r="423">
      <c r="A423" s="38"/>
      <c r="C423" s="56"/>
      <c r="J423" s="56"/>
    </row>
    <row r="424">
      <c r="A424" s="38"/>
      <c r="C424" s="56"/>
      <c r="J424" s="56"/>
    </row>
    <row r="425">
      <c r="A425" s="38"/>
      <c r="C425" s="56"/>
      <c r="J425" s="56"/>
    </row>
    <row r="426">
      <c r="A426" s="38"/>
      <c r="C426" s="56"/>
      <c r="J426" s="56"/>
    </row>
    <row r="427">
      <c r="A427" s="38"/>
      <c r="C427" s="56"/>
      <c r="J427" s="56"/>
    </row>
    <row r="428">
      <c r="A428" s="38"/>
      <c r="C428" s="56"/>
      <c r="J428" s="56"/>
    </row>
    <row r="429">
      <c r="A429" s="38"/>
      <c r="C429" s="56"/>
      <c r="J429" s="56"/>
    </row>
    <row r="430">
      <c r="A430" s="38"/>
      <c r="C430" s="56"/>
      <c r="J430" s="56"/>
    </row>
    <row r="431">
      <c r="A431" s="38"/>
      <c r="C431" s="56"/>
      <c r="J431" s="56"/>
    </row>
    <row r="432">
      <c r="A432" s="38"/>
      <c r="C432" s="56"/>
      <c r="J432" s="56"/>
    </row>
    <row r="433">
      <c r="A433" s="38"/>
      <c r="C433" s="56"/>
      <c r="J433" s="56"/>
    </row>
    <row r="434">
      <c r="A434" s="38"/>
      <c r="C434" s="56"/>
      <c r="J434" s="56"/>
    </row>
    <row r="435">
      <c r="A435" s="38"/>
      <c r="C435" s="56"/>
      <c r="J435" s="56"/>
    </row>
    <row r="436">
      <c r="A436" s="38"/>
      <c r="C436" s="56"/>
      <c r="J436" s="56"/>
    </row>
    <row r="437">
      <c r="A437" s="38"/>
      <c r="C437" s="56"/>
      <c r="J437" s="56"/>
    </row>
    <row r="438">
      <c r="A438" s="38"/>
      <c r="C438" s="56"/>
      <c r="J438" s="56"/>
    </row>
    <row r="439">
      <c r="A439" s="38"/>
      <c r="C439" s="56"/>
      <c r="J439" s="56"/>
    </row>
    <row r="440">
      <c r="A440" s="38"/>
      <c r="C440" s="56"/>
      <c r="J440" s="56"/>
    </row>
    <row r="441">
      <c r="A441" s="38"/>
      <c r="C441" s="56"/>
      <c r="J441" s="56"/>
    </row>
    <row r="442">
      <c r="A442" s="38"/>
      <c r="C442" s="56"/>
      <c r="J442" s="56"/>
    </row>
    <row r="443">
      <c r="A443" s="38"/>
      <c r="C443" s="56"/>
      <c r="J443" s="56"/>
    </row>
    <row r="444">
      <c r="A444" s="38"/>
      <c r="C444" s="56"/>
      <c r="J444" s="56"/>
    </row>
    <row r="445">
      <c r="A445" s="38"/>
      <c r="C445" s="56"/>
      <c r="J445" s="56"/>
    </row>
    <row r="446">
      <c r="A446" s="38"/>
      <c r="C446" s="56"/>
      <c r="J446" s="56"/>
    </row>
    <row r="447">
      <c r="A447" s="38"/>
      <c r="C447" s="56"/>
      <c r="J447" s="56"/>
    </row>
    <row r="448">
      <c r="A448" s="38"/>
      <c r="C448" s="56"/>
      <c r="J448" s="56"/>
    </row>
    <row r="449">
      <c r="A449" s="38"/>
      <c r="C449" s="56"/>
      <c r="J449" s="56"/>
    </row>
    <row r="450">
      <c r="A450" s="38"/>
      <c r="C450" s="56"/>
      <c r="J450" s="56"/>
    </row>
    <row r="451">
      <c r="A451" s="38"/>
      <c r="C451" s="56"/>
      <c r="J451" s="56"/>
    </row>
    <row r="452">
      <c r="A452" s="38"/>
      <c r="C452" s="56"/>
      <c r="J452" s="56"/>
    </row>
    <row r="453">
      <c r="A453" s="38"/>
      <c r="C453" s="56"/>
      <c r="J453" s="56"/>
    </row>
    <row r="454">
      <c r="A454" s="38"/>
      <c r="C454" s="56"/>
      <c r="J454" s="56"/>
    </row>
    <row r="455">
      <c r="A455" s="38"/>
      <c r="C455" s="56"/>
      <c r="J455" s="56"/>
    </row>
    <row r="456">
      <c r="A456" s="38"/>
      <c r="C456" s="56"/>
      <c r="J456" s="56"/>
    </row>
    <row r="457">
      <c r="A457" s="38"/>
      <c r="C457" s="56"/>
      <c r="J457" s="56"/>
    </row>
    <row r="458">
      <c r="A458" s="38"/>
      <c r="C458" s="56"/>
      <c r="J458" s="56"/>
    </row>
    <row r="459">
      <c r="A459" s="38"/>
      <c r="C459" s="56"/>
      <c r="J459" s="56"/>
    </row>
    <row r="460">
      <c r="A460" s="38"/>
      <c r="C460" s="56"/>
      <c r="J460" s="56"/>
    </row>
    <row r="461">
      <c r="A461" s="38"/>
      <c r="C461" s="56"/>
      <c r="J461" s="56"/>
    </row>
    <row r="462">
      <c r="A462" s="38"/>
      <c r="C462" s="56"/>
      <c r="J462" s="56"/>
    </row>
    <row r="463">
      <c r="A463" s="38"/>
      <c r="C463" s="56"/>
      <c r="J463" s="56"/>
    </row>
    <row r="464">
      <c r="A464" s="38"/>
      <c r="C464" s="56"/>
      <c r="J464" s="56"/>
    </row>
    <row r="465">
      <c r="A465" s="38"/>
      <c r="C465" s="56"/>
      <c r="J465" s="56"/>
    </row>
    <row r="466">
      <c r="A466" s="38"/>
      <c r="C466" s="56"/>
      <c r="J466" s="56"/>
    </row>
    <row r="467">
      <c r="A467" s="38"/>
      <c r="C467" s="56"/>
      <c r="J467" s="56"/>
    </row>
    <row r="468">
      <c r="A468" s="38"/>
      <c r="C468" s="56"/>
      <c r="J468" s="56"/>
    </row>
    <row r="469">
      <c r="A469" s="38"/>
      <c r="C469" s="56"/>
      <c r="J469" s="56"/>
    </row>
    <row r="470">
      <c r="A470" s="38"/>
      <c r="C470" s="56"/>
      <c r="J470" s="56"/>
    </row>
    <row r="471">
      <c r="A471" s="38"/>
      <c r="C471" s="56"/>
      <c r="J471" s="56"/>
    </row>
    <row r="472">
      <c r="A472" s="38"/>
      <c r="C472" s="56"/>
      <c r="J472" s="56"/>
    </row>
    <row r="473">
      <c r="A473" s="38"/>
      <c r="C473" s="56"/>
      <c r="J473" s="56"/>
    </row>
    <row r="474">
      <c r="A474" s="38"/>
      <c r="C474" s="56"/>
      <c r="J474" s="56"/>
    </row>
    <row r="475">
      <c r="A475" s="38"/>
      <c r="C475" s="56"/>
      <c r="J475" s="56"/>
    </row>
    <row r="476">
      <c r="A476" s="38"/>
      <c r="C476" s="56"/>
      <c r="J476" s="56"/>
    </row>
    <row r="477">
      <c r="A477" s="38"/>
      <c r="C477" s="56"/>
      <c r="J477" s="56"/>
    </row>
    <row r="478">
      <c r="A478" s="38"/>
      <c r="C478" s="56"/>
      <c r="J478" s="56"/>
    </row>
    <row r="479">
      <c r="A479" s="38"/>
      <c r="C479" s="56"/>
      <c r="J479" s="56"/>
    </row>
    <row r="480">
      <c r="A480" s="38"/>
      <c r="C480" s="56"/>
      <c r="J480" s="56"/>
    </row>
    <row r="481">
      <c r="A481" s="38"/>
      <c r="C481" s="56"/>
      <c r="J481" s="56"/>
    </row>
    <row r="482">
      <c r="A482" s="38"/>
      <c r="C482" s="56"/>
      <c r="J482" s="56"/>
    </row>
    <row r="483">
      <c r="A483" s="38"/>
      <c r="C483" s="56"/>
      <c r="J483" s="56"/>
    </row>
    <row r="484">
      <c r="A484" s="38"/>
      <c r="C484" s="56"/>
      <c r="J484" s="56"/>
    </row>
    <row r="485">
      <c r="A485" s="38"/>
      <c r="C485" s="56"/>
      <c r="J485" s="56"/>
    </row>
    <row r="486">
      <c r="A486" s="38"/>
      <c r="C486" s="56"/>
      <c r="J486" s="56"/>
    </row>
    <row r="487">
      <c r="A487" s="38"/>
      <c r="C487" s="56"/>
      <c r="J487" s="56"/>
    </row>
    <row r="488">
      <c r="A488" s="38"/>
      <c r="C488" s="56"/>
      <c r="J488" s="56"/>
    </row>
    <row r="489">
      <c r="A489" s="38"/>
      <c r="C489" s="56"/>
      <c r="J489" s="56"/>
    </row>
    <row r="490">
      <c r="A490" s="38"/>
      <c r="C490" s="56"/>
      <c r="J490" s="56"/>
    </row>
    <row r="491">
      <c r="A491" s="38"/>
      <c r="C491" s="56"/>
      <c r="J491" s="56"/>
    </row>
    <row r="492">
      <c r="A492" s="38"/>
      <c r="C492" s="56"/>
      <c r="J492" s="56"/>
    </row>
    <row r="493">
      <c r="A493" s="38"/>
      <c r="C493" s="56"/>
      <c r="J493" s="56"/>
    </row>
    <row r="494">
      <c r="A494" s="38"/>
      <c r="C494" s="56"/>
      <c r="J494" s="56"/>
    </row>
    <row r="495">
      <c r="A495" s="38"/>
      <c r="C495" s="56"/>
      <c r="J495" s="56"/>
    </row>
    <row r="496">
      <c r="A496" s="38"/>
      <c r="C496" s="56"/>
      <c r="J496" s="56"/>
    </row>
    <row r="497">
      <c r="A497" s="38"/>
      <c r="C497" s="56"/>
      <c r="J497" s="56"/>
    </row>
    <row r="498">
      <c r="A498" s="38"/>
      <c r="C498" s="56"/>
      <c r="J498" s="56"/>
    </row>
    <row r="499">
      <c r="A499" s="38"/>
      <c r="C499" s="56"/>
      <c r="J499" s="56"/>
    </row>
    <row r="500">
      <c r="A500" s="38"/>
      <c r="C500" s="56"/>
      <c r="J500" s="56"/>
    </row>
    <row r="501">
      <c r="A501" s="38"/>
      <c r="C501" s="56"/>
      <c r="J501" s="56"/>
    </row>
    <row r="502">
      <c r="A502" s="38"/>
      <c r="C502" s="56"/>
      <c r="J502" s="56"/>
    </row>
    <row r="503">
      <c r="A503" s="38"/>
      <c r="C503" s="56"/>
      <c r="J503" s="56"/>
    </row>
    <row r="504">
      <c r="A504" s="38"/>
      <c r="C504" s="56"/>
      <c r="J504" s="56"/>
    </row>
    <row r="505">
      <c r="A505" s="38"/>
      <c r="C505" s="56"/>
      <c r="J505" s="56"/>
    </row>
    <row r="506">
      <c r="A506" s="38"/>
      <c r="C506" s="56"/>
      <c r="J506" s="56"/>
    </row>
    <row r="507">
      <c r="A507" s="38"/>
      <c r="C507" s="56"/>
      <c r="J507" s="56"/>
    </row>
    <row r="508">
      <c r="A508" s="38"/>
      <c r="C508" s="56"/>
      <c r="J508" s="56"/>
    </row>
    <row r="509">
      <c r="A509" s="38"/>
      <c r="C509" s="56"/>
      <c r="J509" s="56"/>
    </row>
    <row r="510">
      <c r="A510" s="38"/>
      <c r="C510" s="56"/>
      <c r="J510" s="56"/>
    </row>
    <row r="511">
      <c r="A511" s="38"/>
      <c r="C511" s="56"/>
      <c r="J511" s="56"/>
    </row>
    <row r="512">
      <c r="A512" s="38"/>
      <c r="C512" s="56"/>
      <c r="J512" s="56"/>
    </row>
    <row r="513">
      <c r="A513" s="38"/>
      <c r="C513" s="56"/>
      <c r="J513" s="56"/>
    </row>
    <row r="514">
      <c r="A514" s="38"/>
      <c r="C514" s="56"/>
      <c r="J514" s="56"/>
    </row>
    <row r="515">
      <c r="A515" s="38"/>
      <c r="C515" s="56"/>
      <c r="J515" s="56"/>
    </row>
    <row r="516">
      <c r="A516" s="38"/>
      <c r="C516" s="56"/>
      <c r="J516" s="56"/>
    </row>
    <row r="517">
      <c r="A517" s="38"/>
      <c r="C517" s="56"/>
      <c r="J517" s="56"/>
    </row>
    <row r="518">
      <c r="A518" s="38"/>
      <c r="C518" s="56"/>
      <c r="J518" s="56"/>
    </row>
    <row r="519">
      <c r="A519" s="38"/>
      <c r="C519" s="56"/>
      <c r="J519" s="56"/>
    </row>
    <row r="520">
      <c r="A520" s="38"/>
      <c r="C520" s="56"/>
      <c r="J520" s="56"/>
    </row>
    <row r="521">
      <c r="A521" s="38"/>
      <c r="C521" s="56"/>
      <c r="J521" s="56"/>
    </row>
    <row r="522">
      <c r="A522" s="38"/>
      <c r="C522" s="56"/>
      <c r="J522" s="56"/>
    </row>
    <row r="523">
      <c r="A523" s="38"/>
      <c r="C523" s="56"/>
      <c r="J523" s="56"/>
    </row>
    <row r="524">
      <c r="A524" s="38"/>
      <c r="C524" s="56"/>
      <c r="J524" s="56"/>
    </row>
    <row r="525">
      <c r="A525" s="38"/>
      <c r="C525" s="56"/>
      <c r="J525" s="56"/>
    </row>
    <row r="526">
      <c r="A526" s="38"/>
      <c r="C526" s="56"/>
      <c r="J526" s="56"/>
    </row>
    <row r="527">
      <c r="A527" s="38"/>
      <c r="C527" s="56"/>
      <c r="J527" s="56"/>
    </row>
    <row r="528">
      <c r="A528" s="38"/>
      <c r="C528" s="56"/>
      <c r="J528" s="56"/>
    </row>
    <row r="529">
      <c r="A529" s="38"/>
      <c r="C529" s="56"/>
      <c r="J529" s="56"/>
    </row>
    <row r="530">
      <c r="A530" s="38"/>
      <c r="C530" s="56"/>
      <c r="J530" s="56"/>
    </row>
    <row r="531">
      <c r="A531" s="38"/>
      <c r="C531" s="56"/>
      <c r="J531" s="56"/>
    </row>
    <row r="532">
      <c r="A532" s="38"/>
      <c r="C532" s="56"/>
      <c r="J532" s="56"/>
    </row>
    <row r="533">
      <c r="A533" s="38"/>
      <c r="C533" s="56"/>
      <c r="J533" s="56"/>
    </row>
    <row r="534">
      <c r="A534" s="38"/>
      <c r="C534" s="56"/>
      <c r="J534" s="56"/>
    </row>
    <row r="535">
      <c r="A535" s="38"/>
      <c r="C535" s="56"/>
      <c r="J535" s="56"/>
    </row>
    <row r="536">
      <c r="A536" s="38"/>
      <c r="C536" s="56"/>
      <c r="J536" s="56"/>
    </row>
    <row r="537">
      <c r="A537" s="38"/>
      <c r="C537" s="56"/>
      <c r="J537" s="56"/>
    </row>
    <row r="538">
      <c r="A538" s="38"/>
      <c r="C538" s="56"/>
      <c r="J538" s="56"/>
    </row>
    <row r="539">
      <c r="A539" s="38"/>
      <c r="C539" s="56"/>
      <c r="J539" s="56"/>
    </row>
    <row r="540">
      <c r="A540" s="38"/>
      <c r="C540" s="56"/>
      <c r="J540" s="56"/>
    </row>
    <row r="541">
      <c r="A541" s="38"/>
      <c r="C541" s="56"/>
      <c r="J541" s="56"/>
    </row>
    <row r="542">
      <c r="A542" s="38"/>
      <c r="C542" s="56"/>
      <c r="J542" s="56"/>
    </row>
    <row r="543">
      <c r="A543" s="38"/>
      <c r="C543" s="56"/>
      <c r="J543" s="56"/>
    </row>
    <row r="544">
      <c r="A544" s="38"/>
      <c r="C544" s="56"/>
      <c r="J544" s="56"/>
    </row>
    <row r="545">
      <c r="A545" s="38"/>
      <c r="C545" s="56"/>
      <c r="J545" s="56"/>
    </row>
    <row r="546">
      <c r="A546" s="38"/>
      <c r="C546" s="56"/>
      <c r="J546" s="56"/>
    </row>
    <row r="547">
      <c r="A547" s="38"/>
      <c r="C547" s="56"/>
      <c r="J547" s="56"/>
    </row>
    <row r="548">
      <c r="A548" s="38"/>
      <c r="C548" s="56"/>
      <c r="J548" s="56"/>
    </row>
    <row r="549">
      <c r="A549" s="38"/>
      <c r="C549" s="56"/>
      <c r="J549" s="56"/>
    </row>
    <row r="550">
      <c r="A550" s="38"/>
      <c r="C550" s="56"/>
      <c r="J550" s="56"/>
    </row>
    <row r="551">
      <c r="A551" s="38"/>
      <c r="C551" s="56"/>
      <c r="J551" s="56"/>
    </row>
    <row r="552">
      <c r="A552" s="38"/>
      <c r="C552" s="56"/>
      <c r="J552" s="56"/>
    </row>
    <row r="553">
      <c r="A553" s="38"/>
      <c r="C553" s="56"/>
      <c r="J553" s="56"/>
    </row>
    <row r="554">
      <c r="A554" s="38"/>
      <c r="C554" s="56"/>
      <c r="J554" s="56"/>
    </row>
    <row r="555">
      <c r="A555" s="38"/>
      <c r="C555" s="56"/>
      <c r="J555" s="56"/>
    </row>
    <row r="556">
      <c r="A556" s="38"/>
      <c r="C556" s="56"/>
      <c r="J556" s="56"/>
    </row>
    <row r="557">
      <c r="A557" s="38"/>
      <c r="C557" s="56"/>
      <c r="J557" s="56"/>
    </row>
    <row r="558">
      <c r="A558" s="38"/>
      <c r="C558" s="56"/>
      <c r="J558" s="56"/>
    </row>
    <row r="559">
      <c r="A559" s="38"/>
      <c r="C559" s="56"/>
      <c r="J559" s="56"/>
    </row>
    <row r="560">
      <c r="A560" s="38"/>
      <c r="C560" s="56"/>
      <c r="J560" s="56"/>
    </row>
    <row r="561">
      <c r="A561" s="38"/>
      <c r="C561" s="56"/>
      <c r="J561" s="56"/>
    </row>
    <row r="562">
      <c r="A562" s="38"/>
      <c r="C562" s="56"/>
      <c r="J562" s="56"/>
    </row>
    <row r="563">
      <c r="A563" s="38"/>
      <c r="C563" s="56"/>
      <c r="J563" s="56"/>
    </row>
    <row r="564">
      <c r="A564" s="38"/>
      <c r="C564" s="56"/>
      <c r="J564" s="56"/>
    </row>
    <row r="565">
      <c r="A565" s="38"/>
      <c r="C565" s="56"/>
      <c r="J565" s="56"/>
    </row>
    <row r="566">
      <c r="A566" s="38"/>
      <c r="C566" s="56"/>
      <c r="J566" s="56"/>
    </row>
    <row r="567">
      <c r="A567" s="38"/>
      <c r="C567" s="56"/>
      <c r="J567" s="56"/>
    </row>
    <row r="568">
      <c r="A568" s="38"/>
      <c r="C568" s="56"/>
      <c r="J568" s="56"/>
    </row>
    <row r="569">
      <c r="A569" s="38"/>
      <c r="C569" s="56"/>
      <c r="J569" s="56"/>
    </row>
    <row r="570">
      <c r="A570" s="38"/>
      <c r="C570" s="56"/>
      <c r="J570" s="56"/>
    </row>
    <row r="571">
      <c r="A571" s="38"/>
      <c r="C571" s="56"/>
      <c r="J571" s="56"/>
    </row>
    <row r="572">
      <c r="A572" s="38"/>
      <c r="C572" s="56"/>
      <c r="J572" s="56"/>
    </row>
    <row r="573">
      <c r="A573" s="38"/>
      <c r="C573" s="56"/>
      <c r="J573" s="56"/>
    </row>
    <row r="574">
      <c r="A574" s="38"/>
      <c r="C574" s="56"/>
      <c r="J574" s="56"/>
    </row>
    <row r="575">
      <c r="A575" s="38"/>
      <c r="C575" s="56"/>
      <c r="J575" s="56"/>
    </row>
    <row r="576">
      <c r="A576" s="38"/>
      <c r="C576" s="56"/>
      <c r="J576" s="56"/>
    </row>
    <row r="577">
      <c r="A577" s="38"/>
      <c r="C577" s="56"/>
      <c r="J577" s="56"/>
    </row>
    <row r="578">
      <c r="A578" s="38"/>
      <c r="C578" s="56"/>
      <c r="J578" s="56"/>
    </row>
    <row r="579">
      <c r="A579" s="38"/>
      <c r="C579" s="56"/>
      <c r="J579" s="56"/>
    </row>
    <row r="580">
      <c r="A580" s="38"/>
      <c r="C580" s="56"/>
      <c r="J580" s="56"/>
    </row>
    <row r="581">
      <c r="A581" s="38"/>
      <c r="C581" s="56"/>
      <c r="J581" s="56"/>
    </row>
    <row r="582">
      <c r="A582" s="38"/>
      <c r="C582" s="56"/>
      <c r="J582" s="56"/>
    </row>
    <row r="583">
      <c r="A583" s="38"/>
      <c r="C583" s="56"/>
      <c r="J583" s="56"/>
    </row>
    <row r="584">
      <c r="A584" s="38"/>
      <c r="C584" s="56"/>
      <c r="J584" s="56"/>
    </row>
    <row r="585">
      <c r="A585" s="38"/>
      <c r="C585" s="56"/>
      <c r="J585" s="56"/>
    </row>
    <row r="586">
      <c r="A586" s="38"/>
      <c r="C586" s="56"/>
      <c r="J586" s="56"/>
    </row>
    <row r="587">
      <c r="A587" s="38"/>
      <c r="C587" s="56"/>
      <c r="J587" s="56"/>
    </row>
    <row r="588">
      <c r="A588" s="38"/>
      <c r="C588" s="56"/>
      <c r="J588" s="56"/>
    </row>
    <row r="589">
      <c r="A589" s="38"/>
      <c r="C589" s="56"/>
      <c r="J589" s="56"/>
    </row>
    <row r="590">
      <c r="A590" s="38"/>
      <c r="C590" s="56"/>
      <c r="J590" s="56"/>
    </row>
    <row r="591">
      <c r="A591" s="38"/>
      <c r="C591" s="56"/>
      <c r="J591" s="56"/>
    </row>
    <row r="592">
      <c r="A592" s="38"/>
      <c r="C592" s="56"/>
      <c r="J592" s="56"/>
    </row>
    <row r="593">
      <c r="A593" s="38"/>
      <c r="C593" s="56"/>
      <c r="J593" s="56"/>
    </row>
    <row r="594">
      <c r="A594" s="38"/>
      <c r="C594" s="56"/>
      <c r="J594" s="56"/>
    </row>
    <row r="595">
      <c r="A595" s="38"/>
      <c r="C595" s="56"/>
      <c r="J595" s="56"/>
    </row>
    <row r="596">
      <c r="A596" s="38"/>
      <c r="C596" s="56"/>
      <c r="J596" s="56"/>
    </row>
    <row r="597">
      <c r="A597" s="38"/>
      <c r="C597" s="56"/>
      <c r="J597" s="56"/>
    </row>
    <row r="598">
      <c r="A598" s="38"/>
      <c r="C598" s="56"/>
      <c r="J598" s="56"/>
    </row>
    <row r="599">
      <c r="A599" s="38"/>
      <c r="C599" s="56"/>
      <c r="J599" s="56"/>
    </row>
    <row r="600">
      <c r="A600" s="38"/>
      <c r="C600" s="56"/>
      <c r="J600" s="56"/>
    </row>
    <row r="601">
      <c r="A601" s="38"/>
      <c r="C601" s="56"/>
      <c r="J601" s="56"/>
    </row>
    <row r="602">
      <c r="A602" s="38"/>
      <c r="C602" s="56"/>
      <c r="J602" s="56"/>
    </row>
    <row r="603">
      <c r="A603" s="38"/>
      <c r="C603" s="56"/>
      <c r="J603" s="56"/>
    </row>
    <row r="604">
      <c r="A604" s="38"/>
      <c r="C604" s="56"/>
      <c r="J604" s="56"/>
    </row>
    <row r="605">
      <c r="A605" s="38"/>
      <c r="C605" s="56"/>
      <c r="J605" s="56"/>
    </row>
    <row r="606">
      <c r="A606" s="38"/>
      <c r="C606" s="56"/>
      <c r="J606" s="56"/>
    </row>
    <row r="607">
      <c r="A607" s="38"/>
      <c r="C607" s="56"/>
      <c r="J607" s="56"/>
    </row>
    <row r="608">
      <c r="A608" s="38"/>
      <c r="C608" s="56"/>
      <c r="J608" s="56"/>
    </row>
    <row r="609">
      <c r="A609" s="38"/>
      <c r="C609" s="56"/>
      <c r="J609" s="56"/>
    </row>
    <row r="610">
      <c r="A610" s="38"/>
      <c r="C610" s="56"/>
      <c r="J610" s="56"/>
    </row>
    <row r="611">
      <c r="A611" s="38"/>
      <c r="C611" s="56"/>
      <c r="J611" s="56"/>
    </row>
    <row r="612">
      <c r="A612" s="38"/>
      <c r="C612" s="56"/>
      <c r="J612" s="56"/>
    </row>
    <row r="613">
      <c r="A613" s="38"/>
      <c r="C613" s="56"/>
      <c r="J613" s="56"/>
    </row>
    <row r="614">
      <c r="A614" s="38"/>
      <c r="C614" s="56"/>
      <c r="J614" s="56"/>
    </row>
    <row r="615">
      <c r="A615" s="38"/>
      <c r="C615" s="56"/>
      <c r="J615" s="56"/>
    </row>
    <row r="616">
      <c r="A616" s="38"/>
      <c r="C616" s="56"/>
      <c r="J616" s="56"/>
    </row>
    <row r="617">
      <c r="A617" s="38"/>
      <c r="C617" s="56"/>
      <c r="J617" s="56"/>
    </row>
    <row r="618">
      <c r="A618" s="38"/>
      <c r="C618" s="56"/>
      <c r="J618" s="56"/>
    </row>
    <row r="619">
      <c r="A619" s="38"/>
      <c r="C619" s="56"/>
      <c r="J619" s="56"/>
    </row>
    <row r="620">
      <c r="A620" s="38"/>
      <c r="C620" s="56"/>
      <c r="J620" s="56"/>
    </row>
    <row r="621">
      <c r="A621" s="38"/>
      <c r="C621" s="56"/>
      <c r="J621" s="56"/>
    </row>
    <row r="622">
      <c r="A622" s="38"/>
      <c r="C622" s="56"/>
      <c r="J622" s="56"/>
    </row>
    <row r="623">
      <c r="A623" s="38"/>
      <c r="C623" s="56"/>
      <c r="J623" s="56"/>
    </row>
    <row r="624">
      <c r="A624" s="38"/>
      <c r="C624" s="56"/>
      <c r="J624" s="56"/>
    </row>
    <row r="625">
      <c r="A625" s="38"/>
      <c r="C625" s="56"/>
      <c r="J625" s="56"/>
    </row>
    <row r="626">
      <c r="A626" s="38"/>
      <c r="C626" s="56"/>
      <c r="J626" s="56"/>
    </row>
    <row r="627">
      <c r="A627" s="38"/>
      <c r="C627" s="56"/>
      <c r="J627" s="56"/>
    </row>
    <row r="628">
      <c r="A628" s="38"/>
      <c r="C628" s="56"/>
      <c r="J628" s="56"/>
    </row>
    <row r="629">
      <c r="A629" s="38"/>
      <c r="C629" s="56"/>
      <c r="J629" s="56"/>
    </row>
    <row r="630">
      <c r="A630" s="38"/>
      <c r="C630" s="56"/>
      <c r="J630" s="56"/>
    </row>
    <row r="631">
      <c r="A631" s="38"/>
      <c r="C631" s="56"/>
      <c r="J631" s="56"/>
    </row>
    <row r="632">
      <c r="A632" s="38"/>
      <c r="C632" s="56"/>
      <c r="J632" s="56"/>
    </row>
    <row r="633">
      <c r="A633" s="38"/>
      <c r="C633" s="56"/>
      <c r="J633" s="56"/>
    </row>
    <row r="634">
      <c r="A634" s="38"/>
      <c r="C634" s="56"/>
      <c r="J634" s="56"/>
    </row>
    <row r="635">
      <c r="A635" s="38"/>
      <c r="C635" s="56"/>
      <c r="J635" s="56"/>
    </row>
    <row r="636">
      <c r="A636" s="38"/>
      <c r="C636" s="56"/>
      <c r="J636" s="56"/>
    </row>
    <row r="637">
      <c r="A637" s="38"/>
      <c r="C637" s="56"/>
      <c r="J637" s="56"/>
    </row>
    <row r="638">
      <c r="A638" s="38"/>
      <c r="C638" s="56"/>
      <c r="J638" s="56"/>
    </row>
    <row r="639">
      <c r="A639" s="38"/>
      <c r="C639" s="56"/>
      <c r="J639" s="56"/>
    </row>
    <row r="640">
      <c r="A640" s="38"/>
      <c r="C640" s="56"/>
      <c r="J640" s="56"/>
    </row>
    <row r="641">
      <c r="A641" s="38"/>
      <c r="C641" s="56"/>
      <c r="J641" s="56"/>
    </row>
    <row r="642">
      <c r="A642" s="38"/>
      <c r="C642" s="56"/>
      <c r="J642" s="56"/>
    </row>
    <row r="643">
      <c r="A643" s="38"/>
      <c r="C643" s="56"/>
      <c r="J643" s="56"/>
    </row>
    <row r="644">
      <c r="A644" s="38"/>
      <c r="C644" s="56"/>
      <c r="J644" s="56"/>
    </row>
    <row r="645">
      <c r="A645" s="38"/>
      <c r="C645" s="56"/>
      <c r="J645" s="56"/>
    </row>
    <row r="646">
      <c r="A646" s="38"/>
      <c r="C646" s="56"/>
      <c r="J646" s="56"/>
    </row>
    <row r="647">
      <c r="A647" s="38"/>
      <c r="C647" s="56"/>
      <c r="J647" s="56"/>
    </row>
    <row r="648">
      <c r="A648" s="38"/>
      <c r="C648" s="56"/>
      <c r="J648" s="56"/>
    </row>
    <row r="649">
      <c r="A649" s="38"/>
      <c r="C649" s="56"/>
      <c r="J649" s="56"/>
    </row>
    <row r="650">
      <c r="A650" s="38"/>
      <c r="C650" s="56"/>
      <c r="J650" s="56"/>
    </row>
    <row r="651">
      <c r="A651" s="38"/>
      <c r="C651" s="56"/>
      <c r="J651" s="56"/>
    </row>
    <row r="652">
      <c r="A652" s="38"/>
      <c r="C652" s="56"/>
      <c r="J652" s="56"/>
    </row>
    <row r="653">
      <c r="A653" s="38"/>
      <c r="C653" s="56"/>
      <c r="J653" s="56"/>
    </row>
    <row r="654">
      <c r="A654" s="38"/>
      <c r="C654" s="56"/>
      <c r="J654" s="56"/>
    </row>
    <row r="655">
      <c r="A655" s="38"/>
      <c r="C655" s="56"/>
      <c r="J655" s="56"/>
    </row>
    <row r="656">
      <c r="A656" s="38"/>
      <c r="C656" s="56"/>
      <c r="J656" s="56"/>
    </row>
    <row r="657">
      <c r="A657" s="38"/>
      <c r="C657" s="56"/>
      <c r="J657" s="56"/>
    </row>
    <row r="658">
      <c r="A658" s="38"/>
      <c r="C658" s="56"/>
      <c r="J658" s="56"/>
    </row>
    <row r="659">
      <c r="A659" s="38"/>
      <c r="C659" s="56"/>
      <c r="J659" s="56"/>
    </row>
    <row r="660">
      <c r="A660" s="38"/>
      <c r="C660" s="56"/>
      <c r="J660" s="56"/>
    </row>
    <row r="661">
      <c r="A661" s="38"/>
      <c r="C661" s="56"/>
      <c r="J661" s="56"/>
    </row>
    <row r="662">
      <c r="A662" s="38"/>
      <c r="C662" s="56"/>
      <c r="J662" s="56"/>
    </row>
    <row r="663">
      <c r="A663" s="38"/>
      <c r="C663" s="56"/>
      <c r="J663" s="56"/>
    </row>
    <row r="664">
      <c r="A664" s="38"/>
      <c r="C664" s="56"/>
      <c r="J664" s="56"/>
    </row>
    <row r="665">
      <c r="A665" s="38"/>
      <c r="C665" s="56"/>
      <c r="J665" s="56"/>
    </row>
    <row r="666">
      <c r="A666" s="38"/>
      <c r="C666" s="56"/>
      <c r="J666" s="56"/>
    </row>
    <row r="667">
      <c r="A667" s="38"/>
      <c r="C667" s="56"/>
      <c r="J667" s="56"/>
    </row>
    <row r="668">
      <c r="A668" s="38"/>
      <c r="C668" s="56"/>
      <c r="J668" s="56"/>
    </row>
    <row r="669">
      <c r="A669" s="38"/>
      <c r="C669" s="56"/>
      <c r="J669" s="56"/>
    </row>
    <row r="670">
      <c r="A670" s="38"/>
      <c r="C670" s="56"/>
      <c r="J670" s="56"/>
    </row>
    <row r="671">
      <c r="A671" s="38"/>
      <c r="C671" s="56"/>
      <c r="J671" s="56"/>
    </row>
    <row r="672">
      <c r="A672" s="38"/>
      <c r="C672" s="56"/>
      <c r="J672" s="56"/>
    </row>
    <row r="673">
      <c r="A673" s="38"/>
      <c r="C673" s="56"/>
      <c r="J673" s="56"/>
    </row>
    <row r="674">
      <c r="A674" s="38"/>
      <c r="C674" s="56"/>
      <c r="J674" s="56"/>
    </row>
    <row r="675">
      <c r="A675" s="38"/>
      <c r="C675" s="56"/>
      <c r="J675" s="56"/>
    </row>
    <row r="676">
      <c r="A676" s="38"/>
      <c r="C676" s="56"/>
      <c r="J676" s="56"/>
    </row>
    <row r="677">
      <c r="A677" s="38"/>
      <c r="C677" s="56"/>
      <c r="J677" s="56"/>
    </row>
    <row r="678">
      <c r="A678" s="38"/>
      <c r="C678" s="56"/>
      <c r="J678" s="56"/>
    </row>
    <row r="679">
      <c r="A679" s="38"/>
      <c r="C679" s="56"/>
      <c r="J679" s="56"/>
    </row>
    <row r="680">
      <c r="A680" s="38"/>
      <c r="C680" s="56"/>
      <c r="J680" s="56"/>
    </row>
    <row r="681">
      <c r="A681" s="38"/>
      <c r="C681" s="56"/>
      <c r="J681" s="56"/>
    </row>
    <row r="682">
      <c r="A682" s="38"/>
      <c r="C682" s="56"/>
      <c r="J682" s="56"/>
    </row>
    <row r="683">
      <c r="A683" s="38"/>
      <c r="C683" s="56"/>
      <c r="J683" s="56"/>
    </row>
    <row r="684">
      <c r="A684" s="38"/>
      <c r="C684" s="56"/>
      <c r="J684" s="56"/>
    </row>
    <row r="685">
      <c r="A685" s="38"/>
      <c r="C685" s="56"/>
      <c r="J685" s="56"/>
    </row>
    <row r="686">
      <c r="A686" s="38"/>
      <c r="C686" s="56"/>
      <c r="J686" s="56"/>
    </row>
    <row r="687">
      <c r="A687" s="38"/>
      <c r="C687" s="56"/>
      <c r="J687" s="56"/>
    </row>
    <row r="688">
      <c r="A688" s="38"/>
      <c r="C688" s="56"/>
      <c r="J688" s="56"/>
    </row>
    <row r="689">
      <c r="A689" s="38"/>
      <c r="C689" s="56"/>
      <c r="J689" s="56"/>
    </row>
    <row r="690">
      <c r="A690" s="38"/>
      <c r="C690" s="56"/>
      <c r="J690" s="56"/>
    </row>
    <row r="691">
      <c r="A691" s="38"/>
      <c r="C691" s="56"/>
      <c r="J691" s="56"/>
    </row>
    <row r="692">
      <c r="A692" s="38"/>
      <c r="C692" s="56"/>
      <c r="J692" s="56"/>
    </row>
    <row r="693">
      <c r="A693" s="38"/>
      <c r="C693" s="56"/>
      <c r="J693" s="56"/>
    </row>
    <row r="694">
      <c r="A694" s="38"/>
      <c r="C694" s="56"/>
      <c r="J694" s="56"/>
    </row>
    <row r="695">
      <c r="A695" s="38"/>
      <c r="C695" s="56"/>
      <c r="J695" s="56"/>
    </row>
    <row r="696">
      <c r="A696" s="38"/>
      <c r="C696" s="56"/>
      <c r="J696" s="56"/>
    </row>
    <row r="697">
      <c r="A697" s="38"/>
      <c r="C697" s="56"/>
      <c r="J697" s="56"/>
    </row>
    <row r="698">
      <c r="A698" s="38"/>
      <c r="C698" s="56"/>
      <c r="J698" s="56"/>
    </row>
    <row r="699">
      <c r="A699" s="38"/>
      <c r="C699" s="56"/>
      <c r="J699" s="56"/>
    </row>
    <row r="700">
      <c r="A700" s="38"/>
      <c r="C700" s="56"/>
      <c r="J700" s="56"/>
    </row>
    <row r="701">
      <c r="A701" s="38"/>
      <c r="C701" s="56"/>
      <c r="J701" s="56"/>
    </row>
    <row r="702">
      <c r="A702" s="38"/>
      <c r="C702" s="56"/>
      <c r="J702" s="56"/>
    </row>
    <row r="703">
      <c r="A703" s="38"/>
      <c r="C703" s="56"/>
      <c r="J703" s="56"/>
    </row>
    <row r="704">
      <c r="A704" s="38"/>
      <c r="C704" s="56"/>
      <c r="J704" s="56"/>
    </row>
    <row r="705">
      <c r="A705" s="38"/>
      <c r="C705" s="56"/>
      <c r="J705" s="56"/>
    </row>
    <row r="706">
      <c r="A706" s="38"/>
      <c r="C706" s="56"/>
      <c r="J706" s="56"/>
    </row>
    <row r="707">
      <c r="A707" s="38"/>
      <c r="C707" s="56"/>
      <c r="J707" s="56"/>
    </row>
    <row r="708">
      <c r="A708" s="38"/>
      <c r="C708" s="56"/>
      <c r="J708" s="56"/>
    </row>
    <row r="709">
      <c r="A709" s="38"/>
      <c r="C709" s="56"/>
      <c r="J709" s="56"/>
    </row>
    <row r="710">
      <c r="A710" s="38"/>
      <c r="C710" s="56"/>
      <c r="J710" s="56"/>
    </row>
    <row r="711">
      <c r="A711" s="38"/>
      <c r="C711" s="56"/>
      <c r="J711" s="56"/>
    </row>
    <row r="712">
      <c r="A712" s="38"/>
      <c r="C712" s="56"/>
      <c r="J712" s="56"/>
    </row>
    <row r="713">
      <c r="A713" s="38"/>
      <c r="C713" s="56"/>
      <c r="J713" s="56"/>
    </row>
    <row r="714">
      <c r="A714" s="38"/>
      <c r="C714" s="56"/>
      <c r="J714" s="56"/>
    </row>
    <row r="715">
      <c r="A715" s="38"/>
      <c r="C715" s="56"/>
      <c r="J715" s="56"/>
    </row>
    <row r="716">
      <c r="A716" s="38"/>
      <c r="C716" s="56"/>
      <c r="J716" s="56"/>
    </row>
    <row r="717">
      <c r="A717" s="38"/>
      <c r="C717" s="56"/>
      <c r="J717" s="56"/>
    </row>
    <row r="718">
      <c r="A718" s="38"/>
      <c r="C718" s="56"/>
      <c r="J718" s="56"/>
    </row>
    <row r="719">
      <c r="A719" s="38"/>
      <c r="C719" s="56"/>
      <c r="J719" s="56"/>
    </row>
    <row r="720">
      <c r="A720" s="38"/>
      <c r="C720" s="56"/>
      <c r="J720" s="56"/>
    </row>
    <row r="721">
      <c r="A721" s="38"/>
      <c r="C721" s="56"/>
      <c r="J721" s="56"/>
    </row>
    <row r="722">
      <c r="A722" s="38"/>
      <c r="C722" s="56"/>
      <c r="J722" s="56"/>
    </row>
    <row r="723">
      <c r="A723" s="38"/>
      <c r="C723" s="56"/>
      <c r="J723" s="56"/>
    </row>
    <row r="724">
      <c r="A724" s="38"/>
      <c r="C724" s="56"/>
      <c r="J724" s="56"/>
    </row>
    <row r="725">
      <c r="A725" s="38"/>
      <c r="C725" s="56"/>
      <c r="J725" s="56"/>
    </row>
    <row r="726">
      <c r="A726" s="38"/>
      <c r="C726" s="56"/>
      <c r="J726" s="56"/>
    </row>
    <row r="727">
      <c r="A727" s="38"/>
      <c r="C727" s="56"/>
      <c r="J727" s="56"/>
    </row>
    <row r="728">
      <c r="A728" s="38"/>
      <c r="C728" s="56"/>
      <c r="J728" s="56"/>
    </row>
    <row r="729">
      <c r="A729" s="38"/>
      <c r="C729" s="56"/>
      <c r="J729" s="56"/>
    </row>
    <row r="730">
      <c r="A730" s="38"/>
      <c r="C730" s="56"/>
      <c r="J730" s="56"/>
    </row>
    <row r="731">
      <c r="A731" s="38"/>
      <c r="C731" s="56"/>
      <c r="J731" s="56"/>
    </row>
    <row r="732">
      <c r="A732" s="38"/>
      <c r="C732" s="56"/>
      <c r="J732" s="56"/>
    </row>
    <row r="733">
      <c r="A733" s="38"/>
      <c r="C733" s="56"/>
      <c r="J733" s="56"/>
    </row>
    <row r="734">
      <c r="A734" s="38"/>
      <c r="C734" s="56"/>
      <c r="J734" s="56"/>
    </row>
    <row r="735">
      <c r="A735" s="38"/>
      <c r="C735" s="56"/>
      <c r="J735" s="56"/>
    </row>
    <row r="736">
      <c r="A736" s="38"/>
      <c r="C736" s="56"/>
      <c r="J736" s="56"/>
    </row>
    <row r="737">
      <c r="A737" s="38"/>
      <c r="C737" s="56"/>
      <c r="J737" s="56"/>
    </row>
    <row r="738">
      <c r="A738" s="38"/>
      <c r="C738" s="56"/>
      <c r="J738" s="56"/>
    </row>
    <row r="739">
      <c r="A739" s="38"/>
      <c r="C739" s="56"/>
      <c r="J739" s="56"/>
    </row>
    <row r="740">
      <c r="A740" s="38"/>
      <c r="C740" s="56"/>
      <c r="J740" s="56"/>
    </row>
    <row r="741">
      <c r="A741" s="38"/>
      <c r="C741" s="56"/>
      <c r="J741" s="56"/>
    </row>
    <row r="742">
      <c r="A742" s="38"/>
      <c r="C742" s="56"/>
      <c r="J742" s="56"/>
    </row>
    <row r="743">
      <c r="A743" s="38"/>
      <c r="C743" s="56"/>
      <c r="J743" s="56"/>
    </row>
    <row r="744">
      <c r="A744" s="38"/>
      <c r="C744" s="56"/>
      <c r="J744" s="56"/>
    </row>
    <row r="745">
      <c r="A745" s="38"/>
      <c r="C745" s="56"/>
      <c r="J745" s="56"/>
    </row>
    <row r="746">
      <c r="A746" s="38"/>
      <c r="C746" s="56"/>
      <c r="J746" s="56"/>
    </row>
    <row r="747">
      <c r="A747" s="38"/>
      <c r="C747" s="56"/>
      <c r="J747" s="56"/>
    </row>
    <row r="748">
      <c r="A748" s="38"/>
      <c r="C748" s="56"/>
      <c r="J748" s="56"/>
    </row>
    <row r="749">
      <c r="A749" s="38"/>
      <c r="C749" s="56"/>
      <c r="J749" s="56"/>
    </row>
    <row r="750">
      <c r="A750" s="38"/>
      <c r="C750" s="56"/>
      <c r="J750" s="56"/>
    </row>
    <row r="751">
      <c r="A751" s="38"/>
      <c r="C751" s="56"/>
      <c r="J751" s="56"/>
    </row>
    <row r="752">
      <c r="A752" s="38"/>
      <c r="C752" s="56"/>
      <c r="J752" s="56"/>
    </row>
    <row r="753">
      <c r="A753" s="38"/>
      <c r="C753" s="56"/>
      <c r="J753" s="56"/>
    </row>
    <row r="754">
      <c r="A754" s="38"/>
      <c r="C754" s="56"/>
      <c r="J754" s="56"/>
    </row>
    <row r="755">
      <c r="A755" s="38"/>
      <c r="C755" s="56"/>
      <c r="J755" s="56"/>
    </row>
    <row r="756">
      <c r="A756" s="38"/>
      <c r="C756" s="56"/>
      <c r="J756" s="56"/>
    </row>
    <row r="757">
      <c r="A757" s="38"/>
      <c r="C757" s="56"/>
      <c r="J757" s="56"/>
    </row>
    <row r="758">
      <c r="A758" s="38"/>
      <c r="C758" s="56"/>
      <c r="J758" s="56"/>
    </row>
    <row r="759">
      <c r="A759" s="38"/>
      <c r="C759" s="56"/>
      <c r="J759" s="56"/>
    </row>
    <row r="760">
      <c r="A760" s="38"/>
      <c r="C760" s="56"/>
      <c r="J760" s="56"/>
    </row>
    <row r="761">
      <c r="A761" s="38"/>
      <c r="C761" s="56"/>
      <c r="J761" s="56"/>
    </row>
    <row r="762">
      <c r="A762" s="38"/>
      <c r="C762" s="56"/>
      <c r="J762" s="56"/>
    </row>
    <row r="763">
      <c r="A763" s="38"/>
      <c r="C763" s="56"/>
      <c r="J763" s="56"/>
    </row>
    <row r="764">
      <c r="A764" s="38"/>
      <c r="C764" s="56"/>
      <c r="J764" s="56"/>
    </row>
    <row r="765">
      <c r="A765" s="38"/>
      <c r="C765" s="56"/>
      <c r="J765" s="56"/>
    </row>
    <row r="766">
      <c r="A766" s="38"/>
      <c r="C766" s="56"/>
      <c r="J766" s="56"/>
    </row>
    <row r="767">
      <c r="A767" s="38"/>
      <c r="C767" s="56"/>
      <c r="J767" s="56"/>
    </row>
    <row r="768">
      <c r="A768" s="38"/>
      <c r="C768" s="56"/>
      <c r="J768" s="56"/>
    </row>
    <row r="769">
      <c r="A769" s="38"/>
      <c r="C769" s="56"/>
      <c r="J769" s="56"/>
    </row>
    <row r="770">
      <c r="A770" s="38"/>
      <c r="C770" s="56"/>
      <c r="J770" s="56"/>
    </row>
    <row r="771">
      <c r="A771" s="38"/>
      <c r="C771" s="56"/>
      <c r="J771" s="56"/>
    </row>
    <row r="772">
      <c r="A772" s="38"/>
      <c r="C772" s="56"/>
      <c r="J772" s="56"/>
    </row>
    <row r="773">
      <c r="A773" s="38"/>
      <c r="C773" s="56"/>
      <c r="J773" s="56"/>
    </row>
    <row r="774">
      <c r="A774" s="38"/>
      <c r="C774" s="56"/>
      <c r="J774" s="56"/>
    </row>
    <row r="775">
      <c r="A775" s="38"/>
      <c r="C775" s="56"/>
      <c r="J775" s="56"/>
    </row>
    <row r="776">
      <c r="A776" s="38"/>
      <c r="C776" s="56"/>
      <c r="J776" s="56"/>
    </row>
    <row r="777">
      <c r="A777" s="38"/>
      <c r="C777" s="56"/>
      <c r="J777" s="56"/>
    </row>
    <row r="778">
      <c r="A778" s="38"/>
      <c r="C778" s="56"/>
      <c r="J778" s="56"/>
    </row>
    <row r="779">
      <c r="A779" s="38"/>
      <c r="C779" s="56"/>
      <c r="J779" s="56"/>
    </row>
    <row r="780">
      <c r="A780" s="38"/>
      <c r="C780" s="56"/>
      <c r="J780" s="56"/>
    </row>
    <row r="781">
      <c r="A781" s="38"/>
      <c r="C781" s="56"/>
      <c r="J781" s="56"/>
    </row>
    <row r="782">
      <c r="A782" s="38"/>
      <c r="C782" s="56"/>
      <c r="J782" s="56"/>
    </row>
    <row r="783">
      <c r="A783" s="38"/>
      <c r="C783" s="56"/>
      <c r="J783" s="56"/>
    </row>
    <row r="784">
      <c r="A784" s="38"/>
      <c r="C784" s="56"/>
      <c r="J784" s="56"/>
    </row>
    <row r="785">
      <c r="A785" s="38"/>
      <c r="C785" s="56"/>
      <c r="J785" s="56"/>
    </row>
    <row r="786">
      <c r="A786" s="38"/>
      <c r="C786" s="56"/>
      <c r="J786" s="56"/>
    </row>
    <row r="787">
      <c r="A787" s="38"/>
      <c r="C787" s="56"/>
      <c r="J787" s="56"/>
    </row>
    <row r="788">
      <c r="A788" s="38"/>
      <c r="C788" s="56"/>
      <c r="J788" s="56"/>
    </row>
    <row r="789">
      <c r="A789" s="38"/>
      <c r="C789" s="56"/>
      <c r="J789" s="56"/>
    </row>
    <row r="790">
      <c r="A790" s="38"/>
      <c r="C790" s="56"/>
      <c r="J790" s="56"/>
    </row>
    <row r="791">
      <c r="A791" s="38"/>
      <c r="C791" s="56"/>
      <c r="J791" s="56"/>
    </row>
    <row r="792">
      <c r="A792" s="38"/>
      <c r="C792" s="56"/>
      <c r="J792" s="56"/>
    </row>
    <row r="793">
      <c r="A793" s="38"/>
      <c r="C793" s="56"/>
      <c r="J793" s="56"/>
    </row>
    <row r="794">
      <c r="A794" s="38"/>
      <c r="C794" s="56"/>
      <c r="J794" s="56"/>
    </row>
    <row r="795">
      <c r="A795" s="38"/>
      <c r="C795" s="56"/>
      <c r="J795" s="56"/>
    </row>
    <row r="796">
      <c r="A796" s="38"/>
      <c r="C796" s="56"/>
      <c r="J796" s="56"/>
    </row>
    <row r="797">
      <c r="A797" s="38"/>
      <c r="C797" s="56"/>
      <c r="J797" s="56"/>
    </row>
    <row r="798">
      <c r="A798" s="38"/>
      <c r="C798" s="56"/>
      <c r="J798" s="56"/>
    </row>
    <row r="799">
      <c r="A799" s="38"/>
      <c r="C799" s="56"/>
      <c r="J799" s="56"/>
    </row>
    <row r="800">
      <c r="A800" s="38"/>
      <c r="C800" s="56"/>
      <c r="J800" s="56"/>
    </row>
    <row r="801">
      <c r="A801" s="38"/>
      <c r="C801" s="56"/>
      <c r="J801" s="56"/>
    </row>
    <row r="802">
      <c r="A802" s="38"/>
      <c r="C802" s="56"/>
      <c r="J802" s="56"/>
    </row>
    <row r="803">
      <c r="A803" s="38"/>
      <c r="C803" s="56"/>
      <c r="J803" s="56"/>
    </row>
    <row r="804">
      <c r="A804" s="38"/>
      <c r="C804" s="56"/>
      <c r="J804" s="56"/>
    </row>
    <row r="805">
      <c r="A805" s="38"/>
      <c r="C805" s="56"/>
      <c r="J805" s="56"/>
    </row>
    <row r="806">
      <c r="A806" s="38"/>
      <c r="C806" s="56"/>
      <c r="J806" s="56"/>
    </row>
    <row r="807">
      <c r="A807" s="38"/>
      <c r="C807" s="56"/>
      <c r="J807" s="56"/>
    </row>
    <row r="808">
      <c r="A808" s="38"/>
      <c r="C808" s="56"/>
      <c r="J808" s="56"/>
    </row>
    <row r="809">
      <c r="A809" s="38"/>
      <c r="C809" s="56"/>
      <c r="J809" s="56"/>
    </row>
    <row r="810">
      <c r="A810" s="38"/>
      <c r="C810" s="56"/>
      <c r="J810" s="56"/>
    </row>
    <row r="811">
      <c r="A811" s="38"/>
      <c r="C811" s="56"/>
      <c r="J811" s="56"/>
    </row>
    <row r="812">
      <c r="A812" s="38"/>
      <c r="C812" s="56"/>
      <c r="J812" s="56"/>
    </row>
    <row r="813">
      <c r="A813" s="38"/>
      <c r="C813" s="56"/>
      <c r="J813" s="56"/>
    </row>
    <row r="814">
      <c r="A814" s="38"/>
      <c r="C814" s="56"/>
      <c r="J814" s="56"/>
    </row>
    <row r="815">
      <c r="A815" s="38"/>
      <c r="C815" s="56"/>
      <c r="J815" s="56"/>
    </row>
    <row r="816">
      <c r="A816" s="38"/>
      <c r="C816" s="56"/>
      <c r="J816" s="56"/>
    </row>
    <row r="817">
      <c r="A817" s="38"/>
      <c r="C817" s="56"/>
      <c r="J817" s="56"/>
    </row>
    <row r="818">
      <c r="A818" s="38"/>
      <c r="C818" s="56"/>
      <c r="J818" s="56"/>
    </row>
    <row r="819">
      <c r="A819" s="38"/>
      <c r="C819" s="56"/>
      <c r="J819" s="56"/>
    </row>
    <row r="820">
      <c r="A820" s="38"/>
      <c r="C820" s="56"/>
      <c r="J820" s="56"/>
    </row>
    <row r="821">
      <c r="A821" s="38"/>
      <c r="C821" s="56"/>
      <c r="J821" s="56"/>
    </row>
    <row r="822">
      <c r="A822" s="38"/>
      <c r="C822" s="56"/>
      <c r="J822" s="56"/>
    </row>
    <row r="823">
      <c r="A823" s="38"/>
      <c r="C823" s="56"/>
      <c r="J823" s="56"/>
    </row>
    <row r="824">
      <c r="A824" s="38"/>
      <c r="C824" s="56"/>
      <c r="J824" s="56"/>
    </row>
    <row r="825">
      <c r="A825" s="38"/>
      <c r="C825" s="56"/>
      <c r="J825" s="56"/>
    </row>
    <row r="826">
      <c r="A826" s="38"/>
      <c r="C826" s="56"/>
      <c r="J826" s="56"/>
    </row>
    <row r="827">
      <c r="A827" s="38"/>
      <c r="C827" s="56"/>
      <c r="J827" s="56"/>
    </row>
    <row r="828">
      <c r="A828" s="38"/>
      <c r="C828" s="56"/>
      <c r="J828" s="56"/>
    </row>
    <row r="829">
      <c r="A829" s="38"/>
      <c r="C829" s="56"/>
      <c r="J829" s="56"/>
    </row>
    <row r="830">
      <c r="A830" s="38"/>
      <c r="C830" s="56"/>
      <c r="J830" s="56"/>
    </row>
    <row r="831">
      <c r="A831" s="38"/>
      <c r="C831" s="56"/>
      <c r="J831" s="56"/>
    </row>
    <row r="832">
      <c r="A832" s="38"/>
      <c r="C832" s="56"/>
      <c r="J832" s="56"/>
    </row>
    <row r="833">
      <c r="A833" s="38"/>
      <c r="C833" s="56"/>
      <c r="J833" s="56"/>
    </row>
    <row r="834">
      <c r="A834" s="38"/>
      <c r="C834" s="56"/>
      <c r="J834" s="56"/>
    </row>
    <row r="835">
      <c r="A835" s="38"/>
      <c r="C835" s="56"/>
      <c r="J835" s="56"/>
    </row>
    <row r="836">
      <c r="A836" s="38"/>
      <c r="C836" s="56"/>
      <c r="J836" s="56"/>
    </row>
    <row r="837">
      <c r="A837" s="38"/>
      <c r="C837" s="56"/>
      <c r="J837" s="56"/>
    </row>
    <row r="838">
      <c r="A838" s="38"/>
      <c r="C838" s="56"/>
      <c r="J838" s="56"/>
    </row>
    <row r="839">
      <c r="A839" s="38"/>
      <c r="C839" s="56"/>
      <c r="J839" s="56"/>
    </row>
    <row r="840">
      <c r="A840" s="38"/>
      <c r="C840" s="56"/>
      <c r="J840" s="56"/>
    </row>
    <row r="841">
      <c r="A841" s="38"/>
      <c r="C841" s="56"/>
      <c r="J841" s="56"/>
    </row>
    <row r="842">
      <c r="A842" s="38"/>
      <c r="C842" s="56"/>
      <c r="J842" s="56"/>
    </row>
    <row r="843">
      <c r="A843" s="38"/>
      <c r="C843" s="56"/>
      <c r="J843" s="56"/>
    </row>
    <row r="844">
      <c r="A844" s="38"/>
      <c r="C844" s="56"/>
      <c r="J844" s="56"/>
    </row>
    <row r="845">
      <c r="A845" s="38"/>
      <c r="C845" s="56"/>
      <c r="J845" s="56"/>
    </row>
    <row r="846">
      <c r="A846" s="38"/>
      <c r="C846" s="56"/>
      <c r="J846" s="56"/>
    </row>
    <row r="847">
      <c r="A847" s="38"/>
      <c r="C847" s="56"/>
      <c r="J847" s="56"/>
    </row>
    <row r="848">
      <c r="A848" s="38"/>
      <c r="C848" s="56"/>
      <c r="J848" s="56"/>
    </row>
    <row r="849">
      <c r="A849" s="38"/>
      <c r="C849" s="56"/>
      <c r="J849" s="56"/>
    </row>
    <row r="850">
      <c r="A850" s="38"/>
      <c r="C850" s="56"/>
      <c r="J850" s="56"/>
    </row>
    <row r="851">
      <c r="A851" s="38"/>
      <c r="C851" s="56"/>
      <c r="J851" s="56"/>
    </row>
    <row r="852">
      <c r="A852" s="38"/>
      <c r="C852" s="56"/>
      <c r="J852" s="56"/>
    </row>
    <row r="853">
      <c r="A853" s="38"/>
      <c r="C853" s="56"/>
      <c r="J853" s="56"/>
    </row>
    <row r="854">
      <c r="A854" s="38"/>
      <c r="C854" s="56"/>
      <c r="J854" s="56"/>
    </row>
    <row r="855">
      <c r="A855" s="38"/>
      <c r="C855" s="56"/>
      <c r="J855" s="56"/>
    </row>
    <row r="856">
      <c r="A856" s="38"/>
      <c r="C856" s="56"/>
      <c r="J856" s="56"/>
    </row>
    <row r="857">
      <c r="A857" s="38"/>
      <c r="C857" s="56"/>
      <c r="J857" s="56"/>
    </row>
    <row r="858">
      <c r="A858" s="38"/>
      <c r="C858" s="56"/>
      <c r="J858" s="56"/>
    </row>
    <row r="859">
      <c r="A859" s="38"/>
      <c r="C859" s="56"/>
      <c r="J859" s="56"/>
    </row>
    <row r="860">
      <c r="A860" s="38"/>
      <c r="C860" s="56"/>
      <c r="J860" s="56"/>
    </row>
    <row r="861">
      <c r="A861" s="38"/>
      <c r="C861" s="56"/>
      <c r="J861" s="56"/>
    </row>
    <row r="862">
      <c r="A862" s="38"/>
      <c r="C862" s="56"/>
      <c r="J862" s="56"/>
    </row>
    <row r="863">
      <c r="A863" s="38"/>
      <c r="C863" s="56"/>
      <c r="J863" s="56"/>
    </row>
    <row r="864">
      <c r="A864" s="38"/>
      <c r="C864" s="56"/>
      <c r="J864" s="56"/>
    </row>
    <row r="865">
      <c r="A865" s="38"/>
      <c r="C865" s="56"/>
      <c r="J865" s="56"/>
    </row>
    <row r="866">
      <c r="A866" s="38"/>
      <c r="C866" s="56"/>
      <c r="J866" s="56"/>
    </row>
    <row r="867">
      <c r="A867" s="38"/>
      <c r="C867" s="56"/>
      <c r="J867" s="56"/>
    </row>
    <row r="868">
      <c r="A868" s="38"/>
      <c r="C868" s="56"/>
      <c r="J868" s="56"/>
    </row>
    <row r="869">
      <c r="A869" s="38"/>
      <c r="C869" s="56"/>
      <c r="J869" s="56"/>
    </row>
    <row r="870">
      <c r="A870" s="38"/>
      <c r="C870" s="56"/>
      <c r="J870" s="56"/>
    </row>
    <row r="871">
      <c r="A871" s="38"/>
      <c r="C871" s="56"/>
      <c r="J871" s="56"/>
    </row>
    <row r="872">
      <c r="A872" s="38"/>
      <c r="C872" s="56"/>
      <c r="J872" s="56"/>
    </row>
    <row r="873">
      <c r="A873" s="38"/>
      <c r="C873" s="56"/>
      <c r="J873" s="56"/>
    </row>
    <row r="874">
      <c r="A874" s="38"/>
      <c r="C874" s="56"/>
      <c r="J874" s="56"/>
    </row>
    <row r="875">
      <c r="A875" s="38"/>
      <c r="C875" s="56"/>
      <c r="J875" s="56"/>
    </row>
    <row r="876">
      <c r="A876" s="38"/>
      <c r="C876" s="56"/>
      <c r="J876" s="56"/>
    </row>
    <row r="877">
      <c r="A877" s="38"/>
      <c r="C877" s="56"/>
      <c r="J877" s="56"/>
    </row>
    <row r="878">
      <c r="A878" s="38"/>
      <c r="C878" s="56"/>
      <c r="J878" s="56"/>
    </row>
    <row r="879">
      <c r="A879" s="38"/>
      <c r="C879" s="56"/>
      <c r="J879" s="56"/>
    </row>
    <row r="880">
      <c r="A880" s="38"/>
      <c r="C880" s="56"/>
      <c r="J880" s="56"/>
    </row>
    <row r="881">
      <c r="A881" s="38"/>
      <c r="C881" s="56"/>
      <c r="J881" s="56"/>
    </row>
    <row r="882">
      <c r="A882" s="38"/>
      <c r="C882" s="56"/>
      <c r="J882" s="56"/>
    </row>
    <row r="883">
      <c r="A883" s="38"/>
      <c r="C883" s="56"/>
      <c r="J883" s="56"/>
    </row>
    <row r="884">
      <c r="A884" s="38"/>
      <c r="C884" s="56"/>
      <c r="J884" s="56"/>
    </row>
    <row r="885">
      <c r="A885" s="38"/>
      <c r="C885" s="56"/>
      <c r="J885" s="56"/>
    </row>
    <row r="886">
      <c r="A886" s="38"/>
      <c r="C886" s="56"/>
      <c r="J886" s="56"/>
    </row>
    <row r="887">
      <c r="A887" s="38"/>
      <c r="C887" s="56"/>
      <c r="J887" s="56"/>
    </row>
    <row r="888">
      <c r="A888" s="38"/>
      <c r="C888" s="56"/>
      <c r="J888" s="56"/>
    </row>
    <row r="889">
      <c r="A889" s="38"/>
      <c r="C889" s="56"/>
      <c r="J889" s="56"/>
    </row>
    <row r="890">
      <c r="A890" s="38"/>
      <c r="C890" s="56"/>
      <c r="J890" s="56"/>
    </row>
    <row r="891">
      <c r="A891" s="38"/>
      <c r="C891" s="56"/>
      <c r="J891" s="56"/>
    </row>
    <row r="892">
      <c r="A892" s="38"/>
      <c r="C892" s="56"/>
      <c r="J892" s="56"/>
    </row>
    <row r="893">
      <c r="A893" s="38"/>
      <c r="C893" s="56"/>
      <c r="J893" s="56"/>
    </row>
    <row r="894">
      <c r="A894" s="38"/>
      <c r="C894" s="56"/>
      <c r="J894" s="56"/>
    </row>
    <row r="895">
      <c r="A895" s="38"/>
      <c r="C895" s="56"/>
      <c r="J895" s="56"/>
    </row>
    <row r="896">
      <c r="A896" s="38"/>
      <c r="C896" s="56"/>
      <c r="J896" s="56"/>
    </row>
    <row r="897">
      <c r="A897" s="38"/>
      <c r="C897" s="56"/>
      <c r="J897" s="56"/>
    </row>
    <row r="898">
      <c r="A898" s="38"/>
      <c r="C898" s="56"/>
      <c r="J898" s="56"/>
    </row>
    <row r="899">
      <c r="A899" s="38"/>
      <c r="C899" s="56"/>
      <c r="J899" s="56"/>
    </row>
    <row r="900">
      <c r="A900" s="38"/>
      <c r="C900" s="56"/>
      <c r="J900" s="56"/>
    </row>
    <row r="901">
      <c r="A901" s="38"/>
      <c r="C901" s="56"/>
      <c r="J901" s="56"/>
    </row>
    <row r="902">
      <c r="A902" s="38"/>
      <c r="C902" s="56"/>
      <c r="J902" s="56"/>
    </row>
    <row r="903">
      <c r="A903" s="38"/>
      <c r="C903" s="56"/>
      <c r="J903" s="56"/>
    </row>
    <row r="904">
      <c r="A904" s="38"/>
      <c r="C904" s="56"/>
      <c r="J904" s="56"/>
    </row>
    <row r="905">
      <c r="A905" s="38"/>
      <c r="C905" s="56"/>
      <c r="J905" s="56"/>
    </row>
    <row r="906">
      <c r="A906" s="38"/>
      <c r="C906" s="56"/>
      <c r="J906" s="56"/>
    </row>
    <row r="907">
      <c r="A907" s="38"/>
      <c r="C907" s="56"/>
      <c r="J907" s="56"/>
    </row>
    <row r="908">
      <c r="A908" s="38"/>
      <c r="C908" s="56"/>
      <c r="J908" s="56"/>
    </row>
    <row r="909">
      <c r="A909" s="38"/>
      <c r="C909" s="56"/>
      <c r="J909" s="56"/>
    </row>
    <row r="910">
      <c r="A910" s="38"/>
      <c r="C910" s="56"/>
      <c r="J910" s="56"/>
    </row>
    <row r="911">
      <c r="A911" s="38"/>
      <c r="C911" s="56"/>
      <c r="J911" s="56"/>
    </row>
    <row r="912">
      <c r="A912" s="38"/>
      <c r="C912" s="56"/>
      <c r="J912" s="56"/>
    </row>
    <row r="913">
      <c r="A913" s="38"/>
      <c r="C913" s="56"/>
      <c r="J913" s="56"/>
    </row>
    <row r="914">
      <c r="A914" s="38"/>
      <c r="C914" s="56"/>
      <c r="J914" s="56"/>
    </row>
    <row r="915">
      <c r="A915" s="38"/>
      <c r="C915" s="56"/>
      <c r="J915" s="56"/>
    </row>
    <row r="916">
      <c r="A916" s="38"/>
      <c r="C916" s="56"/>
      <c r="J916" s="56"/>
    </row>
    <row r="917">
      <c r="A917" s="38"/>
      <c r="C917" s="56"/>
      <c r="J917" s="56"/>
    </row>
    <row r="918">
      <c r="A918" s="38"/>
      <c r="C918" s="56"/>
      <c r="J918" s="56"/>
    </row>
    <row r="919">
      <c r="A919" s="38"/>
      <c r="C919" s="56"/>
      <c r="J919" s="56"/>
    </row>
    <row r="920">
      <c r="A920" s="38"/>
      <c r="C920" s="56"/>
      <c r="J920" s="56"/>
    </row>
    <row r="921">
      <c r="A921" s="38"/>
      <c r="C921" s="56"/>
      <c r="J921" s="56"/>
    </row>
    <row r="922">
      <c r="A922" s="38"/>
      <c r="C922" s="56"/>
      <c r="J922" s="56"/>
    </row>
    <row r="923">
      <c r="A923" s="38"/>
      <c r="C923" s="56"/>
      <c r="J923" s="56"/>
    </row>
    <row r="924">
      <c r="A924" s="38"/>
      <c r="C924" s="56"/>
      <c r="J924" s="56"/>
    </row>
    <row r="925">
      <c r="A925" s="38"/>
      <c r="C925" s="56"/>
      <c r="J925" s="56"/>
    </row>
    <row r="926">
      <c r="A926" s="38"/>
      <c r="C926" s="56"/>
      <c r="J926" s="56"/>
    </row>
    <row r="927">
      <c r="A927" s="38"/>
      <c r="C927" s="56"/>
      <c r="J927" s="56"/>
    </row>
    <row r="928">
      <c r="A928" s="38"/>
      <c r="C928" s="56"/>
      <c r="J928" s="56"/>
    </row>
    <row r="929">
      <c r="A929" s="38"/>
      <c r="C929" s="56"/>
      <c r="J929" s="56"/>
    </row>
    <row r="930">
      <c r="A930" s="38"/>
      <c r="C930" s="56"/>
      <c r="J930" s="56"/>
    </row>
    <row r="931">
      <c r="A931" s="38"/>
      <c r="C931" s="56"/>
      <c r="J931" s="56"/>
    </row>
    <row r="932">
      <c r="A932" s="38"/>
      <c r="C932" s="56"/>
      <c r="J932" s="56"/>
    </row>
    <row r="933">
      <c r="A933" s="38"/>
      <c r="C933" s="56"/>
      <c r="J933" s="56"/>
    </row>
    <row r="934">
      <c r="A934" s="38"/>
      <c r="C934" s="56"/>
      <c r="J934" s="56"/>
    </row>
    <row r="935">
      <c r="A935" s="38"/>
      <c r="C935" s="56"/>
      <c r="J935" s="56"/>
    </row>
    <row r="936">
      <c r="A936" s="38"/>
      <c r="C936" s="56"/>
      <c r="J936" s="56"/>
    </row>
    <row r="937">
      <c r="A937" s="38"/>
      <c r="C937" s="56"/>
      <c r="J937" s="56"/>
    </row>
    <row r="938">
      <c r="A938" s="38"/>
      <c r="C938" s="56"/>
      <c r="J938" s="56"/>
    </row>
    <row r="939">
      <c r="A939" s="38"/>
      <c r="C939" s="56"/>
      <c r="J939" s="56"/>
    </row>
    <row r="940">
      <c r="A940" s="38"/>
      <c r="C940" s="56"/>
      <c r="J940" s="56"/>
    </row>
    <row r="941">
      <c r="A941" s="38"/>
      <c r="C941" s="56"/>
      <c r="J941" s="56"/>
    </row>
    <row r="942">
      <c r="A942" s="38"/>
      <c r="C942" s="56"/>
      <c r="J942" s="56"/>
    </row>
    <row r="943">
      <c r="A943" s="38"/>
      <c r="C943" s="56"/>
      <c r="J943" s="56"/>
    </row>
    <row r="944">
      <c r="A944" s="38"/>
      <c r="C944" s="56"/>
      <c r="J944" s="56"/>
    </row>
    <row r="945">
      <c r="A945" s="38"/>
      <c r="C945" s="56"/>
      <c r="J945" s="56"/>
    </row>
    <row r="946">
      <c r="A946" s="38"/>
      <c r="C946" s="56"/>
      <c r="J946" s="56"/>
    </row>
    <row r="947">
      <c r="A947" s="38"/>
      <c r="C947" s="56"/>
      <c r="J947" s="56"/>
    </row>
    <row r="948">
      <c r="A948" s="38"/>
      <c r="C948" s="56"/>
      <c r="J948" s="56"/>
    </row>
    <row r="949">
      <c r="A949" s="38"/>
      <c r="C949" s="56"/>
      <c r="J949" s="56"/>
    </row>
    <row r="950">
      <c r="A950" s="38"/>
      <c r="C950" s="56"/>
      <c r="J950" s="56"/>
    </row>
    <row r="951">
      <c r="A951" s="38"/>
      <c r="C951" s="56"/>
      <c r="J951" s="56"/>
    </row>
    <row r="952">
      <c r="A952" s="38"/>
      <c r="C952" s="56"/>
      <c r="J952" s="56"/>
    </row>
    <row r="953">
      <c r="A953" s="38"/>
      <c r="C953" s="56"/>
      <c r="J953" s="56"/>
    </row>
    <row r="954">
      <c r="A954" s="38"/>
      <c r="C954" s="56"/>
      <c r="J954" s="56"/>
    </row>
    <row r="955">
      <c r="A955" s="38"/>
      <c r="C955" s="56"/>
      <c r="J955" s="56"/>
    </row>
    <row r="956">
      <c r="A956" s="38"/>
      <c r="C956" s="56"/>
      <c r="J956" s="56"/>
    </row>
    <row r="957">
      <c r="A957" s="38"/>
      <c r="C957" s="56"/>
      <c r="J957" s="56"/>
    </row>
    <row r="958">
      <c r="A958" s="38"/>
      <c r="C958" s="56"/>
      <c r="J958" s="56"/>
    </row>
    <row r="959">
      <c r="A959" s="38"/>
      <c r="C959" s="56"/>
      <c r="J959" s="56"/>
    </row>
    <row r="960">
      <c r="A960" s="38"/>
      <c r="C960" s="56"/>
      <c r="J960" s="56"/>
    </row>
    <row r="961">
      <c r="A961" s="38"/>
      <c r="C961" s="56"/>
      <c r="J961" s="56"/>
    </row>
    <row r="962">
      <c r="A962" s="38"/>
      <c r="C962" s="56"/>
      <c r="J962" s="56"/>
    </row>
    <row r="963">
      <c r="A963" s="38"/>
      <c r="C963" s="56"/>
      <c r="J963" s="56"/>
    </row>
    <row r="964">
      <c r="A964" s="38"/>
      <c r="C964" s="56"/>
      <c r="J964" s="56"/>
    </row>
    <row r="965">
      <c r="A965" s="38"/>
      <c r="C965" s="56"/>
      <c r="J965" s="56"/>
    </row>
    <row r="966">
      <c r="A966" s="38"/>
      <c r="C966" s="56"/>
      <c r="J966" s="56"/>
    </row>
    <row r="967">
      <c r="A967" s="38"/>
      <c r="C967" s="56"/>
      <c r="J967" s="56"/>
    </row>
    <row r="968">
      <c r="A968" s="38"/>
      <c r="C968" s="56"/>
      <c r="J968" s="56"/>
    </row>
    <row r="969">
      <c r="A969" s="38"/>
      <c r="C969" s="56"/>
      <c r="J969" s="56"/>
    </row>
    <row r="970">
      <c r="A970" s="38"/>
      <c r="C970" s="56"/>
      <c r="J970" s="56"/>
    </row>
    <row r="971">
      <c r="A971" s="38"/>
      <c r="C971" s="56"/>
      <c r="J971" s="56"/>
    </row>
    <row r="972">
      <c r="A972" s="38"/>
      <c r="C972" s="56"/>
      <c r="J972" s="56"/>
    </row>
    <row r="973">
      <c r="A973" s="38"/>
      <c r="C973" s="56"/>
      <c r="J973" s="56"/>
    </row>
    <row r="974">
      <c r="A974" s="38"/>
      <c r="C974" s="56"/>
      <c r="J974" s="56"/>
    </row>
    <row r="975">
      <c r="A975" s="38"/>
      <c r="C975" s="56"/>
      <c r="J975" s="56"/>
    </row>
    <row r="976">
      <c r="A976" s="38"/>
      <c r="C976" s="56"/>
      <c r="J976" s="56"/>
    </row>
    <row r="977">
      <c r="A977" s="38"/>
      <c r="C977" s="56"/>
      <c r="J977" s="56"/>
    </row>
    <row r="978">
      <c r="A978" s="38"/>
      <c r="C978" s="56"/>
      <c r="J978" s="56"/>
    </row>
    <row r="979">
      <c r="A979" s="38"/>
      <c r="C979" s="56"/>
      <c r="J979" s="56"/>
    </row>
    <row r="980">
      <c r="A980" s="38"/>
      <c r="C980" s="56"/>
      <c r="J980" s="56"/>
    </row>
    <row r="981">
      <c r="A981" s="38"/>
      <c r="C981" s="56"/>
      <c r="J981" s="56"/>
    </row>
    <row r="982">
      <c r="A982" s="38"/>
      <c r="C982" s="56"/>
      <c r="J982" s="56"/>
    </row>
    <row r="983">
      <c r="A983" s="38"/>
      <c r="C983" s="56"/>
      <c r="J983" s="56"/>
    </row>
    <row r="984">
      <c r="A984" s="38"/>
      <c r="C984" s="56"/>
      <c r="J984" s="56"/>
    </row>
    <row r="985">
      <c r="A985" s="38"/>
      <c r="C985" s="56"/>
      <c r="J985" s="56"/>
    </row>
    <row r="986">
      <c r="A986" s="38"/>
      <c r="C986" s="56"/>
      <c r="J986" s="56"/>
    </row>
    <row r="987">
      <c r="A987" s="38"/>
      <c r="C987" s="56"/>
      <c r="J987" s="56"/>
    </row>
    <row r="988">
      <c r="A988" s="38"/>
      <c r="C988" s="56"/>
      <c r="J988" s="56"/>
    </row>
    <row r="989">
      <c r="A989" s="38"/>
      <c r="C989" s="56"/>
      <c r="J989" s="56"/>
    </row>
    <row r="990">
      <c r="A990" s="38"/>
      <c r="C990" s="56"/>
      <c r="J990" s="56"/>
    </row>
    <row r="991">
      <c r="A991" s="38"/>
      <c r="C991" s="56"/>
      <c r="J991" s="56"/>
    </row>
    <row r="992">
      <c r="A992" s="38"/>
      <c r="C992" s="56"/>
      <c r="J992" s="56"/>
    </row>
    <row r="993">
      <c r="A993" s="38"/>
      <c r="C993" s="56"/>
      <c r="J993" s="56"/>
    </row>
    <row r="994">
      <c r="A994" s="38"/>
      <c r="C994" s="56"/>
      <c r="J994" s="56"/>
    </row>
    <row r="995">
      <c r="A995" s="38"/>
      <c r="C995" s="56"/>
      <c r="J995" s="56"/>
    </row>
    <row r="996">
      <c r="A996" s="38"/>
      <c r="C996" s="56"/>
      <c r="J996" s="56"/>
    </row>
    <row r="997">
      <c r="A997" s="38"/>
      <c r="C997" s="56"/>
      <c r="J997" s="56"/>
    </row>
    <row r="998">
      <c r="A998" s="38"/>
      <c r="C998" s="56"/>
      <c r="J998" s="56"/>
    </row>
    <row r="999">
      <c r="A999" s="38"/>
      <c r="C999" s="56"/>
      <c r="J999" s="56"/>
    </row>
    <row r="1000">
      <c r="A1000" s="38"/>
      <c r="C1000" s="56"/>
      <c r="J1000" s="56"/>
    </row>
  </sheetData>
  <mergeCells count="3">
    <mergeCell ref="B2:E2"/>
    <mergeCell ref="F2:H2"/>
    <mergeCell ref="I2:R2"/>
  </mergeCells>
  <drawing r:id="rId1"/>
</worksheet>
</file>