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rp.sonceboz.com\RacineSbz\Users\caud\Mes documents\EV\"/>
    </mc:Choice>
  </mc:AlternateContent>
  <bookViews>
    <workbookView xWindow="0" yWindow="0" windowWidth="14370" windowHeight="11325"/>
  </bookViews>
  <sheets>
    <sheet name="EV specs" sheetId="1" r:id="rId1"/>
    <sheet name="History" sheetId="2" r:id="rId2"/>
  </sheets>
  <definedNames>
    <definedName name="_xlnm.Print_Area" localSheetId="0">'EV specs'!$B$3:$AK$56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5" i="1" l="1"/>
  <c r="AF35" i="1"/>
  <c r="M35" i="1"/>
  <c r="E35" i="1"/>
  <c r="L35" i="1" s="1"/>
  <c r="K35" i="1"/>
  <c r="I35" i="1"/>
  <c r="AD35" i="1"/>
  <c r="G35" i="1"/>
  <c r="E30" i="1"/>
  <c r="I14" i="1"/>
  <c r="I13" i="1"/>
  <c r="I12" i="1"/>
  <c r="AF30" i="1"/>
  <c r="I30" i="1"/>
  <c r="E14" i="1"/>
  <c r="E18" i="1" l="1"/>
  <c r="E13" i="1"/>
  <c r="AK16" i="1" l="1"/>
  <c r="AK15" i="1"/>
  <c r="AK4" i="1"/>
  <c r="M5" i="1" l="1"/>
  <c r="M6" i="1"/>
  <c r="M7" i="1"/>
  <c r="M8" i="1"/>
  <c r="M9" i="1"/>
  <c r="M10" i="1"/>
  <c r="M11" i="1"/>
  <c r="M12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6" i="1"/>
  <c r="M37" i="1"/>
  <c r="M38" i="1"/>
  <c r="M39" i="1"/>
  <c r="M40" i="1"/>
  <c r="M41" i="1"/>
  <c r="M42" i="1"/>
  <c r="M49" i="1"/>
  <c r="M51" i="1"/>
  <c r="M52" i="1"/>
  <c r="M53" i="1"/>
  <c r="M54" i="1"/>
  <c r="M55" i="1"/>
  <c r="M56" i="1"/>
  <c r="M4" i="1"/>
  <c r="AK20" i="1" l="1"/>
  <c r="S52" i="1"/>
  <c r="AE52" i="1"/>
  <c r="AE51" i="1"/>
  <c r="AD52" i="1"/>
  <c r="L52" i="1"/>
  <c r="S51" i="1"/>
  <c r="L4" i="1" l="1"/>
  <c r="G12" i="1" l="1"/>
  <c r="E12" i="1"/>
  <c r="L12" i="1" s="1"/>
  <c r="K12" i="1"/>
  <c r="G52" i="1"/>
  <c r="I52" i="1"/>
  <c r="AF52" i="1" s="1"/>
  <c r="AA52" i="1"/>
  <c r="AF12" i="1" l="1"/>
  <c r="K52" i="1"/>
  <c r="L31" i="1"/>
  <c r="L10" i="1"/>
  <c r="AK31" i="1"/>
  <c r="K31" i="1"/>
  <c r="K10" i="1"/>
  <c r="AK10" i="1"/>
  <c r="AD11" i="1"/>
  <c r="AK40" i="1" l="1"/>
  <c r="AF40" i="1"/>
  <c r="AD40" i="1"/>
  <c r="L40" i="1"/>
  <c r="K40" i="1"/>
  <c r="I7" i="1"/>
  <c r="AF23" i="1" l="1"/>
  <c r="I11" i="1" l="1"/>
  <c r="AF15" i="1"/>
  <c r="AD41" i="1"/>
  <c r="AF41" i="1"/>
  <c r="S18" i="1"/>
  <c r="S19" i="1"/>
  <c r="AD55" i="1"/>
  <c r="AD33" i="1"/>
  <c r="AF19" i="1" l="1"/>
  <c r="AF18" i="1"/>
  <c r="K55" i="1" l="1"/>
  <c r="S53" i="1" l="1"/>
  <c r="AK11" i="1" l="1"/>
  <c r="I17" i="1"/>
  <c r="S42" i="1" l="1"/>
  <c r="S41" i="1"/>
  <c r="L42" i="1"/>
  <c r="K42" i="1"/>
  <c r="I42" i="1"/>
  <c r="AK41" i="1"/>
  <c r="AA41" i="1"/>
  <c r="L41" i="1"/>
  <c r="L34" i="1"/>
  <c r="I34" i="1"/>
  <c r="AK34" i="1" s="1"/>
  <c r="AK33" i="1"/>
  <c r="AA34" i="1"/>
  <c r="AK30" i="1"/>
  <c r="J30" i="1"/>
  <c r="L30" i="1" s="1"/>
  <c r="M30" i="1" s="1"/>
  <c r="AK22" i="1"/>
  <c r="Q22" i="1"/>
  <c r="J22" i="1"/>
  <c r="L22" i="1" s="1"/>
  <c r="AK7" i="1"/>
  <c r="L7" i="1"/>
  <c r="K7" i="1"/>
  <c r="K30" i="1" l="1"/>
  <c r="AK42" i="1"/>
  <c r="AF42" i="1"/>
  <c r="K22" i="1"/>
  <c r="K34" i="1"/>
  <c r="AF14" i="1"/>
  <c r="AF13" i="1"/>
  <c r="K41" i="1"/>
  <c r="S4" i="1"/>
  <c r="S11" i="1" l="1"/>
  <c r="AK19" i="1"/>
  <c r="AK18" i="1"/>
  <c r="L19" i="1"/>
  <c r="L18" i="1"/>
  <c r="M18" i="1" s="1"/>
  <c r="K18" i="1"/>
  <c r="K19" i="1"/>
  <c r="L23" i="1"/>
  <c r="AK23" i="1"/>
  <c r="K23" i="1"/>
  <c r="L26" i="1"/>
  <c r="AK25" i="1"/>
  <c r="AD26" i="1"/>
  <c r="I26" i="1"/>
  <c r="K26" i="1" s="1"/>
  <c r="L25" i="1"/>
  <c r="K25" i="1"/>
  <c r="AF25" i="1"/>
  <c r="AD25" i="1"/>
  <c r="AK26" i="1" l="1"/>
  <c r="AA4" i="1"/>
  <c r="I4" i="1"/>
  <c r="AF4" i="1" l="1"/>
  <c r="K4" i="1"/>
  <c r="AC8" i="1"/>
  <c r="AD17" i="1" l="1"/>
  <c r="I29" i="1" l="1"/>
  <c r="AF29" i="1" s="1"/>
  <c r="K13" i="1" l="1"/>
  <c r="AK14" i="1"/>
  <c r="AK13" i="1"/>
  <c r="K14" i="1"/>
  <c r="AF11" i="1"/>
  <c r="S14" i="1"/>
  <c r="L14" i="1"/>
  <c r="M14" i="1" s="1"/>
  <c r="S13" i="1"/>
  <c r="S15" i="1"/>
  <c r="AD29" i="1"/>
  <c r="AK32" i="1"/>
  <c r="AK24" i="1"/>
  <c r="AK9" i="1"/>
  <c r="AF9" i="1"/>
  <c r="AD9" i="1"/>
  <c r="L9" i="1"/>
  <c r="K9" i="1"/>
  <c r="AF24" i="1"/>
  <c r="AD24" i="1"/>
  <c r="L24" i="1"/>
  <c r="K24" i="1"/>
  <c r="AF32" i="1"/>
  <c r="AF33" i="1"/>
  <c r="AD32" i="1"/>
  <c r="L33" i="1"/>
  <c r="L29" i="1"/>
  <c r="L32" i="1"/>
  <c r="K6" i="1"/>
  <c r="K8" i="1"/>
  <c r="K11" i="1"/>
  <c r="K15" i="1"/>
  <c r="K16" i="1"/>
  <c r="K17" i="1"/>
  <c r="K20" i="1"/>
  <c r="K21" i="1"/>
  <c r="K27" i="1"/>
  <c r="K29" i="1"/>
  <c r="K32" i="1"/>
  <c r="K33" i="1"/>
  <c r="K36" i="1"/>
  <c r="K37" i="1"/>
  <c r="K38" i="1"/>
  <c r="K39" i="1"/>
  <c r="K43" i="1"/>
  <c r="K44" i="1"/>
  <c r="K45" i="1"/>
  <c r="K46" i="1"/>
  <c r="K47" i="1"/>
  <c r="K48" i="1"/>
  <c r="K49" i="1"/>
  <c r="K50" i="1"/>
  <c r="K51" i="1"/>
  <c r="K53" i="1"/>
  <c r="K54" i="1"/>
  <c r="K56" i="1"/>
  <c r="K5" i="1"/>
  <c r="S32" i="1"/>
  <c r="S33" i="1"/>
  <c r="L13" i="1" l="1"/>
  <c r="M13" i="1" s="1"/>
  <c r="F12" i="1"/>
  <c r="AK55" i="1"/>
  <c r="AK54" i="1"/>
  <c r="AK53" i="1"/>
  <c r="AK51" i="1"/>
  <c r="AK50" i="1"/>
  <c r="AK49" i="1"/>
  <c r="AK37" i="1"/>
  <c r="AK38" i="1"/>
  <c r="AK39" i="1"/>
  <c r="AK36" i="1"/>
  <c r="AK29" i="1"/>
  <c r="AK28" i="1"/>
  <c r="AK27" i="1"/>
  <c r="AK17" i="1"/>
  <c r="AK56" i="1" l="1"/>
  <c r="AK44" i="1"/>
  <c r="AK45" i="1"/>
  <c r="AK46" i="1"/>
  <c r="AK47" i="1"/>
  <c r="AK48" i="1"/>
  <c r="AK43" i="1"/>
  <c r="AK5" i="1"/>
  <c r="AK6" i="1"/>
  <c r="AK8" i="1"/>
  <c r="AD53" i="1" l="1"/>
  <c r="AD51" i="1"/>
  <c r="S50" i="1"/>
  <c r="S49" i="1"/>
  <c r="AD49" i="1"/>
  <c r="AD50" i="1"/>
  <c r="AD48" i="1"/>
  <c r="AF50" i="1"/>
  <c r="AF49" i="1"/>
  <c r="L49" i="1"/>
  <c r="L51" i="1"/>
  <c r="L15" i="1"/>
  <c r="AF51" i="1" l="1"/>
  <c r="AF53" i="1"/>
  <c r="L53" i="1"/>
  <c r="L17" i="1"/>
  <c r="AF17" i="1"/>
  <c r="L5" i="1" l="1"/>
  <c r="AD5" i="1"/>
  <c r="AF5" i="1"/>
  <c r="L6" i="1"/>
  <c r="AD6" i="1"/>
  <c r="AF6" i="1"/>
  <c r="L27" i="1"/>
  <c r="S27" i="1"/>
  <c r="AD27" i="1"/>
  <c r="AF27" i="1"/>
  <c r="J28" i="1"/>
  <c r="K28" i="1" s="1"/>
  <c r="S28" i="1"/>
  <c r="AD28" i="1"/>
  <c r="AF28" i="1"/>
  <c r="S29" i="1"/>
  <c r="L8" i="1"/>
  <c r="S8" i="1"/>
  <c r="AF8" i="1"/>
  <c r="L54" i="1"/>
  <c r="AF54" i="1"/>
  <c r="L55" i="1"/>
  <c r="AF55" i="1"/>
  <c r="L56" i="1"/>
  <c r="S56" i="1"/>
  <c r="AF56" i="1"/>
  <c r="S43" i="1"/>
  <c r="AD43" i="1"/>
  <c r="AF43" i="1"/>
  <c r="S44" i="1"/>
  <c r="AD44" i="1"/>
  <c r="AF44" i="1"/>
  <c r="S45" i="1"/>
  <c r="AD45" i="1"/>
  <c r="AF45" i="1"/>
  <c r="S46" i="1"/>
  <c r="AD46" i="1"/>
  <c r="AF46" i="1"/>
  <c r="S47" i="1"/>
  <c r="AD47" i="1"/>
  <c r="AF47" i="1"/>
  <c r="S48" i="1"/>
  <c r="AF48" i="1"/>
  <c r="L16" i="1"/>
  <c r="AD16" i="1"/>
  <c r="AF16" i="1"/>
  <c r="L36" i="1"/>
  <c r="AD36" i="1"/>
  <c r="AF36" i="1"/>
  <c r="L37" i="1"/>
  <c r="AD37" i="1"/>
  <c r="AF37" i="1"/>
  <c r="E38" i="1"/>
  <c r="L38" i="1" s="1"/>
  <c r="AD38" i="1"/>
  <c r="AF38" i="1"/>
  <c r="L39" i="1"/>
  <c r="AD39" i="1"/>
  <c r="AF39" i="1"/>
  <c r="L28" i="1" l="1"/>
  <c r="AF20" i="1"/>
  <c r="AD20" i="1"/>
  <c r="L20" i="1" l="1"/>
  <c r="L21" i="1"/>
  <c r="L11" i="1"/>
  <c r="AO6" i="1"/>
  <c r="AO39" i="1"/>
  <c r="AO43" i="1"/>
  <c r="AO44" i="1"/>
  <c r="AO45" i="1"/>
  <c r="AO46" i="1"/>
  <c r="AO47" i="1"/>
  <c r="AO48" i="1"/>
  <c r="AO54" i="1"/>
  <c r="AO56" i="1"/>
  <c r="AO5" i="1"/>
</calcChain>
</file>

<file path=xl/comments1.xml><?xml version="1.0" encoding="utf-8"?>
<comments xmlns="http://schemas.openxmlformats.org/spreadsheetml/2006/main">
  <authors>
    <author>Audouy Christophe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https://www.audi.ch/ch/web/fr/neuwagen/audi-tron/audi-e-tron/facts.html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https://www.automobile-propre.com/essai-audi-e-tron-au-volant-suv-electrique/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 xml:space="preserve">432cell x 3.67x60Ah
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https://www.youtube.com/watch?v=iTafcrLYxj0 (23:00)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https://www.youtube.com/watch?v=iTafcrLYxj0 (23:00)</t>
        </r>
      </text>
    </comment>
    <comment ref="N4" authorId="0" shapeId="0">
      <text>
        <r>
          <rPr>
            <sz val="9"/>
            <color indexed="81"/>
            <rFont val="Tahoma"/>
            <family val="2"/>
          </rPr>
          <t>https://www.sae.org/news/2018/09/audi-e-tron-reveal
https://www.audi.ch/ch/web/fr/neuwagen/audi-tron/audi-e-tron/facts.html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https://www.audi-mediacenter.com/en/press-releases/take-charge-audi-e-tron-prototype-recuperation-test-10569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https://www.audi-mediacenter.com/en/press-releases/take-charge-audi-e-tron-prototype-recuperation-test-10569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https://www.audi-mediacenter.com/en/press-releases/take-charge-audi-e-tron-prototype-recuperation-test-10569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http://www.automobile-propre.com/forums/post173844.html#p173844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https://www.audi-mediacenter.com/en/press-releases/streamline-audi-e-tron-prototype-with-decisive-aerodynamics-10281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https://www.autocar.co.uk/car-news/new-cars/audi-e-tron-248-mile-range-and-intelligent-charge-technology-confirmed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https://www.autocar.co.uk/car-news/new-cars/audi-e-tron-248-mile-range-and-intelligent-charge-technology-confirmed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>Capacity of battery 95kWh : 60x3.67x432 = 95.1kWh</t>
        </r>
      </text>
    </comment>
    <comment ref="AB4" authorId="0" shapeId="0">
      <text>
        <r>
          <rPr>
            <b/>
            <sz val="9"/>
            <color indexed="81"/>
            <rFont val="Tahoma"/>
            <family val="2"/>
          </rPr>
          <t>https://www.autocar.co.uk/car-news/new-cars/audi-e-tron-248-mile-range-and-intelligent-charge-technology-confirmed</t>
        </r>
      </text>
    </comment>
    <comment ref="AE4" authorId="0" shapeId="0">
      <text>
        <r>
          <rPr>
            <b/>
            <sz val="9"/>
            <color indexed="81"/>
            <rFont val="Tahoma"/>
            <family val="2"/>
          </rPr>
          <t>https://insideevs.com/audi-e-tron-battery-pack-motors-more/
https://www.digitaltrends.com/cars/2019-audi-e-tron-quattro-battery-specs-range-launch-date/</t>
        </r>
      </text>
    </comment>
    <comment ref="AJ4" authorId="0" shapeId="0">
      <text>
        <r>
          <rPr>
            <sz val="9"/>
            <color indexed="81"/>
            <rFont val="Tahoma"/>
            <family val="2"/>
          </rPr>
          <t>https://twitter.com/RolandvanderPut/status/1070249610784972800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http://bmwi3.blogspot.fr/2014/03/an-aerospace-engineer-from-uk-compares.html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http://bmwi3.blogspot.fr/2014/03/an-aerospace-engineer-from-uk-compares.html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https://cdn.jack.sh/2014/08/06_I01-High-voltage-Components.pdf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5" authorId="0" shapeId="0">
      <text>
        <r>
          <rPr>
            <b/>
            <sz val="9"/>
            <color indexed="81"/>
            <rFont val="Tahoma"/>
            <family val="2"/>
          </rPr>
          <t>https://www.unece.org/fileadmin/DAM/trans/danger/publi/adr/Other_notif/13-0085-Bosch_Battery_Systems_F.pdf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</rPr>
          <t>https://support.fastned.nl/hc/en-gb/articles/204784718-Charging-with-a-BMW-i3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http://f4fastcar.com/bmw-i3-2017/
https://www.topgear.com/car-reviews/i3-hatchback-2013/first-drive
https://cleantechnica.com/2016/09/19/comparing-2014-bmw-i3-rex-60ah-vs-2017-i3-rex-94ah/
https://www.valuepenguin.co.uk/bmw-i3-review-electric-car-you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http://bmwi3.blogspot.fr/2014/03/an-aerospace-engineer-from-uk-compares.html</t>
        </r>
      </text>
    </comment>
    <comment ref="T6" authorId="0" shapeId="0">
      <text>
        <r>
          <rPr>
            <b/>
            <sz val="9"/>
            <color indexed="81"/>
            <rFont val="Tahoma"/>
            <family val="2"/>
          </rPr>
          <t>http://bmwi3.blogspot.fr/2014/03/an-aerospace-engineer-from-uk-compares.html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6" authorId="0" shapeId="0">
      <text>
        <r>
          <rPr>
            <b/>
            <sz val="9"/>
            <color indexed="81"/>
            <rFont val="Tahoma"/>
            <family val="2"/>
          </rPr>
          <t>https://support.fastned.nl/hc/en-gb/articles/204784718-Charging-with-a-BMW-i3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https://insideevs.com/2019-bmw-i3-rex-i3s-rex-full-spec/</t>
        </r>
      </text>
    </comment>
    <comment ref="F7" authorId="0" shapeId="0">
      <text>
        <r>
          <rPr>
            <sz val="9"/>
            <color indexed="81"/>
            <rFont val="Tahoma"/>
            <family val="2"/>
          </rPr>
          <t>https://insideevs.com/2019-bmw-i3-rex-i3s-rex-full-spec/</t>
        </r>
      </text>
    </comment>
    <comment ref="G7" authorId="0" shapeId="0">
      <text>
        <r>
          <rPr>
            <sz val="9"/>
            <color indexed="81"/>
            <rFont val="Tahoma"/>
            <family val="2"/>
          </rPr>
          <t>https://insideevs.com/2019-bmw-i3-rex-i3s-rex-full-spec/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>https://insideevs.com/2019-bmw-i3-rex-i3s-rex-full-spec/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https://insideevs.com/2019-bmw-i3-rex-i3s-rex-full-spec/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http://bmwi3.blogspot.fr/2014/03/an-aerospace-engineer-from-uk-compares.html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http://bmwi3.blogspot.fr/2014/03/an-aerospace-engineer-from-uk-compares.html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https://insideevs.com/bmw-i3-with-120ah-battery-coming-in-late-2018/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 xml:space="preserve">Source 1 : Frontal area 25.8 feet2 
http://www.roperld.com/science/chevybolt.htm :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https://cleantechnica.com/2016/08/14/chevy-bolt-drag-coefficient-0-32-says-lead-designer/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 xml:space="preserve">288 cells rated at 3.65V / 54.24Ah 
See video below :
https://www.youtube.com/watch?v=ssU2mjiNi_Q
</t>
        </r>
      </text>
    </comment>
    <comment ref="AC8" authorId="0" shapeId="0">
      <text>
        <r>
          <rPr>
            <b/>
            <sz val="9"/>
            <color indexed="81"/>
            <rFont val="Tahoma"/>
            <family val="2"/>
          </rPr>
          <t>2x JP1 cell 99Wh 
https://eqresearch.bnpparibas.com/researchfs/SRF__24b0dccf4673435ca37c960e31e6eafc.pdf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2x JP1 cell 99Wh 
https://eqresearch.bnpparibas.com/researchfs/SRF__24b0dccf4673435ca37c960e31e6eafc.pdf</t>
        </r>
      </text>
    </comment>
    <comment ref="AJ8" authorId="0" shapeId="0">
      <text>
        <r>
          <rPr>
            <sz val="9"/>
            <color indexed="81"/>
            <rFont val="Tahoma"/>
            <family val="2"/>
          </rPr>
          <t>https://www.greencarreports.com/news/1109714_more-details-on-fast-charging-rate-in-2017-chevy-bolt-ev-electric-car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http://www.automobile-propre.com/forums/citroen-c-zero-peugeot-ion-mitsubishi-imiev/capacite-utile-des-batteries-de-czimions-t10901.html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http://www.automobile-propre.com/forums/citroen-c-zero-peugeot-ion-mitsubishi-imiev/capacite-utile-des-batteries-de-czimions-t10901.html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http://www.citroen.fr/vehicules-neufs/citroen/citroen-c-zero/description.html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>http://www.pgt.peugeot.sk/media/deliacms/media/26/2617-4feddb.pdf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http://www.automobile-catalog.com/car/2015/2018870/citroen_c-zero.html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http://media.peugeot.co.uk/file/99/5/ion-prices-and-specs.114995.pdf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9" authorId="0" shapeId="0">
      <text>
        <r>
          <rPr>
            <sz val="9"/>
            <color indexed="81"/>
            <rFont val="Tahoma"/>
            <family val="2"/>
          </rPr>
          <t>https://avt.inl.gov/sites/default/files/pdf/fsev/2012IMiEVDCFCAtTempBOT.pdf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V10" authorId="0" shapeId="0">
      <text>
        <r>
          <rPr>
            <sz val="9"/>
            <color indexed="81"/>
            <rFont val="Tahoma"/>
            <family val="2"/>
          </rPr>
          <t>https://www.largus.fr/mondial/ds3-crossback-e-tense-2019-les-secrets-de-la-version-electrique-9404390.html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https://speakev.com/threads/comparative-ev-and-battery-pack-specs.109449/page-2#post-2212345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http://www.automobile-propre.com/forums/hyundai-ionic-electrique/specification-pack-batterie-hyundai-ioniq-t10934.html</t>
        </r>
      </text>
    </comment>
    <comment ref="S11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http://www.automobile-propre.com/forums/voiture-electrique-general/comparatif-des-principaux-modeles-de-vehicules-electriques-t9789-50.html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Source 1 :
https://www.topgear.com/car-reviews/hyundai/16-gdi-hybrid-se-5dr-dct/first-drive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https://speakev.com/threads/comparative-ev-and-battery-pack-specs.109449/page-2#post-2212345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http://shop.envites.de/images/pdf_my/LithiumIon43.pdf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https://electricrevs.com/2018/04/13/can-the-ioniq-electric-charge-at-up-to-100-kw/</t>
        </r>
      </text>
    </comment>
    <comment ref="W12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http://www.automobile-propre.com/forums/hyundai-ionic-electrique/etalonnage-reel-du-pourcentage-de-la-batterie-t11402-10.html
http://www.automobile-propre.com/forums/hyundai-kona-electrique/pack-batterie-hyundai-kona-t10936-20.html</t>
        </r>
      </text>
    </comment>
    <comment ref="AA12" authorId="0" shapeId="0">
      <text>
        <r>
          <rPr>
            <b/>
            <sz val="9"/>
            <color indexed="81"/>
            <rFont val="Tahoma"/>
            <family val="2"/>
          </rPr>
          <t>https://www.hyundai.com/kr/ko/vehicles/kona-electric/specifications</t>
        </r>
      </text>
    </comment>
    <comment ref="AC12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AD12" authorId="0" shapeId="0">
      <text>
        <r>
          <rPr>
            <b/>
            <sz val="9"/>
            <color indexed="81"/>
            <rFont val="Tahoma"/>
            <family val="2"/>
          </rPr>
          <t>https://image.ibb.co/fFQLFe/image.jpg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http://www.automobile-propre.com/forums/hyundai-kona-electrique/informations-et-caracteristiques-kona-electric-t10007-160.html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http://www.automobile-propre.com/forums/hyundai-kona-electrique/informations-et-caracteristiques-kona-electric-t10007-160.html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https://insideevs.com/hyundai-kona-electric-range-lowered-wltp/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https://www.hyundai.news/fr/dossiers-de-presse/kona-electric-caracteristiques-techniques-et-dimensions/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http://www.automobile-propre.com/forums/post161910.html#p161910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http://www.automobile-propre.com/forums/hyundai-kona-electrique/informations-et-caracteristiques-kona-electric-t10007-160.html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https://www.hyundai.com/kr/ko/vehicles/kona-electric/specifications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https://www.hyundai.com/kr/ko/vehicles/kona-electric/specifications</t>
        </r>
      </text>
    </comment>
    <comment ref="S13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http://www.automobile-propre.com/forums/post161710.html#p161710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https://www.prnewswire.com/news-releases/2019-hyundai-kona-electric-recalibrates-eco-cuv-formula-with-an-impressive-250-miles-of-estimated-range-300620685.html
https://insideevs.com/hyundai-kona-electric-250-miles-range/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http://www.automobile-propre.com/forums/hyundai-ionic-electrique/etalonnage-reel-du-pourcentage-de-la-batterie-t11402-10.html
http://www.automobile-propre.com/forums/hyundai-kona-electrique/pack-batterie-hyundai-kona-t10936-20.html</t>
        </r>
      </text>
    </comment>
    <comment ref="AA13" authorId="0" shapeId="0">
      <text>
        <r>
          <rPr>
            <b/>
            <sz val="9"/>
            <color indexed="81"/>
            <rFont val="Tahoma"/>
            <family val="2"/>
          </rPr>
          <t>https://www.hyundai.com/kr/ko/vehicles/kona-electric/specifications</t>
        </r>
      </text>
    </comment>
    <comment ref="AC13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AD13" authorId="0" shapeId="0">
      <text>
        <r>
          <rPr>
            <b/>
            <sz val="9"/>
            <color indexed="81"/>
            <rFont val="Tahoma"/>
            <family val="2"/>
          </rPr>
          <t>https://image.ibb.co/fFQLFe/image.jpg</t>
        </r>
      </text>
    </comment>
    <comment ref="AE13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http://www.automobile-propre.com/forums/hyundai-kona-electrique/informations-et-caracteristiques-kona-electric-t10007-160.html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http://www.automobile-propre.com/forums/hyundai-kona-electrique/informations-et-caracteristiques-kona-electric-t10007-160.html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https://insideevs.com/hyundai-kona-electric-250-miles-range/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https://www.fueleconomy.gov/feg/Find.do?action=sbs&amp;id=40585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https://insideevs.com/hyundai-kona-electric-range-lowered-wltp/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https://www.hyundai.news/fr/dossiers-de-presse/kona-electric-caracteristiques-techniques-et-dimensions/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http://www.automobile-propre.com/forums/hyundai-kona-electrique/pack-batterie-hyundai-kona-t10936.html
https://ev-database.uk/car/1126/Hyundai-Kona-Electric-64-kWh</t>
        </r>
      </text>
    </comment>
    <comment ref="J14" authorId="0" shapeId="0">
      <text>
        <r>
          <rPr>
            <sz val="9"/>
            <color indexed="81"/>
            <rFont val="Tahoma"/>
            <family val="2"/>
          </rPr>
          <t>https://forums.automobile-propre.com/topic/pack-batterie-hyundai-kona-9602/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http://www.automobile-propre.com/forums/hyundai-kona-electrique/informations-et-caracteristiques-kona-electric-t10007-160.html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http://www.automobile-propre.com/forums/post161710.html#p161710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https://www.prnewswire.com/news-releases/2019-hyundai-kona-electric-recalibrates-eco-cuv-formula-with-an-impressive-250-miles-of-estimated-range-300620685.html
https://insideevs.com/hyundai-kona-electric-250-miles-range/</t>
        </r>
      </text>
    </comment>
    <comment ref="W14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http://www.automobile-propre.com/forums/hyundai-kona-electrique/pack-batterie-hyundai-kona-t10936-20.html#p187750</t>
        </r>
      </text>
    </comment>
    <comment ref="AA14" authorId="0" shapeId="0">
      <text>
        <r>
          <rPr>
            <b/>
            <sz val="9"/>
            <color indexed="81"/>
            <rFont val="Tahoma"/>
            <family val="2"/>
          </rPr>
          <t>https://www.hyundai.com/kr/ko/vehicles/kona-electric/specifications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https://electricrevs.com/2018/12/20/exclusive-details-on-hyundais-new-battery-thermal-management-design/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https://image.ibb.co/fFQLFe/image.jpg</t>
        </r>
      </text>
    </comment>
    <comment ref="AE14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http://www.automobile-propre.com/forums/hyundai-kona-electrique/informations-et-caracteristiques-kona-electric-t10007-160.html</t>
        </r>
      </text>
    </comment>
    <comment ref="AF14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http://www.automobile-propre.com/forums/hyundai-kona-electrique/informations-et-caracteristiques-kona-electric-t10007-160.html</t>
        </r>
      </text>
    </comment>
    <comment ref="AJ14" authorId="0" shapeId="0">
      <text>
        <r>
          <rPr>
            <b/>
            <sz val="9"/>
            <color indexed="81"/>
            <rFont val="Tahoma"/>
            <family val="2"/>
          </rPr>
          <t>https://insideevs.com/hyundai-kona-electric-charges-at-up-to-72-kw/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240 miles 
https://www.greencarreports.com/news/1115546_2019-jaguar-i-pace-electric-crossover-debuts-in-production-trim-estimated-240-mile-range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>https://www.jaguar.fr/jaguar-range/i-pace/index.html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336 miles
https://www.greencarreports.com/news/1115546_2019-jaguar-i-pace-electric-crossover-debuts-in-production-trim-estimated-240-mile-range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https://www.ipaceforums.co.uk/viewtopic.php?t=179
http://www.ownerinfo.jaguar.com/document/4K/2019/T19977/29937_en_GBR/proc/G2173459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http://www.ownerinfo.jaguar.com/document/4K/2019/T19977/29937_en_GBR/proc/G2164447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https://www.jaguar.com/jaguar-range/i-pace/specifications/index.html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</rPr>
          <t>https://www.jaguar.com/jaguar-range/i-pace/specifications/index.html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https://www.jaguar.com/jaguar-range/i-pace/specifications/index.html</t>
        </r>
      </text>
    </comment>
    <comment ref="S15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http://www.automobile-propre.com/forums/post161710.html#p161710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</rPr>
          <t>https://electrek.co/2018/03/01/jaguar-i-pace-all-electric-production/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5" authorId="0" shapeId="0">
      <text>
        <r>
          <rPr>
            <b/>
            <sz val="9"/>
            <color indexed="81"/>
            <rFont val="Tahoma"/>
            <family val="2"/>
          </rPr>
          <t>https://electricrevs.com/2018/03/09/jaguar-and-chevy-have-lg-in-common/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https://electricrevs.com/2018/03/09/jaguar-and-chevy-have-lg-in-common/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5" authorId="0" shapeId="0">
      <text>
        <r>
          <rPr>
            <b/>
            <sz val="9"/>
            <color indexed="81"/>
            <rFont val="Tahoma"/>
            <family val="2"/>
          </rPr>
          <t>https://electricrevs.com/2018/03/09/jaguar-and-chevy-have-lg-in-common/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5" authorId="0" shapeId="0">
      <text>
        <r>
          <rPr>
            <b/>
            <sz val="9"/>
            <color indexed="81"/>
            <rFont val="Tahoma"/>
            <family val="2"/>
          </rPr>
          <t>https://electricrevs.com/2018/03/09/jaguar-and-chevy-have-lg-in-common/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5" authorId="0" shapeId="0">
      <text>
        <r>
          <rPr>
            <b/>
            <sz val="9"/>
            <color indexed="81"/>
            <rFont val="Tahoma"/>
            <family val="2"/>
          </rPr>
          <t>https://www.thecarconnection.com/overview/jaguar_i-pace_2019#image=100654819</t>
        </r>
      </text>
    </comment>
    <comment ref="AJ15" authorId="0" shapeId="0">
      <text>
        <r>
          <rPr>
            <b/>
            <sz val="9"/>
            <color indexed="81"/>
            <rFont val="Tahoma"/>
            <family val="2"/>
          </rPr>
          <t>https://www.youtube.com/watch?v=IgtJ6_6GrUw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https://en.wikipedia.org/wiki/Kia_Soul_EV
https://avt.inl.gov/sites/default/files/pdf/fsev/batterySoul1908.pdf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 xml:space="preserve">Source 1 : http://www.automobilemag.com/news/2015-kia-soul-ev-review/
Source 2 :
http://www.mykiasoulev.com/forum/viewtopic.php?f=7&amp;t=530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9"/>
            <color indexed="81"/>
            <rFont val="Tahoma"/>
            <family val="2"/>
          </rPr>
          <t>https://avt.inl.gov/sites/default/files/pdf/fsev/batterySoul1908.pdf
http://www.mykiasoulev.com/forum/viewtopic.php?t=662
https://www2.emc.ufg.br/up/440/o/E-mobility_Brasil_2016.pdf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http://www.mykiasoulev.com/forum/viewtopic.php?t=662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6" authorId="0" shapeId="0">
      <text>
        <r>
          <rPr>
            <b/>
            <sz val="9"/>
            <color indexed="81"/>
            <rFont val="Tahoma"/>
            <family val="2"/>
          </rPr>
          <t>http://www.mykiasoulev.com/forum/viewtopic.php?t=662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http://www.kia.com/content/dam/kwcms/kme/uk/en/assets/vehicles/soul-ev/specification/kia-soul-ev-specification.pdf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https://avt.inl.gov/sites/default/files/pdf/fsev/2015SoulDCFCAtTempBOT.pdf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https://speakev.com/threads/comparative-ev-and-battery-pack-specs.109449/page-2#post-2212345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 xml:space="preserve">Source 1 : http://www.automobilemag.com/news/2015-kia-soul-ev-review/
Source 2 :
http://www.mykiasoulev.com/forum/viewtopic.php?f=7&amp;t=530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</rPr>
          <t>https://speakev.com/threads/comparative-ev-and-battery-pack-specs.109449/page-2#post-2212345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http://www.mykiasoulev.com/forum/viewtopic.php?t=662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7" authorId="0" shapeId="0">
      <text>
        <r>
          <rPr>
            <b/>
            <sz val="9"/>
            <color indexed="81"/>
            <rFont val="Tahoma"/>
            <family val="2"/>
          </rPr>
          <t>https://pushevs.com/2017/03/16/2018-kia-soul-ev-confirmed-efficient/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https://cleantechnica.com/2018/12/29/kia-e-niro-range-revised-to-179-282-miles-in-europe-wlpt-comparisons-with-tesla-model-3-nissan-leaf/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http://www.automobile-propre.com/forums/post161910.html#p161910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https://www.kia.com/us/en/content/vehicles/concept-cars/niro-ev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</rPr>
          <t>http://www.cleanfleetreport.com/news-kia-niro-ev-showcased-2018-ces/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http://www.automobile-propre.com/forums/post192167.html#p192167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https://plugin-magazine.com/electric-vehicles/kia-niro/</t>
        </r>
      </text>
    </comment>
    <comment ref="X18" authorId="0" shapeId="0">
      <text>
        <r>
          <rPr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Z18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AB18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AE18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AG18" authorId="0" shapeId="0">
      <text>
        <r>
          <rPr>
            <b/>
            <sz val="9"/>
            <color indexed="81"/>
            <rFont val="Tahoma"/>
            <family val="2"/>
          </rPr>
          <t>https://insideevs.com/hyundai-kona-electric-250-miles-range/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https://cleantechnica.com/2018/12/29/kia-e-niro-range-revised-to-179-282-miles-in-europe-wlpt-comparisons-with-tesla-model-3-nissan-leaf/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https://cleantechnica.com/2018/12/29/kia-e-niro-range-revised-to-179-282-miles-in-europe-wlpt-comparisons-with-tesla-model-3-nissan-leaf/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http://www.automobile-propre.com/forums/hyundai-kona-electrique/pack-batterie-hyundai-kona-t10936.html
https://ev-database.uk/car/1126/Hyundai-Kona-Electric-64-kWh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https://www.kia.com/us/en/content/vehicles/concept-cars/niro-ev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http://www.cleanfleetreport.com/news-kia-niro-ev-showcased-2018-ces/</t>
        </r>
      </text>
    </comment>
    <comment ref="S19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http://www.automobile-propre.com/forums/post192167.html#p192167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https://plugin-magazine.com/electric-vehicles/kia-niro/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Z19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AB19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AE19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http://www.automobile-propre.com/forums/kia-niro-electrique/specifications-kia-niro-t12120.html</t>
        </r>
      </text>
    </comment>
    <comment ref="AJ19" authorId="0" shapeId="0">
      <text>
        <r>
          <rPr>
            <sz val="9"/>
            <color indexed="81"/>
            <rFont val="Tahoma"/>
            <family val="2"/>
          </rPr>
          <t>https://support.fastned.nl/hc/en-gb/articles/360007699174-Charging-with-a-Kia-e-Niro</t>
        </r>
      </text>
    </comment>
    <comment ref="S20" authorId="0" shapeId="0">
      <text>
        <r>
          <rPr>
            <b/>
            <sz val="9"/>
            <color indexed="81"/>
            <rFont val="Tahoma"/>
            <family val="2"/>
          </rPr>
          <t>http://www.emercedesbenz.com/autos/mercedes-benz/corporate-news/mercedes-benz-aerodynamics-leading-in-nearly-every-class-part-2/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Source 1 : http://www.emercedesbenz.com/autos/mercedes-benz/corporate-news/mercedes-benz-aerodynamics-leading-in-nearly-every-class-part-2/
Source 2:
http://www.emercedesbenz.com/autos/mercedes-benz/b-class/mercedes-benz-b-class-aerodynamics-tested-with-paint-video/</t>
        </r>
      </text>
    </comment>
    <comment ref="AB20" authorId="0" shapeId="0">
      <text>
        <r>
          <rPr>
            <b/>
            <sz val="9"/>
            <color indexed="81"/>
            <rFont val="Tahoma"/>
            <family val="2"/>
          </rPr>
          <t>https://avt.inl.gov/sites/default/files/pdf/fsev/fact2015mercedesbclass.pdf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https://insideevs.com/mercedes-benz-eqa-in-white-video/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https://insideevs.com/mercedes-benz-eqa-in-white-video/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https://insideevs.com/mercedes-benz-eqa-in-white-video/
https://www.mercedes-benz.com/en/mercedes-benz/vehicles/the-concept-eqa-electric-athlete/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https://www.mercedes-benz.com/en/mercedes-benz/vehicles/the-concept-eqa-electric-athlete/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https://www.mercedes-benz.co.uk/passengercars/mercedes-benz-cars/futurecars/concept-eqa/concept-eqa.module.html</t>
        </r>
      </text>
    </comment>
    <comment ref="AH22" authorId="0" shapeId="0">
      <text>
        <r>
          <rPr>
            <b/>
            <sz val="9"/>
            <color indexed="81"/>
            <rFont val="Tahoma"/>
            <family val="2"/>
          </rPr>
          <t>https://pushevs.com/2018/09/04/the-new-mercedes-benz-eqc-is-officially-unveiled/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https://media.daimler.com/marsMediaSite/en/instance/ko.xhtml?oid=40995157&amp;ls=L2VuL2luc3RhbmNlL2tvLnhodG1sP29pZD00MDk5MTYxMyZyZWxJZD02MDgyMiZmcm9tT2lkPTQwOTkxNjEzJmJvcmRlcnM9dHJ1ZSZyZXN1bHRJbmZvVHlwZUlkPTQwNjI3&amp;rs=2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https://media.daimler.com/marsMediaSite/en/instance/ko.xhtml?oid=40995157&amp;ls=L2VuL2luc3RhbmNlL2tvLnhodG1sP29pZD00MDk5MTYxMyZyZWxJZD02MDgyMiZmcm9tT2lkPTQwOTkxNjEzJmJvcmRlcnM9dHJ1ZSZyZXN1bHRJbmZvVHlwZUlkPTQwNjI3&amp;rs=2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https://ev-database.uk/car/1135/Mercedes-EQC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https://ev-database.uk/car/1135/Mercedes-EQC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https://media.daimler.com/marsMediaSite/en/instance/ko.xhtml?oid=40995157&amp;ls=L2VuL2luc3RhbmNlL2tvLnhodG1sP29pZD00MDk5MTYxMyZyZWxJZD02MDgyMiZmcm9tT2lkPTQwOTkxNjEzJmJvcmRlcnM9dHJ1ZSZyZXN1bHRJbmZvVHlwZUlkPTQwNjI3&amp;rs=2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https://media.daimler.com/marsMediaSite/en/instance/ko.xhtml?oid=40995157&amp;ls=L2VuL2luc3RhbmNlL2tvLnhodG1sP29pZD00MDk5MTYxMyZyZWxJZD02MDgyMiZmcm9tT2lkPTQwOTkxNjEzJmJvcmRlcnM9dHJ1ZSZyZXN1bHRJbmZvVHlwZUlkPTQwNjI3&amp;rs=2</t>
        </r>
      </text>
    </comment>
    <comment ref="AH23" authorId="0" shapeId="0">
      <text>
        <r>
          <rPr>
            <b/>
            <sz val="9"/>
            <color indexed="81"/>
            <rFont val="Tahoma"/>
            <family val="2"/>
          </rPr>
          <t>https://pushevs.com/2018/09/04/the-new-mercedes-benz-eqc-is-officially-unveiled/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https://www.fueleconomy.gov/feg/Find.do?action=sbs&amp;id=34901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http://www.automobile-propre.com/forums/citroen-c-zero-peugeot-ion-mitsubishi-imiev/capacite-utile-des-batteries-de-czimions-t10901.html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http://www.automobile-propre.com/forums/citroen-c-zero-peugeot-ion-mitsubishi-imiev/capacite-utile-des-batteries-de-czimions-t10901.html</t>
        </r>
      </text>
    </comment>
    <comment ref="S24" authorId="0" shapeId="0">
      <text>
        <r>
          <rPr>
            <sz val="9"/>
            <color indexed="81"/>
            <rFont val="Tahoma"/>
            <family val="2"/>
          </rPr>
          <t>http://www.pgt.peugeot.sk/media/deliacms/media/26/2617-4feddb.pdf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https://www.nrel.gov/docs/fy12osti/48528.pdf
http://webcache.googleusercontent.com/search?q=cache:CE68x1cxw1MJ:autotk.com/dimensions/mitsubishi/i-miev/2016/+&amp;cd=5&amp;hl=fr&amp;ct=clnk&amp;gl=fr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https://pushevs.com/2015/11/04/gs-yuasas-improved-cells-lev50-vs-lev50n/</t>
        </r>
      </text>
    </comment>
    <comment ref="AJ24" authorId="0" shapeId="0">
      <text>
        <r>
          <rPr>
            <sz val="9"/>
            <color indexed="81"/>
            <rFont val="Tahoma"/>
            <family val="2"/>
          </rPr>
          <t>https://avt.inl.gov/sites/default/files/pdf/fsev/2012IMiEVDCFCAtTempBOT.pdf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https://insideevs.com/nissan-introduces-new-longer-range-e-nv200-with-40-kwh-battery/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https://insideevs.com/nissan-introduces-new-longer-range-e-nv200-with-40-kwh-battery/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https://www.nissan-cdn.net/content/dam/Nissan/gb/brochures/Nissan_e-NV200_van.pdf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https://www.nissan-cdn.net/content/dam/Nissan/gb/brochures/Nissan_e-NV200_van.pdf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https://www.nissan-cdn.net/content/dam/Nissan/gb/brochures/Nissan_e-NV200_van.pdf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https://www.nissan-cdn.net/content/dam/Nissan/gb/brochures/Nissan_e-NV200_van.pdf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http://www.automobile-propre.com/forums/voiture-electrique-general/comparatif-des-principaux-modeles-de-vehicules-electriques-t9789-50.html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http://autotk.com/dimensions/nissan/nv200/2016/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https://insideevs.com/nissan-introduces-new-longer-range-e-nv200-with-40-kwh-battery/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https://insideevs.com/nissan-introduces-new-longer-range-e-nv200-with-40-kwh-battery/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https://pushevs.com/2018/01/29/2018-nissan-leaf-battery-real-specs/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http://www.automobile-propre.com/batterie-38-4-kwh-nouvelle-nissan-leaf-2018/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https://www.autocar.co.uk/car-review/nissan/e-nv200/first-drives/nissan-e-nv200-evalia-7s-2018-review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http://www.automobile-propre.com/forums/voiture-electrique-general/comparatif-des-principaux-modeles-de-vehicules-electriques-t9789-50.html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http://autotk.com/dimensions/nissan/nv200/2016/</t>
        </r>
      </text>
    </comment>
    <comment ref="V26" authorId="0" shapeId="0">
      <text>
        <r>
          <rPr>
            <b/>
            <sz val="9"/>
            <color indexed="81"/>
            <rFont val="Tahoma"/>
            <family val="2"/>
          </rPr>
          <t>https://pushevs.com/2018/01/29/2018-nissan-leaf-battery-real-specs/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Frontal Area : 2.27m2
https://www.autoevolution.com/news/by-the-numbers-2011-nissan-leaf-vs-2018-nissan-leaf-comparison-122189.html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https://www.autoevolution.com/news/by-the-numbers-2011-nissan-leaf-vs-2018-nissan-leaf-comparison-122189.html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https://avt.inl.gov/sites/default/files/pdf/fsev/2013LeafDCFCAtTempBOT.pdf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Frontal Area : 2.27m2
https://www.autoevolution.com/news/by-the-numbers-2011-nissan-leaf-vs-2018-nissan-leaf-comparison-122189.html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https://www.autoevolution.com/news/by-the-numbers-2011-nissan-leaf-vs-2018-nissan-leaf-comparison-122189.html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28" authorId="0" shapeId="0">
      <text>
        <r>
          <rPr>
            <sz val="9"/>
            <color indexed="81"/>
            <rFont val="Tahoma"/>
            <family val="2"/>
          </rPr>
          <t>https://pushevs.com/2018/05/21/fast-charging-curves/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https://www.fueleconomy.gov/feg/Find.do?action=sbs&amp;id=39860</t>
        </r>
      </text>
    </comment>
    <comment ref="F29" authorId="0" shapeId="0">
      <text>
        <r>
          <rPr>
            <sz val="9"/>
            <color indexed="81"/>
            <rFont val="Tahoma"/>
            <family val="2"/>
          </rPr>
          <t>https://www.nissan.fr/vehicules/neufs/leaf/autonomie-recharge.html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https://pushevs.com/2018/01/29/2018-nissan-leaf-battery-real-specs/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http://www.automobile-propre.com/batterie-38-4-kwh-nouvelle-nissan-leaf-2018/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Frontal Area : 2.27m2
https://www.autoevolution.com/news/by-the-numbers-2011-nissan-leaf-vs-2018-nissan-leaf-comparison-122189.html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https://www.autoevolution.com/news/by-the-numbers-2011-nissan-leaf-vs-2018-nissan-leaf-comparison-122189.html</t>
        </r>
      </text>
    </comment>
    <comment ref="W29" authorId="0" shapeId="0">
      <text>
        <r>
          <rPr>
            <b/>
            <sz val="9"/>
            <color indexed="81"/>
            <rFont val="Tahoma"/>
            <family val="2"/>
          </rPr>
          <t>https://pushevs.com/2018/01/29/2018-nissan-leaf-battery-real-specs/</t>
        </r>
      </text>
    </comment>
    <comment ref="AD29" authorId="0" shapeId="0">
      <text>
        <r>
          <rPr>
            <b/>
            <sz val="9"/>
            <color indexed="81"/>
            <rFont val="Tahoma"/>
            <family val="2"/>
          </rPr>
          <t>http://www.eco-aesc-lb.com/en/product/liion_ev/</t>
        </r>
      </text>
    </comment>
    <comment ref="AJ29" authorId="0" shapeId="0">
      <text>
        <r>
          <rPr>
            <sz val="9"/>
            <color indexed="81"/>
            <rFont val="Tahoma"/>
            <family val="2"/>
          </rPr>
          <t>https://pushevs.com/2018/05/21/fast-charging-curves/</t>
        </r>
      </text>
    </comment>
    <comment ref="E30" authorId="0" shapeId="0">
      <text>
        <r>
          <rPr>
            <sz val="9"/>
            <color indexed="81"/>
            <rFont val="Tahoma"/>
            <family val="2"/>
          </rPr>
          <t>https://insideevs.com/nissan-reveals-leaf-e-plus-ces/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https://insideevs.com/nissan-leaf-e-plus-62-kwh-battery/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https://insideevs.com/nissan-announces-leaf-e-price-europe-japan/</t>
        </r>
      </text>
    </comment>
    <comment ref="I30" authorId="0" shapeId="0">
      <text>
        <r>
          <rPr>
            <b/>
            <sz val="9"/>
            <color indexed="81"/>
            <rFont val="Tahoma"/>
            <family val="2"/>
          </rPr>
          <t>https://pushevs.com/2017/12/29/nissan-sees-leafs-competition/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https://pushevs.com/2017/12/29/nissan-sees-leafs-competition/</t>
        </r>
      </text>
    </comment>
    <comment ref="Q30" authorId="0" shapeId="0">
      <text>
        <r>
          <rPr>
            <sz val="9"/>
            <color indexed="81"/>
            <rFont val="Tahoma"/>
            <family val="2"/>
          </rPr>
          <t>https://www.automobile-propre.com/nissan-leaf-3-zero-e-la-version-62-kwh-debutera-ses-livraisons-cet-ete</t>
        </r>
        <r>
          <rPr>
            <b/>
            <sz val="9"/>
            <color indexed="81"/>
            <rFont val="Tahoma"/>
            <family val="2"/>
          </rPr>
          <t>/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</rPr>
          <t>https://insideevs.com/nissan-leaf-e-plus-62-kwh-battery/</t>
        </r>
      </text>
    </comment>
    <comment ref="V30" authorId="0" shapeId="0">
      <text>
        <r>
          <rPr>
            <b/>
            <sz val="9"/>
            <color indexed="81"/>
            <rFont val="Tahoma"/>
            <charset val="1"/>
          </rPr>
          <t>https://insideevs.com/nissan-reveals-leaf-e-plus-ces/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https://insideevs.com/nissan-reveals-leaf-e-plus-ces/</t>
        </r>
      </text>
    </comment>
    <comment ref="AH30" authorId="0" shapeId="0">
      <text>
        <r>
          <rPr>
            <b/>
            <sz val="9"/>
            <color indexed="81"/>
            <rFont val="Tahoma"/>
            <family val="2"/>
          </rPr>
          <t>https://pushevs.com/2017/12/29/nissan-sees-leafs-competition/</t>
        </r>
      </text>
    </comment>
    <comment ref="AI30" authorId="0" shapeId="0">
      <text>
        <r>
          <rPr>
            <b/>
            <sz val="9"/>
            <color indexed="81"/>
            <rFont val="Tahoma"/>
            <family val="2"/>
          </rPr>
          <t>https://pushevs.com/2017/12/29/nissan-sees-leafs-competition/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Q31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R31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V31" authorId="0" shapeId="0">
      <text>
        <r>
          <rPr>
            <sz val="9"/>
            <color indexed="81"/>
            <rFont val="Tahoma"/>
            <family val="2"/>
          </rPr>
          <t>https://www.largus.fr/mondial/ds3-crossback-e-tense-2019-les-secrets-de-la-version-electrique-9404390.html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AA31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AB31" authorId="0" shapeId="0">
      <text>
        <r>
          <rPr>
            <b/>
            <sz val="9"/>
            <color indexed="81"/>
            <rFont val="Tahoma"/>
            <family val="2"/>
          </rPr>
          <t>https://forums.automobile-propre.com/topic/peugeot-208-electrique-11074/?page=2</t>
        </r>
      </text>
    </comment>
    <comment ref="AH31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AI31" authorId="0" shapeId="0">
      <text>
        <r>
          <rPr>
            <b/>
            <sz val="9"/>
            <color indexed="81"/>
            <rFont val="Tahoma"/>
            <family val="2"/>
          </rPr>
          <t>https://www.automobile-propre.com/ds3-cross-back-e-tense-video-mondial-auto-paris/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http://www.automobile-propre.com/forums/citroen-c-zero-peugeot-ion-mitsubishi-imiev/capacite-utile-des-batteries-de-czimions-t10901.html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http://www.automobile-propre.com/forums/citroen-c-zero-peugeot-ion-mitsubishi-imiev/capacite-utile-des-batteries-de-czimions-t10901.html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http://www.autoviva.com/peugeot_ion-specs/version/28525?chg_unit=1&amp;spec_unit=european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http://www.autoviva.com/peugeot_ion-specs/version/28525?chg_unit=1&amp;spec_unit=european</t>
        </r>
      </text>
    </comment>
    <comment ref="W32" authorId="0" shapeId="0">
      <text>
        <r>
          <rPr>
            <b/>
            <sz val="9"/>
            <color indexed="81"/>
            <rFont val="Tahoma"/>
            <family val="2"/>
          </rPr>
          <t>https://pushevs.com/2015/11/04/gs-yuasas-improved-cells-lev50-vs-lev50n/</t>
        </r>
      </text>
    </comment>
    <comment ref="AJ32" authorId="0" shapeId="0">
      <text>
        <r>
          <rPr>
            <sz val="9"/>
            <color indexed="81"/>
            <rFont val="Tahoma"/>
            <family val="2"/>
          </rPr>
          <t>https://avt.inl.gov/sites/default/files/pdf/fsev/2012IMiEVDCFCAtTempBOT.pdf</t>
        </r>
      </text>
    </comment>
    <comment ref="I33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http://www.automobile-propre.com/forums/citroen-c-zero-peugeot-ion-mitsubishi-imiev/capacite-utile-des-batteries-de-czimions-t10901.html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http://www.automobile-propre.com/forums/citroen-c-zero-peugeot-ion-mitsubishi-imiev/capacite-utile-des-batteries-de-czimions-t10901.html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http://www.forum-peugeot.com/wp-content/uploads/2016/06/prixion17b.pdf</t>
        </r>
      </text>
    </comment>
    <comment ref="S33" authorId="0" shapeId="0">
      <text>
        <r>
          <rPr>
            <b/>
            <sz val="9"/>
            <color indexed="81"/>
            <rFont val="Tahoma"/>
            <family val="2"/>
          </rPr>
          <t>http://www.autoviva.com/peugeot_ion-specs/version/28525?chg_unit=1&amp;spec_unit=european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http://www.autoviva.com/peugeot_ion-specs/version/28525?chg_unit=1&amp;spec_unit=european</t>
        </r>
      </text>
    </comment>
    <comment ref="AE33" authorId="0" shapeId="0">
      <text>
        <r>
          <rPr>
            <b/>
            <sz val="9"/>
            <color indexed="81"/>
            <rFont val="Tahoma"/>
            <family val="2"/>
          </rPr>
          <t>http://media.peugeot.co.uk/file/99/5/ion-prices-and-specs.114995.pdf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https://www.porsche.com/microsite/mission-e/international.aspx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</rPr>
          <t xml:space="preserve">432cell x 3.67x60Ah
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https://en.wikipedia.org/wiki/Porsche_Mission_E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https://www.porsche.com/microsite/mission-e/international.aspx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https://www.porsche.com/microsite/mission-e/international.aspx
https://www.autocarindia.com/car-news/production-spec-porsche-mission-e-to-arrive-by-2020-406628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</rPr>
          <t>https://www.autocarindia.com/car-news/production-spec-porsche-mission-e-to-arrive-by-2020-406628</t>
        </r>
      </text>
    </comment>
    <comment ref="V34" authorId="0" shapeId="0">
      <text>
        <r>
          <rPr>
            <b/>
            <sz val="9"/>
            <color indexed="81"/>
            <rFont val="Tahoma"/>
            <family val="2"/>
          </rPr>
          <t>https://www.autoblog.com/2018/10/17/porsche-taycan-price-tesla-model-s/</t>
        </r>
      </text>
    </comment>
    <comment ref="AC34" authorId="0" shapeId="0">
      <text>
        <r>
          <rPr>
            <b/>
            <sz val="9"/>
            <color indexed="81"/>
            <rFont val="Tahoma"/>
            <family val="2"/>
          </rPr>
          <t>Based on 270Wh/kg</t>
        </r>
      </text>
    </comment>
    <comment ref="AD34" authorId="0" shapeId="0">
      <text>
        <r>
          <rPr>
            <b/>
            <sz val="9"/>
            <color indexed="81"/>
            <rFont val="Tahoma"/>
            <family val="2"/>
          </rPr>
          <t>https://newsroom.porsche.com/en/products/porsche-taycan-mission-e-drive-unit-battery-charging-electro-mobility-dossier-sportscar-production-christophorus-387-15827.html</t>
        </r>
      </text>
    </comment>
    <comment ref="AH34" authorId="0" shapeId="0">
      <text>
        <r>
          <rPr>
            <b/>
            <sz val="9"/>
            <color indexed="81"/>
            <rFont val="Tahoma"/>
            <family val="2"/>
          </rPr>
          <t>https://ev-database.uk/car/1116/Porsche-Mission-E</t>
        </r>
      </text>
    </comment>
    <comment ref="AI34" authorId="0" shapeId="0">
      <text>
        <r>
          <rPr>
            <b/>
            <sz val="9"/>
            <color indexed="81"/>
            <rFont val="Tahoma"/>
            <family val="2"/>
          </rPr>
          <t>https://ev-database.uk/car/1116/Porsche-Mission-E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</rPr>
          <t>https://press.renault.co.uk/models/twizy</t>
        </r>
      </text>
    </comment>
    <comment ref="J35" authorId="0" shapeId="0">
      <text>
        <r>
          <rPr>
            <sz val="9"/>
            <color indexed="81"/>
            <rFont val="Tahoma"/>
            <family val="2"/>
          </rPr>
          <t>https://www.drivingelectric.com/renault/twizy/503/renault-twizy-range-battery-and-charging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https://en.wikipedia.org/wiki/Renault_Twizy#Specifications</t>
        </r>
      </text>
    </comment>
    <comment ref="R35" authorId="0" shapeId="0">
      <text>
        <r>
          <rPr>
            <sz val="9"/>
            <color indexed="81"/>
            <rFont val="Tahoma"/>
            <family val="2"/>
          </rPr>
          <t>https://www.cdn.renault.com/content/dam/Renault/MY/electric-vehicles/twizy/b09e-twizy/b09e-phase1/product-brochures/Renault-Twizy-Pricelist-2017.pdf</t>
        </r>
      </text>
    </comment>
    <comment ref="V35" authorId="0" shapeId="0">
      <text>
        <r>
          <rPr>
            <sz val="9"/>
            <color indexed="81"/>
            <rFont val="Tahoma"/>
            <family val="2"/>
          </rPr>
          <t>https://en.wikipedia.org/wiki/Renault_Twizy#Specifications</t>
        </r>
      </text>
    </comment>
    <comment ref="W35" authorId="0" shapeId="0">
      <text>
        <r>
          <rPr>
            <b/>
            <sz val="9"/>
            <color indexed="81"/>
            <rFont val="Tahoma"/>
            <family val="2"/>
          </rPr>
          <t>http://forum.evowners.com/t/twizys-charging-configuration/3183/8</t>
        </r>
      </text>
    </comment>
    <comment ref="AA35" authorId="0" shapeId="0">
      <text>
        <r>
          <rPr>
            <sz val="9"/>
            <color indexed="81"/>
            <rFont val="Tahoma"/>
            <family val="2"/>
          </rPr>
          <t>http://iuv.sdis86.net/wp-content/uploads/2015/07/RENAULT_TWIZY_2012.pdf</t>
        </r>
      </text>
    </comment>
    <comment ref="AB35" authorId="0" shapeId="0">
      <text>
        <r>
          <rPr>
            <b/>
            <sz val="9"/>
            <color indexed="81"/>
            <rFont val="Tahoma"/>
            <family val="2"/>
          </rPr>
          <t>http://forum.evowners.com/t/twizys-charging-configuration/3183/8</t>
        </r>
      </text>
    </comment>
    <comment ref="AC35" authorId="0" shapeId="0">
      <text>
        <r>
          <rPr>
            <b/>
            <sz val="9"/>
            <color indexed="81"/>
            <rFont val="Tahoma"/>
            <family val="2"/>
          </rPr>
          <t>http://shop.envites.de/images/pdf_my/LithiumIon43.pdf</t>
        </r>
      </text>
    </comment>
    <comment ref="AE35" authorId="0" shapeId="0">
      <text>
        <r>
          <rPr>
            <b/>
            <sz val="9"/>
            <color indexed="81"/>
            <rFont val="Tahoma"/>
            <family val="2"/>
          </rPr>
          <t>http://iuv.sdis86.net/wp-content/uploads/2015/07/RENAULT_TWIZY_2012.pdf</t>
        </r>
      </text>
    </comment>
    <comment ref="AH35" authorId="0" shapeId="0">
      <text>
        <r>
          <rPr>
            <sz val="9"/>
            <color indexed="81"/>
            <rFont val="Tahoma"/>
            <family val="2"/>
          </rPr>
          <t>http://iuv.sdis86.net/wp-content/uploads/2015/07/RENAULT_TWIZY_2012.pdf</t>
        </r>
      </text>
    </comment>
    <comment ref="S36" authorId="0" shapeId="0">
      <text>
        <r>
          <rPr>
            <b/>
            <sz val="9"/>
            <color indexed="81"/>
            <rFont val="Tahoma"/>
            <family val="2"/>
          </rPr>
          <t>http://www.planeterenault.com/UserFiles/files/doc/2%20Caract%C3%A9ristiques%20techniques%20Nouveau%20Renault%20ZOE.pdf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6" authorId="0" shapeId="0">
      <text>
        <r>
          <rPr>
            <b/>
            <sz val="9"/>
            <color indexed="81"/>
            <rFont val="Tahoma"/>
            <family val="2"/>
          </rPr>
          <t>https://www.technologicvehicles.com/fr/details/218/renault-zoe-prix-et-fiche-technique#.WkdSDWyD6Uk</t>
        </r>
      </text>
    </comment>
    <comment ref="S37" authorId="0" shapeId="0">
      <text>
        <r>
          <rPr>
            <b/>
            <sz val="9"/>
            <color indexed="81"/>
            <rFont val="Tahoma"/>
            <family val="2"/>
          </rPr>
          <t>http://www.planeterenault.com/UserFiles/files/doc/2%20Caract%C3%A9ristiques%20techniques%20Nouveau%20Renault%20ZOE.pdf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7" authorId="0" shapeId="0">
      <text>
        <r>
          <rPr>
            <b/>
            <sz val="9"/>
            <color indexed="81"/>
            <rFont val="Tahoma"/>
            <family val="2"/>
          </rPr>
          <t>https://www.technologicvehicles.com/fr/details/218/renault-zoe-prix-et-fiche-technique#.WkdSDWyD6Uk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http://www.planeterenault.com/UserFiles/files/doc/2%20Caract%C3%A9ristiques%20techniques%20Nouveau%20Renault%20ZOE.pdf</t>
        </r>
      </text>
    </comment>
    <comment ref="T38" authorId="0" shapeId="0">
      <text>
        <r>
          <rPr>
            <b/>
            <sz val="9"/>
            <color indexed="81"/>
            <rFont val="Tahoma"/>
            <family val="2"/>
          </rPr>
          <t>https://www.technologicvehicles.com/fr/details/218/renault-zoe-prix-et-fiche-technique#.WkdSDWyD6Uk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8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X38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AC38" authorId="0" shapeId="0">
      <text>
        <r>
          <rPr>
            <b/>
            <sz val="9"/>
            <color indexed="81"/>
            <rFont val="Tahoma"/>
            <family val="2"/>
          </rPr>
          <t>Energy density = 225Wh/kg
https://eqresearch.bnpparibas.com/researchfs/SRF__24b0dccf4673435ca37c960e31e6eafc.pdf</t>
        </r>
      </text>
    </comment>
    <comment ref="AD38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S39" authorId="0" shapeId="0">
      <text>
        <r>
          <rPr>
            <b/>
            <sz val="9"/>
            <color indexed="81"/>
            <rFont val="Tahoma"/>
            <family val="2"/>
          </rPr>
          <t>http://www.planeterenault.com/UserFiles/files/doc/2%20Caract%C3%A9ristiques%20techniques%20Nouveau%20Renault%20ZOE.pdf</t>
        </r>
      </text>
    </comment>
    <comment ref="T39" authorId="0" shapeId="0">
      <text>
        <r>
          <rPr>
            <b/>
            <sz val="9"/>
            <color indexed="81"/>
            <rFont val="Tahoma"/>
            <family val="2"/>
          </rPr>
          <t>https://www.technologicvehicles.com/fr/details/218/renault-zoe-prix-et-fiche-technique#.WkdSDWyD6Uk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X39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AC39" authorId="0" shapeId="0">
      <text>
        <r>
          <rPr>
            <b/>
            <sz val="9"/>
            <color indexed="81"/>
            <rFont val="Tahoma"/>
            <family val="2"/>
          </rPr>
          <t>Energy density = 225Wh/kg
https://eqresearch.bnpparibas.com/researchfs/SRF__24b0dccf4673435ca37c960e31e6eafc.pdf</t>
        </r>
      </text>
    </comment>
    <comment ref="AD39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F40" authorId="0" shapeId="0">
      <text>
        <r>
          <rPr>
            <sz val="9"/>
            <color indexed="81"/>
            <rFont val="Tahoma"/>
            <family val="2"/>
          </rPr>
          <t>https://www.largus.fr/actualite-automobile/renault-zoe-r110-le-test-de-la-plus-puissante-des-zoe-9209406.html</t>
        </r>
      </text>
    </comment>
    <comment ref="G40" authorId="0" shapeId="0">
      <text>
        <r>
          <rPr>
            <b/>
            <sz val="9"/>
            <color indexed="81"/>
            <rFont val="Tahoma"/>
            <family val="2"/>
          </rPr>
          <t>https://www.caradisiac.com/la-renault-zoe-ze40-r110-jusqu-a-la-panne-la-norme-nedc-depassee-de-plus-de-160-km-170188.htm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</rPr>
          <t>https://www.carleasingmadesimple.com/data/renault/zoe/kerb-weight/</t>
        </r>
      </text>
    </comment>
    <comment ref="P40" authorId="0" shapeId="0">
      <text>
        <r>
          <rPr>
            <b/>
            <sz val="9"/>
            <color indexed="81"/>
            <rFont val="Tahoma"/>
            <family val="2"/>
          </rPr>
          <t>http://www.automobile-propre.com/essai-renault-zoe-r110-une-poignee-de-chevaux-pour-mieux-seduire/</t>
        </r>
      </text>
    </comment>
    <comment ref="Q40" authorId="0" shapeId="0">
      <text>
        <r>
          <rPr>
            <b/>
            <sz val="9"/>
            <color indexed="81"/>
            <rFont val="Tahoma"/>
            <family val="2"/>
          </rPr>
          <t>https://www.largus.fr/actualite-automobile/renault-zoe-r110-le-test-de-la-plus-puissante-des-zoe-9209406.html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</rPr>
          <t>https://www.largus.fr/actualite-automobile/renault-zoe-r110-le-test-de-la-plus-puissante-des-zoe-9209406.html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</rPr>
          <t>http://www.planeterenault.com/UserFiles/files/doc/2%20Caract%C3%A9ristiques%20techniques%20Nouveau%20Renault%20ZOE.pdf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https://www.technologicvehicles.com/fr/details/218/renault-zoe-prix-et-fiche-technique#.WkdSDWyD6Uk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40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X40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AC40" authorId="0" shapeId="0">
      <text>
        <r>
          <rPr>
            <b/>
            <sz val="9"/>
            <color indexed="81"/>
            <rFont val="Tahoma"/>
            <family val="2"/>
          </rPr>
          <t>Energy density = 225Wh/kg
https://eqresearch.bnpparibas.com/researchfs/SRF__24b0dccf4673435ca37c960e31e6eafc.pdf</t>
        </r>
      </text>
    </comment>
    <comment ref="AD40" authorId="0" shapeId="0">
      <text>
        <r>
          <rPr>
            <b/>
            <sz val="9"/>
            <color indexed="81"/>
            <rFont val="Tahoma"/>
            <family val="2"/>
          </rPr>
          <t>https://eqresearch.bnpparibas.com/researchfs/SRF__24b0dccf4673435ca37c960e31e6eafc.pdf</t>
        </r>
      </text>
    </comment>
    <comment ref="N41" authorId="0" shapeId="0">
      <text>
        <r>
          <rPr>
            <b/>
            <sz val="9"/>
            <color indexed="81"/>
            <rFont val="Tahoma"/>
            <family val="2"/>
          </rPr>
          <t>https://www.smart.com/content/dam/smart/EN/PDF/smart_electric_drive_Broschuere_en_INT.indd.pdf</t>
        </r>
      </text>
    </comment>
    <comment ref="P41" authorId="0" shapeId="0">
      <text>
        <r>
          <rPr>
            <b/>
            <sz val="9"/>
            <color indexed="81"/>
            <rFont val="Tahoma"/>
            <family val="2"/>
          </rPr>
          <t>https://www.smart.com/content/dam/smart/EN/PDF/smart_electric_drive_Broschuere_en_INT.indd.pdf
https://en.wikipedia.org/wiki/Smart_electric_drive</t>
        </r>
      </text>
    </comment>
    <comment ref="Q41" authorId="0" shapeId="0">
      <text>
        <r>
          <rPr>
            <b/>
            <sz val="9"/>
            <color indexed="81"/>
            <rFont val="Tahoma"/>
            <family val="2"/>
          </rPr>
          <t>https://www.smart.com/content/dam/smart/EN/PDF/smart_electric_drive_Broschuere_en_INT.indd.pdf
https://en.wikipedia.org/wiki/Smart_electric_drive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</rPr>
          <t>https://www.smart.com/content/dam/smart/EN/PDF/smart_electric_drive_Broschuere_en_INT.indd.pdf
https://en.wikipedia.org/wiki/Smart_electric_drive</t>
        </r>
      </text>
    </comment>
    <comment ref="S41" authorId="0" shapeId="0">
      <text>
        <r>
          <rPr>
            <b/>
            <sz val="9"/>
            <color indexed="81"/>
            <rFont val="Tahoma"/>
            <family val="2"/>
          </rPr>
          <t>https://www.auto-motor-und-sport.de/news/spritsparpotential-leichtbau-ist-nicht-das-wichtigste/</t>
        </r>
      </text>
    </comment>
    <comment ref="T41" authorId="0" shapeId="0">
      <text>
        <r>
          <rPr>
            <b/>
            <sz val="9"/>
            <color indexed="81"/>
            <rFont val="Tahoma"/>
            <family val="2"/>
          </rPr>
          <t>https://www.auto-motor-und-sport.de/news/spritsparpotential-leichtbau-ist-nicht-das-wichtigste/</t>
        </r>
      </text>
    </comment>
    <comment ref="W41" authorId="0" shapeId="0">
      <text>
        <r>
          <rPr>
            <b/>
            <sz val="9"/>
            <color indexed="81"/>
            <rFont val="Tahoma"/>
            <family val="2"/>
          </rPr>
          <t>https://avt.inl.gov/sites/default/files/pdf/fsev/batteryElectric2457.pdf</t>
        </r>
      </text>
    </comment>
    <comment ref="AB41" authorId="0" shapeId="0">
      <text>
        <r>
          <rPr>
            <b/>
            <sz val="9"/>
            <color indexed="81"/>
            <rFont val="Tahoma"/>
            <family val="2"/>
          </rPr>
          <t>https://www.smart.com/content/dam/smart/EN/PDF/smart_electric_drive_Broschuere_en_INT.indd.pdf</t>
        </r>
      </text>
    </comment>
    <comment ref="AC41" authorId="0" shapeId="0">
      <text>
        <r>
          <rPr>
            <b/>
            <sz val="9"/>
            <color indexed="81"/>
            <rFont val="Tahoma"/>
            <family val="2"/>
          </rPr>
          <t>http://www.maynards.com/media/components/ams/events/AAKRR101315/LiTec-Expose_compressed.pdf</t>
        </r>
      </text>
    </comment>
    <comment ref="AE41" authorId="0" shapeId="0">
      <text>
        <r>
          <rPr>
            <b/>
            <sz val="9"/>
            <color indexed="81"/>
            <rFont val="Tahoma"/>
            <family val="2"/>
          </rPr>
          <t>https://avt.inl.gov/sites/default/files/pdf/fsev/batteryElectric2457.pdf</t>
        </r>
      </text>
    </comment>
    <comment ref="AG41" authorId="0" shapeId="0">
      <text>
        <r>
          <rPr>
            <b/>
            <sz val="9"/>
            <color indexed="81"/>
            <rFont val="Tahoma"/>
            <family val="2"/>
          </rPr>
          <t>https://avt.inl.gov/sites/default/files/pdf/fsev/batteryElectric2457.pdf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https://insideevs.com/2017-smart-ed-loses-range/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https://www.smart.com/fr/fr/accueil-smart-fortwo/smart-fortwo-electric-drive-453/technical-data.html</t>
        </r>
      </text>
    </comment>
    <comment ref="N42" authorId="0" shapeId="0">
      <text>
        <r>
          <rPr>
            <b/>
            <sz val="9"/>
            <color indexed="81"/>
            <rFont val="Tahoma"/>
            <family val="2"/>
          </rPr>
          <t>https://www.smart.com/fr/fr/accueil-smart-fortwo/smart-fortwo-electric-drive-453/technical-data.html</t>
        </r>
      </text>
    </comment>
    <comment ref="P42" authorId="0" shapeId="0">
      <text>
        <r>
          <rPr>
            <b/>
            <sz val="9"/>
            <color indexed="81"/>
            <rFont val="Tahoma"/>
            <family val="2"/>
          </rPr>
          <t>https://tools.mercedes-benz.co.uk/current/smart/pricelists/smart-electric-drive.pdf</t>
        </r>
      </text>
    </comment>
    <comment ref="Q42" authorId="0" shapeId="0">
      <text>
        <r>
          <rPr>
            <b/>
            <sz val="9"/>
            <color indexed="81"/>
            <rFont val="Tahoma"/>
            <family val="2"/>
          </rPr>
          <t>https://tools.mercedes-benz.co.uk/current/smart/pricelists/smart-electric-drive.pdf</t>
        </r>
      </text>
    </comment>
    <comment ref="R42" authorId="0" shapeId="0">
      <text>
        <r>
          <rPr>
            <b/>
            <sz val="9"/>
            <color indexed="81"/>
            <rFont val="Tahoma"/>
            <family val="2"/>
          </rPr>
          <t>https://www.smart.com/fr/fr/accueil-smart-fortwo/smart-fortwo-electric-drive-453/technical-data.html</t>
        </r>
      </text>
    </comment>
    <comment ref="S42" authorId="0" shapeId="0">
      <text>
        <r>
          <rPr>
            <b/>
            <sz val="9"/>
            <color indexed="81"/>
            <rFont val="Tahoma"/>
            <family val="2"/>
          </rPr>
          <t>https://www.auto-motor-und-sport.de/news/spritsparpotential-leichtbau-ist-nicht-das-wichtigste/</t>
        </r>
      </text>
    </comment>
    <comment ref="T42" authorId="0" shapeId="0">
      <text>
        <r>
          <rPr>
            <b/>
            <sz val="9"/>
            <color indexed="81"/>
            <rFont val="Tahoma"/>
            <family val="2"/>
          </rPr>
          <t>https://www.auto-motor-und-sport.de/news/spritsparpotential-leichtbau-ist-nicht-das-wichtigste/</t>
        </r>
      </text>
    </comment>
    <comment ref="V42" authorId="0" shapeId="0">
      <text>
        <r>
          <rPr>
            <b/>
            <sz val="9"/>
            <color indexed="81"/>
            <rFont val="Tahoma"/>
            <family val="2"/>
          </rPr>
          <t>https://insideevs.com/next-gen-smart-fortwo-ed-use-lg-chem-cells/</t>
        </r>
      </text>
    </comment>
    <comment ref="W42" authorId="0" shapeId="0">
      <text>
        <r>
          <rPr>
            <b/>
            <sz val="9"/>
            <color indexed="81"/>
            <rFont val="Tahoma"/>
            <family val="2"/>
          </rPr>
          <t>https://www.youtube.com/watch?v=LkPVCO1vD7k 
1:19</t>
        </r>
      </text>
    </comment>
    <comment ref="AB42" authorId="0" shapeId="0">
      <text>
        <r>
          <rPr>
            <b/>
            <sz val="9"/>
            <color indexed="81"/>
            <rFont val="Tahoma"/>
            <family val="2"/>
          </rPr>
          <t>https://tools.mercedes-benz.co.uk/current/smart/pricelists/smart-electric-drive.pdf</t>
        </r>
      </text>
    </comment>
    <comment ref="AE42" authorId="0" shapeId="0">
      <text>
        <r>
          <rPr>
            <b/>
            <sz val="9"/>
            <color indexed="81"/>
            <rFont val="Tahoma"/>
            <family val="2"/>
          </rPr>
          <t>https://www.youtube.com/watch?v=LkPVCO1vD7k 
9:17</t>
        </r>
      </text>
    </comment>
    <comment ref="AH42" authorId="0" shapeId="0">
      <text>
        <r>
          <rPr>
            <b/>
            <sz val="9"/>
            <color indexed="81"/>
            <rFont val="Tahoma"/>
            <family val="2"/>
          </rPr>
          <t>https://tools.mercedes-benz.co.uk/current/smart/pricelists/smart-electric-drive.pdf</t>
        </r>
      </text>
    </comment>
    <comment ref="S43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</text>
    </comment>
    <comment ref="AJ43" authorId="0" shapeId="0">
      <text>
        <r>
          <rPr>
            <b/>
            <sz val="9"/>
            <color indexed="81"/>
            <rFont val="Tahoma"/>
            <family val="2"/>
          </rPr>
          <t>https://insideevs.com/supercharging-tesla-model-s-60-kwh-versus-85-kwh-video-graphs/</t>
        </r>
      </text>
    </comment>
    <comment ref="S44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</text>
    </comment>
    <comment ref="S45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5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</text>
    </comment>
    <comment ref="S46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6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</text>
    </comment>
    <comment ref="AJ46" authorId="0" shapeId="0">
      <text>
        <r>
          <rPr>
            <b/>
            <sz val="9"/>
            <color indexed="81"/>
            <rFont val="Tahoma"/>
            <family val="2"/>
          </rPr>
          <t>https://insideevs.com/supercharging-tesla-model-s-60-kwh-versus-85-kwh-video-graphs/</t>
        </r>
      </text>
    </comment>
    <comment ref="S47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7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</text>
    </comment>
    <comment ref="S48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8" authorId="0" shapeId="0">
      <text>
        <r>
          <rPr>
            <b/>
            <sz val="9"/>
            <color indexed="81"/>
            <rFont val="Tahoma"/>
            <family val="2"/>
          </rPr>
          <t>Source 1 :
https://www.tesla.com/sites/default/files/blog_attachments/the-slipperiest-car-on-the-road.pdf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J49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P49" authorId="0" shapeId="0">
      <text>
        <r>
          <rPr>
            <b/>
            <sz val="9"/>
            <color indexed="81"/>
            <rFont val="Tahoma"/>
            <family val="2"/>
          </rPr>
          <t>https://www.guideautoweb.com/constructeurs/tesla/model-x/2018/specifications/75d/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0" shapeId="0">
      <text>
        <r>
          <rPr>
            <b/>
            <sz val="9"/>
            <color indexed="81"/>
            <rFont val="Tahoma"/>
            <family val="2"/>
          </rPr>
          <t>https://www.guideautoweb.com/constructeurs/tesla/model-x/2018/specifications/75d/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S49" authorId="0" shapeId="0">
      <text>
        <r>
          <rPr>
            <b/>
            <sz val="9"/>
            <color indexed="81"/>
            <rFont val="Tahoma"/>
            <family val="2"/>
          </rPr>
          <t>https://www.reddit.com/r/teslamotors/comments/3mxzbx/the_model_x_has_a_drag_coefficient_of_024_i/</t>
        </r>
      </text>
    </comment>
    <comment ref="T49" authorId="0" shapeId="0">
      <text>
        <r>
          <rPr>
            <b/>
            <sz val="9"/>
            <color indexed="81"/>
            <rFont val="Tahoma"/>
            <family val="2"/>
          </rPr>
          <t xml:space="preserve">http://www.caradisiac.com/essai-video-tesla-model-x-navette-speciale-109951.htm
https://www.viinz.com/automobile/test-tesla-model-x-100d-photos/
http://www.leblogauto.com/2015/09/tesla-model-x-habitable-sur-et-performant.html
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J50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R50" authorId="0" shapeId="0">
      <text>
        <r>
          <rPr>
            <b/>
            <sz val="9"/>
            <color indexed="81"/>
            <rFont val="Tahoma"/>
            <family val="2"/>
          </rPr>
          <t>https://fr.wikipedia.org/wiki/Tesla_Model_X</t>
        </r>
      </text>
    </comment>
    <comment ref="S50" authorId="0" shapeId="0">
      <text>
        <r>
          <rPr>
            <b/>
            <sz val="9"/>
            <color indexed="81"/>
            <rFont val="Tahoma"/>
            <family val="2"/>
          </rPr>
          <t>https://www.reddit.com/r/teslamotors/comments/3mxzbx/the_model_x_has_a_drag_coefficient_of_024_i/</t>
        </r>
      </text>
    </comment>
    <comment ref="T50" authorId="0" shapeId="0">
      <text>
        <r>
          <rPr>
            <b/>
            <sz val="9"/>
            <color indexed="81"/>
            <rFont val="Tahoma"/>
            <family val="2"/>
          </rPr>
          <t xml:space="preserve">http://www.caradisiac.com/essai-video-tesla-model-x-navette-speciale-109951.htm
https://www.viinz.com/automobile/test-tesla-model-x-100d-photos/
http://www.leblogauto.com/2015/09/tesla-model-x-habitable-sur-et-performant.html
</t>
        </r>
      </text>
    </comment>
    <comment ref="S51" authorId="0" shapeId="0">
      <text>
        <r>
          <rPr>
            <b/>
            <sz val="9"/>
            <color indexed="81"/>
            <rFont val="Tahoma"/>
            <family val="2"/>
          </rPr>
          <t>frontal Area = 2.168m2
http://www.automobile-propre.com/forums/post192170.html#p192170</t>
        </r>
      </text>
    </comment>
    <comment ref="T51" authorId="0" shapeId="0">
      <text>
        <r>
          <rPr>
            <b/>
            <sz val="9"/>
            <color indexed="81"/>
            <rFont val="Tahoma"/>
            <family val="2"/>
          </rPr>
          <t>https://www.tesla.com/presskit</t>
        </r>
      </text>
    </comment>
    <comment ref="AE51" authorId="0" shapeId="0">
      <text>
        <r>
          <rPr>
            <b/>
            <sz val="9"/>
            <color indexed="81"/>
            <rFont val="Tahoma"/>
            <family val="2"/>
          </rPr>
          <t>Based on Curb weight between  LR /SR:
1610-(1730-478)</t>
        </r>
      </text>
    </comment>
    <comment ref="AJ51" authorId="0" shapeId="0">
      <text>
        <r>
          <rPr>
            <b/>
            <sz val="9"/>
            <color indexed="81"/>
            <rFont val="Tahoma"/>
            <family val="2"/>
          </rPr>
          <t>https://www.youtube.com/watch?v=IAsvlHKkEyI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https://insideevs.com/tesla-model-3-mid-range-battery-62-kwh/</t>
        </r>
      </text>
    </comment>
    <comment ref="S52" authorId="0" shapeId="0">
      <text>
        <r>
          <rPr>
            <b/>
            <sz val="9"/>
            <color indexed="81"/>
            <rFont val="Tahoma"/>
            <family val="2"/>
          </rPr>
          <t>frontal Area = 2.168m2
http://www.automobile-propre.com/forums/post192170.html#p192170</t>
        </r>
      </text>
    </comment>
    <comment ref="T52" authorId="0" shapeId="0">
      <text>
        <r>
          <rPr>
            <b/>
            <sz val="9"/>
            <color indexed="81"/>
            <rFont val="Tahoma"/>
            <family val="2"/>
          </rPr>
          <t>https://www.tesla.com/presskit</t>
        </r>
      </text>
    </comment>
    <comment ref="AE52" authorId="0" shapeId="0">
      <text>
        <r>
          <rPr>
            <b/>
            <sz val="9"/>
            <color indexed="81"/>
            <rFont val="Tahoma"/>
            <family val="2"/>
          </rPr>
          <t>Based on Curb weight between  LR /MR</t>
        </r>
      </text>
    </comment>
    <comment ref="S53" authorId="0" shapeId="0">
      <text>
        <r>
          <rPr>
            <b/>
            <sz val="9"/>
            <color indexed="81"/>
            <rFont val="Tahoma"/>
            <family val="2"/>
          </rPr>
          <t>frontal Area = 2.168m2
http://www.automobile-propre.com/forums/post192170.html#p192170</t>
        </r>
      </text>
    </comment>
    <comment ref="T53" authorId="0" shapeId="0">
      <text>
        <r>
          <rPr>
            <b/>
            <sz val="9"/>
            <color indexed="81"/>
            <rFont val="Tahoma"/>
            <family val="2"/>
          </rPr>
          <t>https://www.tesla.com/presskit</t>
        </r>
      </text>
    </comment>
    <comment ref="AE53" authorId="0" shapeId="0">
      <text>
        <r>
          <rPr>
            <b/>
            <sz val="9"/>
            <color indexed="81"/>
            <rFont val="Tahoma"/>
            <family val="2"/>
          </rPr>
          <t>https://evannex.com/blogs/news/tesla-s-battery-pack-is-both-mysterious-and-alluring-work-in-progress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http://www.greencarcongress.com/2014/07/20140721-egolf.html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4" authorId="0" shapeId="0">
      <text>
        <r>
          <rPr>
            <b/>
            <sz val="9"/>
            <color indexed="81"/>
            <rFont val="Tahoma"/>
            <family val="2"/>
          </rPr>
          <t>Source : https://media.vw.com/en-us/releases/347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54" authorId="0" shapeId="0">
      <text>
        <r>
          <rPr>
            <b/>
            <sz val="9"/>
            <color indexed="81"/>
            <rFont val="Tahoma"/>
            <family val="2"/>
          </rPr>
          <t>https://support.fastned.nl/hc/en-gb/articles/205205168-Charging-with-a-Volkswagen-e-Golf-or-e-up-</t>
        </r>
      </text>
    </comment>
    <comment ref="S55" authorId="0" shapeId="0">
      <text>
        <r>
          <rPr>
            <b/>
            <sz val="9"/>
            <color indexed="81"/>
            <rFont val="Tahoma"/>
            <family val="2"/>
          </rPr>
          <t>http://www.greencarcongress.com/2014/07/20140721-egolf.html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55" authorId="0" shapeId="0">
      <text>
        <r>
          <rPr>
            <b/>
            <sz val="9"/>
            <color indexed="81"/>
            <rFont val="Tahoma"/>
            <family val="2"/>
          </rPr>
          <t>Source : https://media.vw.com/en-us/releases/347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55" authorId="0" shapeId="0">
      <text>
        <r>
          <rPr>
            <b/>
            <sz val="9"/>
            <color indexed="81"/>
            <rFont val="Tahoma"/>
            <family val="2"/>
          </rPr>
          <t>https://support.fastned.nl/hc/en-gb/articles/205205168-Charging-with-a-Volkswagen-e-Golf-or-e-up-</t>
        </r>
      </text>
    </comment>
    <comment ref="T56" authorId="0" shapeId="0">
      <text>
        <r>
          <rPr>
            <b/>
            <sz val="9"/>
            <color indexed="81"/>
            <rFont val="Tahoma"/>
            <family val="2"/>
          </rPr>
          <t>http://www.autoexpress.co.uk/volkswagen/e/85974/volkswagen-e-vs-renault-zoe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56" authorId="0" shapeId="0">
      <text>
        <r>
          <rPr>
            <b/>
            <sz val="9"/>
            <color indexed="81"/>
            <rFont val="Tahoma"/>
            <family val="2"/>
          </rPr>
          <t>http://pushevs.com/2016/01/26/battery-upgrades-in-2016/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56" authorId="0" shapeId="0">
      <text>
        <r>
          <rPr>
            <b/>
            <sz val="9"/>
            <color indexed="81"/>
            <rFont val="Tahoma"/>
            <family val="2"/>
          </rPr>
          <t>http://www.greencarcongress.com/2013/09/20130911-vw.html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56" authorId="0" shapeId="0">
      <text>
        <r>
          <rPr>
            <b/>
            <sz val="9"/>
            <color indexed="81"/>
            <rFont val="Tahoma"/>
            <family val="2"/>
          </rPr>
          <t>http://www.greencarcongress.com/2013/09/20130911-vw.html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<sst xmlns="http://schemas.openxmlformats.org/spreadsheetml/2006/main" count="455" uniqueCount="217">
  <si>
    <t>Samsung</t>
  </si>
  <si>
    <t>AESC</t>
  </si>
  <si>
    <t>Cell type</t>
  </si>
  <si>
    <t>Panasonic</t>
  </si>
  <si>
    <t>Pouch</t>
  </si>
  <si>
    <t>Cylindrical</t>
  </si>
  <si>
    <t>SK Innovation</t>
  </si>
  <si>
    <t>Number of cell</t>
  </si>
  <si>
    <t>Energy density (cell)
Wh/kg</t>
  </si>
  <si>
    <t>Energy density (pack)
Wh/kg</t>
  </si>
  <si>
    <t xml:space="preserve">AESC </t>
  </si>
  <si>
    <t>Prismatic</t>
  </si>
  <si>
    <t>Anothe / Cathode 
Technology</t>
  </si>
  <si>
    <t>Graphite / NMC</t>
  </si>
  <si>
    <t>Graphite / LMO</t>
  </si>
  <si>
    <t>Graphite / LMO-NMC</t>
  </si>
  <si>
    <t>LG Chem</t>
  </si>
  <si>
    <t>Graphite / NMC (Ni-Rich)</t>
  </si>
  <si>
    <t>EPA Range (km)</t>
  </si>
  <si>
    <t>-</t>
  </si>
  <si>
    <t>5376 (84s64p)</t>
  </si>
  <si>
    <t>6216 (84s74p)</t>
  </si>
  <si>
    <t>7104 (96s74p)</t>
  </si>
  <si>
    <t>8256 (96s86p)</t>
  </si>
  <si>
    <t>192 (96s2p)</t>
  </si>
  <si>
    <t>288 (96s3p)</t>
  </si>
  <si>
    <t>Graphite / NCA</t>
  </si>
  <si>
    <t>Graphite-Silicon / NCA</t>
  </si>
  <si>
    <t>Cell Suplier</t>
  </si>
  <si>
    <t>Cell capacity 
(Ah)</t>
  </si>
  <si>
    <t>Cell voltage
(V)</t>
  </si>
  <si>
    <t>Weight of 
Battery pack (kg)</t>
  </si>
  <si>
    <t>Weight of 
cell (g)</t>
  </si>
  <si>
    <t>Battery capacity 
(kWh)</t>
  </si>
  <si>
    <t>96 (96s1p)</t>
  </si>
  <si>
    <t>Torque (Nm)</t>
  </si>
  <si>
    <t>SCx</t>
  </si>
  <si>
    <t>Consommation EPA
Combined
kWh / 100mi</t>
  </si>
  <si>
    <t>Consommation EPA
Combined
kWh / 100km</t>
  </si>
  <si>
    <t>Power (kW)</t>
  </si>
  <si>
    <t>Power (hp)</t>
  </si>
  <si>
    <t>Rated 
Voltage (V)</t>
  </si>
  <si>
    <t>NEDC range (km)</t>
  </si>
  <si>
    <t>Consumption
(Based on EPA Range &amp; Usable battery (kWh/100km)</t>
  </si>
  <si>
    <t>Cx / Cd</t>
  </si>
  <si>
    <t>Date</t>
  </si>
  <si>
    <t>Author</t>
  </si>
  <si>
    <t>Modification</t>
  </si>
  <si>
    <t>Chris.</t>
  </si>
  <si>
    <t>Initial version</t>
  </si>
  <si>
    <t>57 / 68</t>
  </si>
  <si>
    <t>77 / 92</t>
  </si>
  <si>
    <t>210 / 225</t>
  </si>
  <si>
    <t>340 / 351</t>
  </si>
  <si>
    <t>375 / 387</t>
  </si>
  <si>
    <t>18.2 / 17.7</t>
  </si>
  <si>
    <t>315 / 329</t>
  </si>
  <si>
    <t>235 / 245</t>
  </si>
  <si>
    <t>441 / 525</t>
  </si>
  <si>
    <t>370 / 390</t>
  </si>
  <si>
    <t>420 / 442</t>
  </si>
  <si>
    <t>401 / 417</t>
  </si>
  <si>
    <t>471 / 490</t>
  </si>
  <si>
    <t>18.6 / 17.7</t>
  </si>
  <si>
    <t>18.1 / 17.4</t>
  </si>
  <si>
    <t>426 / 438</t>
  </si>
  <si>
    <t>502 / 528</t>
  </si>
  <si>
    <t>278 / 311</t>
  </si>
  <si>
    <t>373 / 417</t>
  </si>
  <si>
    <t>441 / 658</t>
  </si>
  <si>
    <t>473 / 430</t>
  </si>
  <si>
    <t>528 / 509</t>
  </si>
  <si>
    <t>17.3 / 19.1</t>
  </si>
  <si>
    <t>311 / 345</t>
  </si>
  <si>
    <t>417 / 463</t>
  </si>
  <si>
    <t>658 / 931</t>
  </si>
  <si>
    <t>540 / 507</t>
  </si>
  <si>
    <t>632 / 613</t>
  </si>
  <si>
    <t>18.1 / 19.3</t>
  </si>
  <si>
    <t>- / 451</t>
  </si>
  <si>
    <t>- / 605</t>
  </si>
  <si>
    <t>- / 931</t>
  </si>
  <si>
    <t xml:space="preserve">- / 245 </t>
  </si>
  <si>
    <t>- / 333</t>
  </si>
  <si>
    <t>- / 525</t>
  </si>
  <si>
    <t xml:space="preserve">Add VW e-up, additional config. For Model S (RWD / AWD), and Renault Zoe </t>
  </si>
  <si>
    <t>Correction of Motor power for BMW I3 : 130 kW -&gt; 125kW, cell battery 63Ah -&gt; 60Ah</t>
  </si>
  <si>
    <t>3698 (84s44p)</t>
  </si>
  <si>
    <t>Correction of the cell capacity for the Mercedes B250e : 3.2 -&gt; 2.7Ah / Number of cell 3696</t>
  </si>
  <si>
    <t>200 (100s2p)</t>
  </si>
  <si>
    <t>2976 (96s31p)</t>
  </si>
  <si>
    <t>4416 (96s46p)</t>
  </si>
  <si>
    <t>Refrigerant Cooled</t>
  </si>
  <si>
    <t>Active-Liquid Cooled</t>
  </si>
  <si>
    <t>Passive - Air</t>
  </si>
  <si>
    <t>Battery temperature management</t>
  </si>
  <si>
    <t>Active - Air</t>
  </si>
  <si>
    <t>Add Kia soul EV 30kWh, Tesla model 3,Battery Thermal management system</t>
  </si>
  <si>
    <t>N/A</t>
  </si>
  <si>
    <t>Max AC charge (kW)</t>
  </si>
  <si>
    <t>Max DC charge (kW)</t>
  </si>
  <si>
    <t>Active-Liquid</t>
  </si>
  <si>
    <t>432 (108s4p)</t>
  </si>
  <si>
    <t>660/1074</t>
  </si>
  <si>
    <t>422 / 598</t>
  </si>
  <si>
    <t>565 / 542</t>
  </si>
  <si>
    <t>2450/2500</t>
  </si>
  <si>
    <t>20.6 / 21.1</t>
  </si>
  <si>
    <t>476 / 465</t>
  </si>
  <si>
    <t>310 / 440</t>
  </si>
  <si>
    <t>Add Tesla model X, Jaguar I-Pace, Charging option AC/DC</t>
  </si>
  <si>
    <t>Citroen C-Zero</t>
  </si>
  <si>
    <t>Peugeot iOn (2010-2012)</t>
  </si>
  <si>
    <t>Max Depth of Discharge 
(Full / Usable)</t>
  </si>
  <si>
    <t>Max C rate during charge</t>
  </si>
  <si>
    <t>GS Yuasa</t>
  </si>
  <si>
    <t>Li1Mn2O4</t>
  </si>
  <si>
    <t>Add Peugeot Ion, Mitshubishi i-MiEV, Citroen C-Zero, Hyundai Kona, Depth of Discharge, Max C rate</t>
  </si>
  <si>
    <t>Correction on Power (kW) for Peugeot Ion, Mitshubishi i-MiEV, Citroen C-Zero</t>
  </si>
  <si>
    <t>Usable Battery 
(kWh)</t>
  </si>
  <si>
    <t xml:space="preserve">Correction of Max DC charge for Ioniq, usable battery for Kia Soul </t>
  </si>
  <si>
    <t>Add Audi e-tron</t>
  </si>
  <si>
    <t>384 (96s4p)</t>
  </si>
  <si>
    <t>Add Nissan e-NV200 24kWh,40kWh; Mercedes EQC, Kia Niro EV</t>
  </si>
  <si>
    <t>Litec</t>
  </si>
  <si>
    <t>Graphite / LMO-NCA</t>
  </si>
  <si>
    <t xml:space="preserve">Active - Liquid </t>
  </si>
  <si>
    <t>432 (216s2p)</t>
  </si>
  <si>
    <t>Add Smart ED, Mercedes EQA, BMW i3 120Ah, Nissan Leaf e-plus, Porsche mission-e</t>
  </si>
  <si>
    <t>93 (93s1p)</t>
  </si>
  <si>
    <t>80 (80s1p)</t>
  </si>
  <si>
    <t>88 (88s1p)</t>
  </si>
  <si>
    <t>Curb 
Weight (kg)</t>
  </si>
  <si>
    <t>Graphite / NMC 622</t>
  </si>
  <si>
    <t>294 (98s3p)</t>
  </si>
  <si>
    <t>180 (90s2p)</t>
  </si>
  <si>
    <t>0.29</t>
  </si>
  <si>
    <t xml:space="preserve">Update Kia Soul EV battery cell, Audi e-tron Cx/SCx, Ioniq cell, </t>
  </si>
  <si>
    <t>Update Audi e-tron (Power, Torque), SCx Tesla Model 3, SCx Kia Niro EV, Litec and LG cell data for Smart ED3, Ioniq cell</t>
  </si>
  <si>
    <t>41.4 / 43</t>
  </si>
  <si>
    <t>285-310</t>
  </si>
  <si>
    <t>WLTP range (km)</t>
  </si>
  <si>
    <t xml:space="preserve">Base Price  France (EUR)
Before incentive </t>
  </si>
  <si>
    <t>Max Seats</t>
  </si>
  <si>
    <t>SOP</t>
  </si>
  <si>
    <t>EOP</t>
  </si>
  <si>
    <t>Audi e-tron 55 Quatro</t>
  </si>
  <si>
    <t>BMW i3 (3th gen)</t>
  </si>
  <si>
    <t>BMW i3 (2nd gen)</t>
  </si>
  <si>
    <t>BMW i3 (1st gen)</t>
  </si>
  <si>
    <t>Chevrolet Bolt</t>
  </si>
  <si>
    <t>Hyundai Ioniq EV</t>
  </si>
  <si>
    <t xml:space="preserve">Hyundai Kona 40 </t>
  </si>
  <si>
    <t>Hyundai Kona 64</t>
  </si>
  <si>
    <t>Jaguar I-Pace</t>
  </si>
  <si>
    <t>Kia Soul EV 30</t>
  </si>
  <si>
    <t>Kia Soul EV 27</t>
  </si>
  <si>
    <t>Kia e-Niro 64</t>
  </si>
  <si>
    <t>Mercedes B250e
With range plus</t>
  </si>
  <si>
    <t>Mercedes EQ A</t>
  </si>
  <si>
    <t>Mercedes EQ C</t>
  </si>
  <si>
    <t>Mitshubishi i-MiEV</t>
  </si>
  <si>
    <t>Nissan e-NV200 (2nd gen)</t>
  </si>
  <si>
    <t>Nissan e-NV200 (1st gen)</t>
  </si>
  <si>
    <t>Nissan Leaf I (1st gen)</t>
  </si>
  <si>
    <t>Nissan Leaf I (2nd gen)</t>
  </si>
  <si>
    <t>Nissan Leaf II (3th gen)</t>
  </si>
  <si>
    <t>Nissan Leaf e-plus</t>
  </si>
  <si>
    <t>Peugeot iOn</t>
  </si>
  <si>
    <t>Porsche Taycan</t>
  </si>
  <si>
    <t>Renault Zoe</t>
  </si>
  <si>
    <t>Renault Zoe R240</t>
  </si>
  <si>
    <t>Renault Zoe ZE40 R75 / R90</t>
  </si>
  <si>
    <t>Renault Zoe ZE40 Q90</t>
  </si>
  <si>
    <t>Renault Zoe R110</t>
  </si>
  <si>
    <t>Smart For Two ED3</t>
  </si>
  <si>
    <t>Smart For Two ED4 / EQ</t>
  </si>
  <si>
    <t>Tesla Model S 60 / 60D</t>
  </si>
  <si>
    <t xml:space="preserve">Tesla Model S 70 / 70D </t>
  </si>
  <si>
    <t>Tesla Model S 75 / 75D</t>
  </si>
  <si>
    <t xml:space="preserve">Tesla Model S 85 / 85D </t>
  </si>
  <si>
    <t>Tesla Model S 90D / P90D</t>
  </si>
  <si>
    <t>Tesla Model S 100D / P100D</t>
  </si>
  <si>
    <t>Tesla Model X 75D</t>
  </si>
  <si>
    <t>Tesla Model X 100D / P100 D</t>
  </si>
  <si>
    <t>VW eGOLF</t>
  </si>
  <si>
    <t>VW e-Up</t>
  </si>
  <si>
    <t>DS3 Crossback e-tense</t>
  </si>
  <si>
    <t>CATL</t>
  </si>
  <si>
    <t>Peugeot e-208</t>
  </si>
  <si>
    <t>Add WLTP range, Base Price (FR), Update BMW i3 120Ah, Update Audi e-tron, Update EQC, Add Renaut Zoe R110, Add DC rate (measured), Add DS3 e-tense, Add Peugeot e-208</t>
  </si>
  <si>
    <t>Kia e-Niro 40</t>
  </si>
  <si>
    <t>Max DC charge (real)</t>
  </si>
  <si>
    <t>3648 (96s38p)</t>
  </si>
  <si>
    <t>Tesla model 3 -SR 50kWh</t>
  </si>
  <si>
    <t>Tesla model 3 -MR 60kWh</t>
  </si>
  <si>
    <t>Tesla model 3 -LR 75kWh</t>
  </si>
  <si>
    <t>Hyundai Ioniq EV (2nd gen)</t>
  </si>
  <si>
    <t>116900 / 159050</t>
  </si>
  <si>
    <t>/ 90800</t>
  </si>
  <si>
    <t>112200 / 149500</t>
  </si>
  <si>
    <t>Update WLTP Range, usable battery, max DC charge rate Audi e-tron,  Add tesla medium range</t>
  </si>
  <si>
    <t>Update WLTP range for Kona / e-Niro</t>
  </si>
  <si>
    <t>Consumption
(Based on EPA Range &amp; Usable battery (Wh/mi)</t>
  </si>
  <si>
    <t>293 / 285</t>
  </si>
  <si>
    <t>299 / 285</t>
  </si>
  <si>
    <t>291 / 280</t>
  </si>
  <si>
    <t>278 / 307</t>
  </si>
  <si>
    <t>291 / 311</t>
  </si>
  <si>
    <t>332 / 340</t>
  </si>
  <si>
    <t>Add consumption Wh/mi</t>
  </si>
  <si>
    <t xml:space="preserve"> 4 / 13</t>
  </si>
  <si>
    <t xml:space="preserve"> 5 / 17</t>
  </si>
  <si>
    <t>Renault Twizy 45 / 80</t>
  </si>
  <si>
    <t>42 (14s21p)</t>
  </si>
  <si>
    <t>46-58</t>
  </si>
  <si>
    <t>Update Nissan Leaf e+ data, Add Renault Twizy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</si>
</sst>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9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4" fontId="0" fillId="0" borderId="1" xfId="0" applyNumberFormat="1" applyBorder="1"/>
    <xf numFmtId="2" fontId="4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Fill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" fontId="0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9" fontId="2" fillId="0" borderId="1" xfId="1" applyFont="1" applyBorder="1" applyAlignment="1">
      <alignment horizontal="center"/>
    </xf>
    <xf numFmtId="0" fontId="2" fillId="0" borderId="1" xfId="0" quotePrefix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Border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quotePrefix="1" applyNumberFormat="1" applyFont="1" applyBorder="1" applyAlignment="1">
      <alignment horizontal="center" wrapText="1"/>
    </xf>
    <xf numFmtId="9" fontId="0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9" fontId="0" fillId="0" borderId="2" xfId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4" fillId="0" borderId="1" xfId="0" applyNumberFormat="1" applyFont="1" applyBorder="1" applyAlignment="1">
      <alignment horizontal="center" wrapText="1"/>
    </xf>
    <xf numFmtId="9" fontId="4" fillId="0" borderId="1" xfId="1" applyFont="1" applyBorder="1" applyAlignment="1">
      <alignment horizontal="center"/>
    </xf>
    <xf numFmtId="1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 wrapText="1"/>
    </xf>
    <xf numFmtId="9" fontId="0" fillId="0" borderId="3" xfId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9" fontId="0" fillId="0" borderId="4" xfId="1" applyFon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7" fillId="0" borderId="4" xfId="0" applyFont="1" applyBorder="1" applyAlignment="1">
      <alignment horizontal="center" wrapText="1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9" fontId="2" fillId="0" borderId="2" xfId="1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7" fontId="0" fillId="0" borderId="1" xfId="0" quotePrefix="1" applyNumberForma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B2:AX75"/>
  <sheetViews>
    <sheetView showGridLines="0" tabSelected="1" topLeftCell="A2" zoomScale="80" zoomScaleNormal="80" workbookViewId="0">
      <pane xSplit="2" ySplit="2" topLeftCell="C4" activePane="bottomRight" state="frozen"/>
      <selection activeCell="A2" sqref="A2"/>
      <selection pane="topRight" activeCell="C2" sqref="C2"/>
      <selection pane="bottomLeft" activeCell="A3" sqref="A3"/>
      <selection pane="bottomRight" activeCell="U3" sqref="U3:U56"/>
    </sheetView>
  </sheetViews>
  <sheetFormatPr baseColWidth="10" defaultRowHeight="12.75" x14ac:dyDescent="0.2"/>
  <cols>
    <col min="1" max="1" width="5.7109375" customWidth="1"/>
    <col min="2" max="2" width="26.28515625" style="1" bestFit="1" customWidth="1"/>
    <col min="3" max="3" width="7.7109375" style="1" customWidth="1"/>
    <col min="4" max="4" width="7" style="1" customWidth="1"/>
    <col min="5" max="5" width="12" style="1" customWidth="1"/>
    <col min="6" max="6" width="8.140625" style="1" customWidth="1"/>
    <col min="7" max="7" width="12.28515625" style="1" customWidth="1"/>
    <col min="8" max="8" width="15.7109375" style="1" customWidth="1"/>
    <col min="9" max="9" width="9" style="1" customWidth="1"/>
    <col min="10" max="10" width="9.5703125" style="1" customWidth="1"/>
    <col min="11" max="11" width="15" style="1" customWidth="1"/>
    <col min="12" max="13" width="15.7109375" style="1" customWidth="1"/>
    <col min="14" max="14" width="11.85546875" style="1" customWidth="1"/>
    <col min="15" max="15" width="7.140625" style="1" customWidth="1"/>
    <col min="16" max="16" width="10" style="1" customWidth="1"/>
    <col min="17" max="17" width="8.85546875" style="1" customWidth="1"/>
    <col min="18" max="18" width="9" style="1" customWidth="1"/>
    <col min="19" max="21" width="7.7109375" style="1" customWidth="1"/>
    <col min="22" max="22" width="12.140625" style="1" customWidth="1"/>
    <col min="23" max="23" width="8.85546875" style="1" customWidth="1"/>
    <col min="24" max="24" width="8.140625" style="1" customWidth="1"/>
    <col min="25" max="25" width="10.85546875" style="1" customWidth="1"/>
    <col min="26" max="26" width="21.85546875" style="1" customWidth="1"/>
    <col min="27" max="27" width="9" style="1" customWidth="1"/>
    <col min="28" max="28" width="15" style="1" customWidth="1"/>
    <col min="29" max="29" width="9.7109375" style="1" customWidth="1"/>
    <col min="30" max="30" width="10.5703125" style="1" customWidth="1"/>
    <col min="31" max="31" width="10.140625" style="1" customWidth="1"/>
    <col min="32" max="32" width="8.5703125" style="1" bestFit="1" customWidth="1"/>
    <col min="33" max="33" width="15.28515625" customWidth="1"/>
    <col min="34" max="34" width="10.28515625" customWidth="1"/>
    <col min="35" max="35" width="10.140625" customWidth="1"/>
    <col min="36" max="36" width="9.7109375" customWidth="1"/>
    <col min="37" max="37" width="10.140625" customWidth="1"/>
    <col min="40" max="40" width="0" hidden="1" customWidth="1"/>
    <col min="41" max="41" width="12.5703125" hidden="1" customWidth="1"/>
    <col min="42" max="42" width="24.85546875" bestFit="1" customWidth="1"/>
    <col min="47" max="47" width="12.5703125" bestFit="1" customWidth="1"/>
    <col min="48" max="49" width="12.5703125" customWidth="1"/>
  </cols>
  <sheetData>
    <row r="2" spans="2:50" ht="3" customHeight="1" x14ac:dyDescent="0.2"/>
    <row r="3" spans="2:50" ht="63.75" customHeight="1" x14ac:dyDescent="0.2">
      <c r="B3" s="10"/>
      <c r="C3" s="29" t="s">
        <v>144</v>
      </c>
      <c r="D3" s="29" t="s">
        <v>145</v>
      </c>
      <c r="E3" s="28" t="s">
        <v>18</v>
      </c>
      <c r="F3" s="28" t="s">
        <v>141</v>
      </c>
      <c r="G3" s="28" t="s">
        <v>42</v>
      </c>
      <c r="H3" s="28" t="s">
        <v>142</v>
      </c>
      <c r="I3" s="28" t="s">
        <v>33</v>
      </c>
      <c r="J3" s="28" t="s">
        <v>119</v>
      </c>
      <c r="K3" s="28" t="s">
        <v>113</v>
      </c>
      <c r="L3" s="28" t="s">
        <v>43</v>
      </c>
      <c r="M3" s="28" t="s">
        <v>203</v>
      </c>
      <c r="N3" s="28" t="s">
        <v>132</v>
      </c>
      <c r="O3" s="28" t="s">
        <v>143</v>
      </c>
      <c r="P3" s="28" t="s">
        <v>39</v>
      </c>
      <c r="Q3" s="28" t="s">
        <v>40</v>
      </c>
      <c r="R3" s="28" t="s">
        <v>35</v>
      </c>
      <c r="S3" s="28" t="s">
        <v>36</v>
      </c>
      <c r="T3" s="28" t="s">
        <v>44</v>
      </c>
      <c r="U3" s="140"/>
      <c r="V3" s="29" t="s">
        <v>28</v>
      </c>
      <c r="W3" s="28" t="s">
        <v>29</v>
      </c>
      <c r="X3" s="28" t="s">
        <v>30</v>
      </c>
      <c r="Y3" s="29" t="s">
        <v>2</v>
      </c>
      <c r="Z3" s="28" t="s">
        <v>12</v>
      </c>
      <c r="AA3" s="28" t="s">
        <v>41</v>
      </c>
      <c r="AB3" s="29" t="s">
        <v>7</v>
      </c>
      <c r="AC3" s="28" t="s">
        <v>32</v>
      </c>
      <c r="AD3" s="28" t="s">
        <v>8</v>
      </c>
      <c r="AE3" s="28" t="s">
        <v>31</v>
      </c>
      <c r="AF3" s="28" t="s">
        <v>9</v>
      </c>
      <c r="AG3" s="28" t="s">
        <v>95</v>
      </c>
      <c r="AH3" s="28" t="s">
        <v>99</v>
      </c>
      <c r="AI3" s="28" t="s">
        <v>100</v>
      </c>
      <c r="AJ3" s="28" t="s">
        <v>192</v>
      </c>
      <c r="AK3" s="41" t="s">
        <v>114</v>
      </c>
      <c r="AN3" s="2" t="s">
        <v>37</v>
      </c>
      <c r="AO3" s="2" t="s">
        <v>38</v>
      </c>
      <c r="AQ3" s="2"/>
      <c r="AR3" s="2"/>
      <c r="AS3" s="2"/>
      <c r="AT3" s="2"/>
      <c r="AU3" s="2"/>
      <c r="AV3" s="2"/>
      <c r="AW3" s="2"/>
      <c r="AX3" s="2"/>
    </row>
    <row r="4" spans="2:50" x14ac:dyDescent="0.2">
      <c r="B4" s="10" t="s">
        <v>146</v>
      </c>
      <c r="C4" s="10">
        <v>2018</v>
      </c>
      <c r="D4" s="10"/>
      <c r="E4" s="49">
        <v>380</v>
      </c>
      <c r="F4" s="90">
        <v>417</v>
      </c>
      <c r="G4" s="54">
        <v>500</v>
      </c>
      <c r="H4" s="101">
        <v>82600</v>
      </c>
      <c r="I4" s="50">
        <f>W4*X4*432/1000</f>
        <v>95.12639999999999</v>
      </c>
      <c r="J4" s="112">
        <v>83.6</v>
      </c>
      <c r="K4" s="113">
        <f>1-(I4-J4)/I4</f>
        <v>0.87883069263632396</v>
      </c>
      <c r="L4" s="21">
        <f t="shared" ref="L4:L42" si="0">J4/E4*100</f>
        <v>21.999999999999996</v>
      </c>
      <c r="M4" s="55">
        <f>(L4*1000/62.14)</f>
        <v>354.03926617315733</v>
      </c>
      <c r="N4" s="101">
        <v>2490</v>
      </c>
      <c r="O4" s="101">
        <v>5</v>
      </c>
      <c r="P4" s="47">
        <v>300</v>
      </c>
      <c r="Q4" s="47">
        <v>408</v>
      </c>
      <c r="R4" s="47">
        <v>664</v>
      </c>
      <c r="S4" s="78">
        <f>2.436*T4</f>
        <v>0.68208000000000002</v>
      </c>
      <c r="T4" s="47">
        <v>0.28000000000000003</v>
      </c>
      <c r="U4" s="140"/>
      <c r="V4" s="48" t="s">
        <v>16</v>
      </c>
      <c r="W4" s="47">
        <v>60</v>
      </c>
      <c r="X4" s="90">
        <v>3.67</v>
      </c>
      <c r="Y4" s="48" t="s">
        <v>4</v>
      </c>
      <c r="Z4" s="10" t="s">
        <v>13</v>
      </c>
      <c r="AA4" s="51">
        <f>108*3.67</f>
        <v>396.36</v>
      </c>
      <c r="AB4" s="48" t="s">
        <v>102</v>
      </c>
      <c r="AC4" s="16" t="s">
        <v>19</v>
      </c>
      <c r="AD4" s="16" t="s">
        <v>19</v>
      </c>
      <c r="AE4" s="90">
        <v>700</v>
      </c>
      <c r="AF4" s="24">
        <f>I4/AE4*1000</f>
        <v>135.89485714285712</v>
      </c>
      <c r="AG4" s="47" t="s">
        <v>101</v>
      </c>
      <c r="AH4" s="47">
        <v>22</v>
      </c>
      <c r="AI4" s="47">
        <v>150</v>
      </c>
      <c r="AJ4" s="47">
        <v>155</v>
      </c>
      <c r="AK4" s="13">
        <f>AI4/I4</f>
        <v>1.5768493288929257</v>
      </c>
      <c r="AN4" s="45"/>
      <c r="AO4" s="45"/>
      <c r="AQ4" s="45"/>
      <c r="AR4" s="45"/>
      <c r="AS4" s="45"/>
      <c r="AT4" s="45"/>
      <c r="AU4" s="45"/>
      <c r="AV4" s="45"/>
      <c r="AW4" s="45"/>
      <c r="AX4" s="45"/>
    </row>
    <row r="5" spans="2:50" ht="12.75" customHeight="1" x14ac:dyDescent="0.2">
      <c r="B5" s="10" t="s">
        <v>149</v>
      </c>
      <c r="C5" s="10">
        <v>2014</v>
      </c>
      <c r="D5" s="10">
        <v>2016</v>
      </c>
      <c r="E5" s="10">
        <v>130</v>
      </c>
      <c r="F5" s="10"/>
      <c r="G5" s="10">
        <v>190</v>
      </c>
      <c r="H5" s="10"/>
      <c r="I5" s="10">
        <v>21.8</v>
      </c>
      <c r="J5" s="10">
        <v>18.8</v>
      </c>
      <c r="K5" s="12">
        <f>1-(I5-J5)/I5</f>
        <v>0.86238532110091737</v>
      </c>
      <c r="L5" s="13">
        <f t="shared" si="0"/>
        <v>14.461538461538462</v>
      </c>
      <c r="M5" s="82">
        <f t="shared" ref="M5:M56" si="1">(L5*1000/62.14)</f>
        <v>232.72511202990765</v>
      </c>
      <c r="N5" s="14">
        <v>1280</v>
      </c>
      <c r="O5" s="99">
        <v>5</v>
      </c>
      <c r="P5" s="10">
        <v>125</v>
      </c>
      <c r="Q5" s="10">
        <v>170</v>
      </c>
      <c r="R5" s="10">
        <v>250</v>
      </c>
      <c r="S5" s="18">
        <v>0.71399999999999997</v>
      </c>
      <c r="T5" s="10">
        <v>0.3</v>
      </c>
      <c r="U5" s="140"/>
      <c r="V5" s="10" t="s">
        <v>0</v>
      </c>
      <c r="W5" s="10">
        <v>60</v>
      </c>
      <c r="X5" s="10">
        <v>3.75</v>
      </c>
      <c r="Y5" s="10" t="s">
        <v>11</v>
      </c>
      <c r="Z5" s="10" t="s">
        <v>15</v>
      </c>
      <c r="AA5" s="10">
        <v>360</v>
      </c>
      <c r="AB5" s="10" t="s">
        <v>34</v>
      </c>
      <c r="AC5" s="10">
        <v>1880</v>
      </c>
      <c r="AD5" s="24">
        <f>W5*X5/AC5*1000</f>
        <v>119.68085106382979</v>
      </c>
      <c r="AE5" s="10">
        <v>230</v>
      </c>
      <c r="AF5" s="24">
        <f>I5/AE5*1000</f>
        <v>94.782608695652172</v>
      </c>
      <c r="AG5" s="130" t="s">
        <v>92</v>
      </c>
      <c r="AH5" s="33">
        <v>7</v>
      </c>
      <c r="AI5" s="33">
        <v>50</v>
      </c>
      <c r="AJ5" s="95">
        <v>47</v>
      </c>
      <c r="AK5" s="13">
        <f t="shared" ref="AK5:AK11" si="2">AI5/I5</f>
        <v>2.2935779816513762</v>
      </c>
      <c r="AN5" s="1">
        <v>27</v>
      </c>
      <c r="AO5" s="7">
        <f>AN5*100/160.9</f>
        <v>16.780609073958981</v>
      </c>
      <c r="AR5" s="9"/>
      <c r="AU5" s="6"/>
      <c r="AW5" s="6"/>
    </row>
    <row r="6" spans="2:50" x14ac:dyDescent="0.2">
      <c r="B6" s="10" t="s">
        <v>148</v>
      </c>
      <c r="C6" s="10">
        <v>2017</v>
      </c>
      <c r="D6" s="10">
        <v>2018</v>
      </c>
      <c r="E6" s="10">
        <v>183</v>
      </c>
      <c r="F6" s="10"/>
      <c r="G6" s="10">
        <v>300</v>
      </c>
      <c r="H6" s="10">
        <v>38400</v>
      </c>
      <c r="I6" s="10">
        <v>33</v>
      </c>
      <c r="J6" s="10">
        <v>27.3</v>
      </c>
      <c r="K6" s="12">
        <f t="shared" ref="K6:K56" si="3">1-(I6-J6)/I6</f>
        <v>0.82727272727272727</v>
      </c>
      <c r="L6" s="13">
        <f t="shared" si="0"/>
        <v>14.918032786885247</v>
      </c>
      <c r="M6" s="82">
        <f t="shared" si="1"/>
        <v>240.07133548254342</v>
      </c>
      <c r="N6" s="14">
        <v>1320</v>
      </c>
      <c r="O6" s="99">
        <v>5</v>
      </c>
      <c r="P6" s="10">
        <v>125</v>
      </c>
      <c r="Q6" s="10">
        <v>170</v>
      </c>
      <c r="R6" s="10">
        <v>250</v>
      </c>
      <c r="S6" s="18">
        <v>0.71399999999999997</v>
      </c>
      <c r="T6" s="10">
        <v>0.3</v>
      </c>
      <c r="U6" s="140"/>
      <c r="V6" s="10" t="s">
        <v>0</v>
      </c>
      <c r="W6" s="10">
        <v>94</v>
      </c>
      <c r="X6" s="10">
        <v>3.75</v>
      </c>
      <c r="Y6" s="10" t="s">
        <v>11</v>
      </c>
      <c r="Z6" s="10" t="s">
        <v>17</v>
      </c>
      <c r="AA6" s="10">
        <v>360</v>
      </c>
      <c r="AB6" s="10" t="s">
        <v>34</v>
      </c>
      <c r="AC6" s="10">
        <v>2154</v>
      </c>
      <c r="AD6" s="24">
        <f>W6*X6/AC6*1000</f>
        <v>163.64902506963787</v>
      </c>
      <c r="AE6" s="10">
        <v>267</v>
      </c>
      <c r="AF6" s="24">
        <f>I6/AE6*1000</f>
        <v>123.59550561797752</v>
      </c>
      <c r="AG6" s="134"/>
      <c r="AH6" s="33">
        <v>11</v>
      </c>
      <c r="AI6" s="33">
        <v>50</v>
      </c>
      <c r="AJ6" s="95">
        <v>50</v>
      </c>
      <c r="AK6" s="13">
        <f t="shared" si="2"/>
        <v>1.5151515151515151</v>
      </c>
      <c r="AN6" s="1">
        <v>29</v>
      </c>
      <c r="AO6" s="7">
        <f t="shared" ref="AO6:AO56" si="4">AN6*100/160.9</f>
        <v>18.023617153511498</v>
      </c>
      <c r="AU6" s="6"/>
      <c r="AW6" s="6"/>
    </row>
    <row r="7" spans="2:50" x14ac:dyDescent="0.2">
      <c r="B7" s="10" t="s">
        <v>147</v>
      </c>
      <c r="C7" s="10">
        <v>2019</v>
      </c>
      <c r="D7" s="10"/>
      <c r="E7" s="22">
        <v>246</v>
      </c>
      <c r="F7" s="22" t="s">
        <v>140</v>
      </c>
      <c r="G7" s="22">
        <v>359</v>
      </c>
      <c r="H7" s="22">
        <v>39950</v>
      </c>
      <c r="I7" s="18">
        <f>X7*W7*96/1000</f>
        <v>42.278399999999991</v>
      </c>
      <c r="J7" s="22">
        <v>37.9</v>
      </c>
      <c r="K7" s="12">
        <f t="shared" si="3"/>
        <v>0.89643884347562841</v>
      </c>
      <c r="L7" s="83">
        <f t="shared" si="0"/>
        <v>15.40650406504065</v>
      </c>
      <c r="M7" s="82">
        <f t="shared" si="1"/>
        <v>247.93215424912535</v>
      </c>
      <c r="N7" s="66">
        <v>1344</v>
      </c>
      <c r="O7" s="102">
        <v>5</v>
      </c>
      <c r="P7" s="19">
        <v>125</v>
      </c>
      <c r="Q7" s="19">
        <v>170</v>
      </c>
      <c r="R7" s="19">
        <v>250</v>
      </c>
      <c r="S7" s="31">
        <v>0.71399999999999997</v>
      </c>
      <c r="T7" s="19">
        <v>0.3</v>
      </c>
      <c r="U7" s="140"/>
      <c r="V7" s="10" t="s">
        <v>0</v>
      </c>
      <c r="W7" s="10">
        <v>120</v>
      </c>
      <c r="X7" s="10">
        <v>3.67</v>
      </c>
      <c r="Y7" s="10" t="s">
        <v>11</v>
      </c>
      <c r="Z7" s="10" t="s">
        <v>17</v>
      </c>
      <c r="AA7" s="10">
        <v>355</v>
      </c>
      <c r="AB7" s="10" t="s">
        <v>34</v>
      </c>
      <c r="AC7" s="10"/>
      <c r="AD7" s="24"/>
      <c r="AE7" s="10"/>
      <c r="AF7" s="24"/>
      <c r="AG7" s="131"/>
      <c r="AH7" s="77">
        <v>11</v>
      </c>
      <c r="AI7" s="77">
        <v>50</v>
      </c>
      <c r="AJ7" s="95"/>
      <c r="AK7" s="13">
        <f t="shared" si="2"/>
        <v>1.1826369966696946</v>
      </c>
      <c r="AN7" s="1"/>
      <c r="AO7" s="7"/>
      <c r="AU7" s="6"/>
      <c r="AW7" s="6"/>
    </row>
    <row r="8" spans="2:50" ht="12.75" customHeight="1" x14ac:dyDescent="0.2">
      <c r="B8" s="10" t="s">
        <v>150</v>
      </c>
      <c r="C8" s="10">
        <v>2016</v>
      </c>
      <c r="D8" s="10"/>
      <c r="E8" s="10">
        <v>383</v>
      </c>
      <c r="F8" s="10"/>
      <c r="G8" s="10">
        <v>520</v>
      </c>
      <c r="H8" s="10"/>
      <c r="I8" s="10">
        <v>60</v>
      </c>
      <c r="J8" s="10">
        <v>58</v>
      </c>
      <c r="K8" s="12">
        <f t="shared" si="3"/>
        <v>0.96666666666666667</v>
      </c>
      <c r="L8" s="13">
        <f t="shared" si="0"/>
        <v>15.143603133159269</v>
      </c>
      <c r="M8" s="82">
        <f t="shared" si="1"/>
        <v>243.70137002187431</v>
      </c>
      <c r="N8" s="10">
        <v>1625</v>
      </c>
      <c r="O8" s="22">
        <v>5</v>
      </c>
      <c r="P8" s="10">
        <v>150</v>
      </c>
      <c r="Q8" s="10">
        <v>200</v>
      </c>
      <c r="R8" s="10">
        <v>360</v>
      </c>
      <c r="S8" s="13">
        <f>2.397*T8</f>
        <v>0.76703999999999994</v>
      </c>
      <c r="T8" s="10">
        <v>0.32</v>
      </c>
      <c r="U8" s="140"/>
      <c r="V8" s="10" t="s">
        <v>16</v>
      </c>
      <c r="W8" s="10">
        <v>54</v>
      </c>
      <c r="X8" s="10">
        <v>3.65</v>
      </c>
      <c r="Y8" s="10" t="s">
        <v>4</v>
      </c>
      <c r="Z8" s="10" t="s">
        <v>13</v>
      </c>
      <c r="AA8" s="10">
        <v>350</v>
      </c>
      <c r="AB8" s="10" t="s">
        <v>25</v>
      </c>
      <c r="AC8" s="46">
        <f>1260</f>
        <v>1260</v>
      </c>
      <c r="AD8" s="46">
        <v>154</v>
      </c>
      <c r="AE8" s="10">
        <v>430</v>
      </c>
      <c r="AF8" s="24">
        <f>I8/AE8*1000</f>
        <v>139.53488372093022</v>
      </c>
      <c r="AG8" s="32" t="s">
        <v>93</v>
      </c>
      <c r="AH8" s="33">
        <v>7</v>
      </c>
      <c r="AI8" s="33">
        <v>80</v>
      </c>
      <c r="AJ8" s="95">
        <v>46</v>
      </c>
      <c r="AK8" s="13">
        <f t="shared" si="2"/>
        <v>1.3333333333333333</v>
      </c>
      <c r="AN8" s="1"/>
      <c r="AO8" s="7"/>
      <c r="AU8" s="6"/>
      <c r="AW8" s="6"/>
    </row>
    <row r="9" spans="2:50" ht="12.75" customHeight="1" x14ac:dyDescent="0.2">
      <c r="B9" s="10" t="s">
        <v>111</v>
      </c>
      <c r="C9" s="10">
        <v>2010</v>
      </c>
      <c r="D9" s="10"/>
      <c r="E9" s="22">
        <v>96</v>
      </c>
      <c r="F9" s="22"/>
      <c r="G9" s="22">
        <v>150</v>
      </c>
      <c r="H9" s="22">
        <v>26900</v>
      </c>
      <c r="I9" s="16">
        <v>14.8</v>
      </c>
      <c r="J9" s="16">
        <v>13.5</v>
      </c>
      <c r="K9" s="12">
        <f t="shared" ref="K9:K10" si="5">1-(I9-J9)/I9</f>
        <v>0.91216216216216206</v>
      </c>
      <c r="L9" s="13">
        <f t="shared" si="0"/>
        <v>14.0625</v>
      </c>
      <c r="M9" s="82">
        <f t="shared" si="1"/>
        <v>226.30350820727389</v>
      </c>
      <c r="N9" s="37">
        <v>1065</v>
      </c>
      <c r="O9" s="99">
        <v>4</v>
      </c>
      <c r="P9" s="37">
        <v>49</v>
      </c>
      <c r="Q9" s="37">
        <v>67</v>
      </c>
      <c r="R9" s="37">
        <v>196</v>
      </c>
      <c r="S9" s="63">
        <v>0.70599999999999996</v>
      </c>
      <c r="T9" s="10">
        <v>0.35</v>
      </c>
      <c r="U9" s="140"/>
      <c r="V9" s="10" t="s">
        <v>115</v>
      </c>
      <c r="W9" s="22">
        <v>50</v>
      </c>
      <c r="X9" s="22">
        <v>3.7</v>
      </c>
      <c r="Y9" s="10" t="s">
        <v>11</v>
      </c>
      <c r="Z9" s="22" t="s">
        <v>116</v>
      </c>
      <c r="AA9" s="22">
        <v>296</v>
      </c>
      <c r="AB9" s="22" t="s">
        <v>130</v>
      </c>
      <c r="AC9" s="16">
        <v>1700</v>
      </c>
      <c r="AD9" s="24">
        <f>W9*X9/AC9*1000</f>
        <v>108.82352941176471</v>
      </c>
      <c r="AE9" s="16">
        <v>158</v>
      </c>
      <c r="AF9" s="24">
        <f>I9/AE9*1000</f>
        <v>93.670886075949369</v>
      </c>
      <c r="AG9" s="38" t="s">
        <v>96</v>
      </c>
      <c r="AH9" s="40">
        <v>3.6</v>
      </c>
      <c r="AI9" s="36">
        <v>50</v>
      </c>
      <c r="AJ9" s="95">
        <v>42</v>
      </c>
      <c r="AK9" s="13">
        <f t="shared" si="2"/>
        <v>3.3783783783783781</v>
      </c>
      <c r="AN9" s="1"/>
      <c r="AO9" s="7"/>
      <c r="AU9" s="6"/>
      <c r="AW9" s="6"/>
    </row>
    <row r="10" spans="2:50" ht="12.75" customHeight="1" x14ac:dyDescent="0.2">
      <c r="B10" s="10" t="s">
        <v>187</v>
      </c>
      <c r="C10" s="10">
        <v>2019</v>
      </c>
      <c r="D10" s="10"/>
      <c r="E10" s="107">
        <v>300</v>
      </c>
      <c r="F10" s="22">
        <v>320</v>
      </c>
      <c r="G10" s="22"/>
      <c r="H10" s="22"/>
      <c r="I10" s="20">
        <v>53</v>
      </c>
      <c r="J10" s="16">
        <v>50</v>
      </c>
      <c r="K10" s="12">
        <f t="shared" si="5"/>
        <v>0.94339622641509435</v>
      </c>
      <c r="L10" s="21">
        <f t="shared" si="0"/>
        <v>16.666666666666664</v>
      </c>
      <c r="M10" s="55">
        <f t="shared" si="1"/>
        <v>268.21156528269495</v>
      </c>
      <c r="N10" s="94"/>
      <c r="O10" s="99">
        <v>5</v>
      </c>
      <c r="P10" s="94">
        <v>100</v>
      </c>
      <c r="Q10" s="94">
        <v>136</v>
      </c>
      <c r="R10" s="94">
        <v>260</v>
      </c>
      <c r="S10" s="43"/>
      <c r="T10" s="10"/>
      <c r="U10" s="140"/>
      <c r="V10" s="10" t="s">
        <v>188</v>
      </c>
      <c r="W10" s="19">
        <v>72</v>
      </c>
      <c r="X10" s="19">
        <v>3.7</v>
      </c>
      <c r="Y10" s="19" t="s">
        <v>11</v>
      </c>
      <c r="Z10" s="10" t="s">
        <v>13</v>
      </c>
      <c r="AA10" s="22">
        <v>370</v>
      </c>
      <c r="AB10" s="19" t="s">
        <v>89</v>
      </c>
      <c r="AC10" s="16"/>
      <c r="AD10" s="24"/>
      <c r="AE10" s="16"/>
      <c r="AF10" s="24"/>
      <c r="AG10" s="100"/>
      <c r="AH10" s="95">
        <v>11</v>
      </c>
      <c r="AI10" s="95">
        <v>100</v>
      </c>
      <c r="AJ10" s="95"/>
      <c r="AK10" s="13">
        <f t="shared" si="2"/>
        <v>1.8867924528301887</v>
      </c>
      <c r="AN10" s="1"/>
      <c r="AO10" s="7"/>
      <c r="AU10" s="6"/>
      <c r="AW10" s="6"/>
    </row>
    <row r="11" spans="2:50" x14ac:dyDescent="0.2">
      <c r="B11" s="10" t="s">
        <v>151</v>
      </c>
      <c r="C11" s="10">
        <v>2016</v>
      </c>
      <c r="D11" s="10"/>
      <c r="E11" s="10">
        <v>200</v>
      </c>
      <c r="F11" s="10"/>
      <c r="G11" s="10">
        <v>280</v>
      </c>
      <c r="H11" s="10">
        <v>36600</v>
      </c>
      <c r="I11" s="55">
        <f>43*192*3.75/1000</f>
        <v>30.96</v>
      </c>
      <c r="J11" s="10">
        <v>28</v>
      </c>
      <c r="K11" s="12">
        <f t="shared" si="3"/>
        <v>0.90439276485788112</v>
      </c>
      <c r="L11" s="13">
        <f t="shared" si="0"/>
        <v>14.000000000000002</v>
      </c>
      <c r="M11" s="82">
        <f t="shared" si="1"/>
        <v>225.29771483746381</v>
      </c>
      <c r="N11" s="10">
        <v>1490</v>
      </c>
      <c r="O11" s="22">
        <v>5</v>
      </c>
      <c r="P11" s="10">
        <v>88</v>
      </c>
      <c r="Q11" s="10">
        <v>120</v>
      </c>
      <c r="R11" s="10">
        <v>295</v>
      </c>
      <c r="S11" s="27">
        <f>2.193*T11</f>
        <v>0.52632000000000001</v>
      </c>
      <c r="T11" s="10">
        <v>0.24</v>
      </c>
      <c r="U11" s="140"/>
      <c r="V11" s="10" t="s">
        <v>16</v>
      </c>
      <c r="W11" s="19" t="s">
        <v>139</v>
      </c>
      <c r="X11" s="10">
        <v>3.75</v>
      </c>
      <c r="Y11" s="10" t="s">
        <v>4</v>
      </c>
      <c r="Z11" s="10" t="s">
        <v>13</v>
      </c>
      <c r="AA11" s="10">
        <v>360</v>
      </c>
      <c r="AB11" s="10" t="s">
        <v>24</v>
      </c>
      <c r="AC11" s="16">
        <v>966</v>
      </c>
      <c r="AD11" s="24">
        <f>43*X11/AC11*1000</f>
        <v>166.92546583850933</v>
      </c>
      <c r="AE11" s="10">
        <v>260</v>
      </c>
      <c r="AF11" s="24">
        <f t="shared" ref="AF11:AF20" si="6">I11/AE11*1000</f>
        <v>119.07692307692308</v>
      </c>
      <c r="AG11" s="32" t="s">
        <v>96</v>
      </c>
      <c r="AH11" s="33">
        <v>7</v>
      </c>
      <c r="AI11" s="33">
        <v>100</v>
      </c>
      <c r="AJ11" s="95">
        <v>70</v>
      </c>
      <c r="AK11" s="13">
        <f t="shared" si="2"/>
        <v>3.2299741602067185</v>
      </c>
      <c r="AN11" s="1"/>
      <c r="AO11" s="7"/>
      <c r="AU11" s="6"/>
      <c r="AW11" s="6"/>
    </row>
    <row r="12" spans="2:50" x14ac:dyDescent="0.2">
      <c r="B12" s="10" t="s">
        <v>197</v>
      </c>
      <c r="C12" s="10">
        <v>2019</v>
      </c>
      <c r="D12" s="10"/>
      <c r="E12" s="55">
        <f>E11*J12/J11</f>
        <v>280.00000000000006</v>
      </c>
      <c r="F12" s="55">
        <f>E12*F13/E13</f>
        <v>302.78674593648731</v>
      </c>
      <c r="G12" s="19">
        <f>G11*J12/J11</f>
        <v>392</v>
      </c>
      <c r="H12" s="10"/>
      <c r="I12" s="55">
        <f>65*3.63*180/1000</f>
        <v>42.470999999999997</v>
      </c>
      <c r="J12" s="10">
        <v>39.200000000000003</v>
      </c>
      <c r="K12" s="12">
        <f t="shared" ref="K12" si="7">1-(I12-J12)/I12</f>
        <v>0.92298274116455947</v>
      </c>
      <c r="L12" s="13">
        <f t="shared" si="0"/>
        <v>13.999999999999998</v>
      </c>
      <c r="M12" s="82">
        <f t="shared" si="1"/>
        <v>225.29771483746376</v>
      </c>
      <c r="N12" s="10"/>
      <c r="O12" s="22">
        <v>5</v>
      </c>
      <c r="P12" s="10"/>
      <c r="Q12" s="10"/>
      <c r="R12" s="10"/>
      <c r="S12" s="27"/>
      <c r="T12" s="10"/>
      <c r="U12" s="140"/>
      <c r="V12" s="10" t="s">
        <v>16</v>
      </c>
      <c r="W12" s="19">
        <v>65</v>
      </c>
      <c r="X12" s="22">
        <v>3.63</v>
      </c>
      <c r="Y12" s="22" t="s">
        <v>4</v>
      </c>
      <c r="Z12" s="22" t="s">
        <v>13</v>
      </c>
      <c r="AA12" s="10">
        <v>327</v>
      </c>
      <c r="AB12" s="19" t="s">
        <v>135</v>
      </c>
      <c r="AC12" s="46">
        <v>1100</v>
      </c>
      <c r="AD12" s="82">
        <v>225</v>
      </c>
      <c r="AE12" s="24">
        <v>316</v>
      </c>
      <c r="AF12" s="24">
        <f t="shared" si="6"/>
        <v>134.40189873417722</v>
      </c>
      <c r="AG12" s="109"/>
      <c r="AH12" s="108"/>
      <c r="AI12" s="108"/>
      <c r="AJ12" s="110"/>
      <c r="AK12" s="13"/>
      <c r="AN12" s="1"/>
      <c r="AO12" s="7"/>
      <c r="AU12" s="6"/>
      <c r="AW12" s="6"/>
    </row>
    <row r="13" spans="2:50" x14ac:dyDescent="0.2">
      <c r="B13" s="10" t="s">
        <v>152</v>
      </c>
      <c r="C13" s="10">
        <v>2018</v>
      </c>
      <c r="D13" s="10"/>
      <c r="E13" s="55">
        <f>E14*F13/F14</f>
        <v>267.25079973273938</v>
      </c>
      <c r="F13" s="24">
        <v>289</v>
      </c>
      <c r="G13" s="10">
        <v>345</v>
      </c>
      <c r="H13" s="10">
        <v>38400</v>
      </c>
      <c r="I13" s="55">
        <f>65*3.63*180/1000</f>
        <v>42.470999999999997</v>
      </c>
      <c r="J13" s="10">
        <v>39.200000000000003</v>
      </c>
      <c r="K13" s="12">
        <f t="shared" si="3"/>
        <v>0.92298274116455947</v>
      </c>
      <c r="L13" s="13">
        <f t="shared" si="0"/>
        <v>14.667870045366167</v>
      </c>
      <c r="M13" s="82">
        <f t="shared" si="1"/>
        <v>236.04554305384883</v>
      </c>
      <c r="N13" s="16">
        <v>1610</v>
      </c>
      <c r="O13" s="46">
        <v>5</v>
      </c>
      <c r="P13" s="10">
        <v>100</v>
      </c>
      <c r="Q13" s="10">
        <v>136</v>
      </c>
      <c r="R13" s="10">
        <v>394</v>
      </c>
      <c r="S13" s="27">
        <f>2.347*T13</f>
        <v>0.68062999999999996</v>
      </c>
      <c r="T13" s="10">
        <v>0.28999999999999998</v>
      </c>
      <c r="U13" s="140"/>
      <c r="V13" s="10" t="s">
        <v>16</v>
      </c>
      <c r="W13" s="19">
        <v>65</v>
      </c>
      <c r="X13" s="22">
        <v>3.63</v>
      </c>
      <c r="Y13" s="22" t="s">
        <v>4</v>
      </c>
      <c r="Z13" s="22" t="s">
        <v>13</v>
      </c>
      <c r="AA13" s="10">
        <v>327</v>
      </c>
      <c r="AB13" s="19" t="s">
        <v>135</v>
      </c>
      <c r="AC13" s="46">
        <v>1100</v>
      </c>
      <c r="AD13" s="82">
        <v>225</v>
      </c>
      <c r="AE13" s="24">
        <v>316</v>
      </c>
      <c r="AF13" s="24">
        <f t="shared" si="6"/>
        <v>134.40189873417722</v>
      </c>
      <c r="AG13" s="130" t="s">
        <v>93</v>
      </c>
      <c r="AH13" s="124">
        <v>7.2</v>
      </c>
      <c r="AI13" s="126">
        <v>100</v>
      </c>
      <c r="AJ13" s="95"/>
      <c r="AK13" s="13">
        <f>AI13/J13</f>
        <v>2.5510204081632653</v>
      </c>
      <c r="AN13" s="1"/>
      <c r="AO13" s="7"/>
      <c r="AU13" s="6"/>
      <c r="AW13" s="6"/>
    </row>
    <row r="14" spans="2:50" x14ac:dyDescent="0.2">
      <c r="B14" s="10" t="s">
        <v>153</v>
      </c>
      <c r="C14" s="10">
        <v>2018</v>
      </c>
      <c r="D14" s="10"/>
      <c r="E14" s="24">
        <f>258*1.60934</f>
        <v>415.20972</v>
      </c>
      <c r="F14" s="24">
        <v>449</v>
      </c>
      <c r="G14" s="10">
        <v>546</v>
      </c>
      <c r="H14" s="10">
        <v>42400</v>
      </c>
      <c r="I14" s="55">
        <f>294*W14*X14/1000</f>
        <v>69.36930000000001</v>
      </c>
      <c r="J14" s="10">
        <v>66</v>
      </c>
      <c r="K14" s="12">
        <f t="shared" si="3"/>
        <v>0.95142952285809412</v>
      </c>
      <c r="L14" s="13">
        <f t="shared" si="0"/>
        <v>15.895581635227614</v>
      </c>
      <c r="M14" s="82">
        <f t="shared" si="1"/>
        <v>255.80272988779552</v>
      </c>
      <c r="N14" s="16">
        <v>1760</v>
      </c>
      <c r="O14" s="46">
        <v>5</v>
      </c>
      <c r="P14" s="10">
        <v>150</v>
      </c>
      <c r="Q14" s="10">
        <v>201</v>
      </c>
      <c r="R14" s="10">
        <v>394</v>
      </c>
      <c r="S14" s="27">
        <f>2.347*T14</f>
        <v>0.68062999999999996</v>
      </c>
      <c r="T14" s="10">
        <v>0.28999999999999998</v>
      </c>
      <c r="U14" s="140"/>
      <c r="V14" s="10" t="s">
        <v>16</v>
      </c>
      <c r="W14" s="19">
        <v>65</v>
      </c>
      <c r="X14" s="22">
        <v>3.63</v>
      </c>
      <c r="Y14" s="22" t="s">
        <v>4</v>
      </c>
      <c r="Z14" s="22" t="s">
        <v>13</v>
      </c>
      <c r="AA14" s="10">
        <v>356</v>
      </c>
      <c r="AB14" s="22" t="s">
        <v>134</v>
      </c>
      <c r="AC14" s="46">
        <v>1100</v>
      </c>
      <c r="AD14" s="82">
        <v>225</v>
      </c>
      <c r="AE14" s="24">
        <v>453</v>
      </c>
      <c r="AF14" s="24">
        <f t="shared" si="6"/>
        <v>153.13311258278148</v>
      </c>
      <c r="AG14" s="131"/>
      <c r="AH14" s="125"/>
      <c r="AI14" s="127"/>
      <c r="AJ14" s="92">
        <v>72</v>
      </c>
      <c r="AK14" s="13">
        <f>AI13/I14</f>
        <v>1.4415598831183245</v>
      </c>
      <c r="AN14" s="1"/>
      <c r="AO14" s="7"/>
      <c r="AU14" s="6"/>
      <c r="AW14" s="6"/>
    </row>
    <row r="15" spans="2:50" x14ac:dyDescent="0.2">
      <c r="B15" s="10" t="s">
        <v>154</v>
      </c>
      <c r="C15" s="10">
        <v>2018</v>
      </c>
      <c r="D15" s="10"/>
      <c r="E15" s="10">
        <v>386</v>
      </c>
      <c r="F15" s="10">
        <v>470</v>
      </c>
      <c r="G15" s="10">
        <v>540</v>
      </c>
      <c r="H15" s="10">
        <v>78380</v>
      </c>
      <c r="I15" s="10">
        <v>90</v>
      </c>
      <c r="J15" s="10">
        <v>84.7</v>
      </c>
      <c r="K15" s="12">
        <f t="shared" si="3"/>
        <v>0.94111111111111112</v>
      </c>
      <c r="L15" s="13">
        <f t="shared" si="0"/>
        <v>21.94300518134715</v>
      </c>
      <c r="M15" s="82">
        <f t="shared" si="1"/>
        <v>353.12206600172436</v>
      </c>
      <c r="N15" s="10">
        <v>2140</v>
      </c>
      <c r="O15" s="22">
        <v>5</v>
      </c>
      <c r="P15" s="10">
        <v>294</v>
      </c>
      <c r="Q15" s="10">
        <v>400</v>
      </c>
      <c r="R15" s="10">
        <v>696</v>
      </c>
      <c r="S15" s="27">
        <f>2.544*T15</f>
        <v>0.73775999999999997</v>
      </c>
      <c r="T15" s="10">
        <v>0.28999999999999998</v>
      </c>
      <c r="U15" s="140"/>
      <c r="V15" s="10" t="s">
        <v>16</v>
      </c>
      <c r="W15" s="10">
        <v>58</v>
      </c>
      <c r="X15" s="10">
        <v>3.6</v>
      </c>
      <c r="Y15" s="10" t="s">
        <v>4</v>
      </c>
      <c r="Z15" s="10" t="s">
        <v>13</v>
      </c>
      <c r="AA15" s="10">
        <v>390</v>
      </c>
      <c r="AB15" s="10" t="s">
        <v>102</v>
      </c>
      <c r="AC15" s="16" t="s">
        <v>19</v>
      </c>
      <c r="AD15" s="16" t="s">
        <v>19</v>
      </c>
      <c r="AE15" s="10">
        <v>602</v>
      </c>
      <c r="AF15" s="24">
        <f t="shared" si="6"/>
        <v>149.50166112956811</v>
      </c>
      <c r="AG15" s="34" t="s">
        <v>101</v>
      </c>
      <c r="AH15" s="35">
        <v>7</v>
      </c>
      <c r="AI15" s="35">
        <v>100</v>
      </c>
      <c r="AJ15" s="91">
        <v>98</v>
      </c>
      <c r="AK15" s="13">
        <f>AI15/I15</f>
        <v>1.1111111111111112</v>
      </c>
      <c r="AN15" s="1"/>
      <c r="AO15" s="7"/>
      <c r="AU15" s="6"/>
      <c r="AW15" s="6"/>
    </row>
    <row r="16" spans="2:50" x14ac:dyDescent="0.2">
      <c r="B16" s="10" t="s">
        <v>156</v>
      </c>
      <c r="C16" s="10">
        <v>2016</v>
      </c>
      <c r="D16" s="10">
        <v>2017</v>
      </c>
      <c r="E16" s="10">
        <v>150</v>
      </c>
      <c r="F16" s="10"/>
      <c r="G16" s="10">
        <v>212</v>
      </c>
      <c r="H16" s="10">
        <v>35400</v>
      </c>
      <c r="I16" s="19">
        <v>30.5</v>
      </c>
      <c r="J16" s="10">
        <v>27</v>
      </c>
      <c r="K16" s="79">
        <f t="shared" si="3"/>
        <v>0.88524590163934425</v>
      </c>
      <c r="L16" s="13">
        <f t="shared" si="0"/>
        <v>18</v>
      </c>
      <c r="M16" s="82">
        <f t="shared" si="1"/>
        <v>289.66849050531056</v>
      </c>
      <c r="N16" s="10">
        <v>1490</v>
      </c>
      <c r="O16" s="22">
        <v>5</v>
      </c>
      <c r="P16" s="10">
        <v>81</v>
      </c>
      <c r="Q16" s="10">
        <v>110</v>
      </c>
      <c r="R16" s="10">
        <v>285</v>
      </c>
      <c r="S16" s="19">
        <v>0.81</v>
      </c>
      <c r="T16" s="10">
        <v>0.35</v>
      </c>
      <c r="U16" s="140"/>
      <c r="V16" s="10" t="s">
        <v>6</v>
      </c>
      <c r="W16" s="19">
        <v>43</v>
      </c>
      <c r="X16" s="10">
        <v>3.75</v>
      </c>
      <c r="Y16" s="10" t="s">
        <v>4</v>
      </c>
      <c r="Z16" s="10" t="s">
        <v>13</v>
      </c>
      <c r="AA16" s="10">
        <v>360</v>
      </c>
      <c r="AB16" s="10" t="s">
        <v>24</v>
      </c>
      <c r="AC16" s="10">
        <v>700</v>
      </c>
      <c r="AD16" s="24">
        <f>W16*X16/AC16*1000</f>
        <v>230.35714285714283</v>
      </c>
      <c r="AE16" s="24">
        <v>275</v>
      </c>
      <c r="AF16" s="24">
        <f t="shared" si="6"/>
        <v>110.90909090909092</v>
      </c>
      <c r="AG16" s="130" t="s">
        <v>96</v>
      </c>
      <c r="AH16" s="126">
        <v>7</v>
      </c>
      <c r="AI16" s="126">
        <v>100</v>
      </c>
      <c r="AJ16" s="95">
        <v>45</v>
      </c>
      <c r="AK16" s="13">
        <f>$AI$16/I16</f>
        <v>3.278688524590164</v>
      </c>
      <c r="AN16" s="1"/>
      <c r="AO16" s="7"/>
      <c r="AU16" s="6"/>
      <c r="AW16" s="6"/>
    </row>
    <row r="17" spans="2:49" x14ac:dyDescent="0.2">
      <c r="B17" s="10" t="s">
        <v>155</v>
      </c>
      <c r="C17" s="10">
        <v>2017</v>
      </c>
      <c r="D17" s="10">
        <v>2018</v>
      </c>
      <c r="E17" s="10">
        <v>182</v>
      </c>
      <c r="F17" s="10"/>
      <c r="G17" s="10">
        <v>250</v>
      </c>
      <c r="H17" s="10">
        <v>36400</v>
      </c>
      <c r="I17" s="19">
        <f>45*200*3.75/1000</f>
        <v>33.75</v>
      </c>
      <c r="J17" s="10">
        <v>30</v>
      </c>
      <c r="K17" s="79">
        <f t="shared" si="3"/>
        <v>0.88888888888888884</v>
      </c>
      <c r="L17" s="13">
        <f t="shared" si="0"/>
        <v>16.483516483516482</v>
      </c>
      <c r="M17" s="82">
        <f t="shared" si="1"/>
        <v>265.26418544442362</v>
      </c>
      <c r="N17" s="10">
        <v>1490</v>
      </c>
      <c r="O17" s="22">
        <v>5</v>
      </c>
      <c r="P17" s="10">
        <v>81</v>
      </c>
      <c r="Q17" s="10">
        <v>110</v>
      </c>
      <c r="R17" s="10">
        <v>285</v>
      </c>
      <c r="S17" s="19">
        <v>0.81</v>
      </c>
      <c r="T17" s="10">
        <v>0.35</v>
      </c>
      <c r="U17" s="140"/>
      <c r="V17" s="10" t="s">
        <v>6</v>
      </c>
      <c r="W17" s="19">
        <v>45</v>
      </c>
      <c r="X17" s="10">
        <v>3.75</v>
      </c>
      <c r="Y17" s="10" t="s">
        <v>4</v>
      </c>
      <c r="Z17" s="10" t="s">
        <v>13</v>
      </c>
      <c r="AA17" s="10">
        <v>375</v>
      </c>
      <c r="AB17" s="10" t="s">
        <v>89</v>
      </c>
      <c r="AC17" s="10">
        <v>700</v>
      </c>
      <c r="AD17" s="24">
        <f>W17*X17/AC17*1000</f>
        <v>241.07142857142858</v>
      </c>
      <c r="AE17" s="24">
        <v>290</v>
      </c>
      <c r="AF17" s="24">
        <f t="shared" si="6"/>
        <v>116.37931034482759</v>
      </c>
      <c r="AG17" s="131"/>
      <c r="AH17" s="127"/>
      <c r="AI17" s="127"/>
      <c r="AJ17" s="92"/>
      <c r="AK17" s="13">
        <f>$AI$16/I17</f>
        <v>2.9629629629629628</v>
      </c>
      <c r="AN17" s="1"/>
      <c r="AO17" s="7"/>
      <c r="AU17" s="6"/>
      <c r="AW17" s="6"/>
    </row>
    <row r="18" spans="2:49" x14ac:dyDescent="0.2">
      <c r="B18" s="10" t="s">
        <v>191</v>
      </c>
      <c r="C18" s="10">
        <v>2018</v>
      </c>
      <c r="D18" s="10"/>
      <c r="E18" s="55">
        <f>E19*F18/F19</f>
        <v>244.53846153846155</v>
      </c>
      <c r="F18" s="82">
        <v>289</v>
      </c>
      <c r="G18" s="19">
        <v>345</v>
      </c>
      <c r="H18" s="22">
        <v>38500</v>
      </c>
      <c r="I18" s="55">
        <v>41.024999999999999</v>
      </c>
      <c r="J18" s="10">
        <v>39.200000000000003</v>
      </c>
      <c r="K18" s="12">
        <f t="shared" si="3"/>
        <v>0.95551492992078013</v>
      </c>
      <c r="L18" s="13">
        <f t="shared" si="0"/>
        <v>16.030198175526898</v>
      </c>
      <c r="M18" s="82">
        <f t="shared" si="1"/>
        <v>257.96907266699225</v>
      </c>
      <c r="N18" s="16">
        <v>1610</v>
      </c>
      <c r="O18" s="103">
        <v>5</v>
      </c>
      <c r="P18" s="67">
        <v>150</v>
      </c>
      <c r="Q18" s="10">
        <v>200</v>
      </c>
      <c r="R18" s="19">
        <v>394</v>
      </c>
      <c r="S18" s="81">
        <f>2.255*T18</f>
        <v>0.65394999999999992</v>
      </c>
      <c r="T18" s="16" t="s">
        <v>136</v>
      </c>
      <c r="U18" s="140"/>
      <c r="V18" s="10" t="s">
        <v>6</v>
      </c>
      <c r="W18" s="64">
        <v>63</v>
      </c>
      <c r="X18" s="80">
        <v>3.63</v>
      </c>
      <c r="Y18" s="10" t="s">
        <v>4</v>
      </c>
      <c r="Z18" s="10" t="s">
        <v>133</v>
      </c>
      <c r="AA18" s="10">
        <v>327</v>
      </c>
      <c r="AB18" s="22" t="s">
        <v>135</v>
      </c>
      <c r="AC18" s="16" t="s">
        <v>19</v>
      </c>
      <c r="AD18" s="16" t="s">
        <v>19</v>
      </c>
      <c r="AE18" s="16">
        <v>325</v>
      </c>
      <c r="AF18" s="24">
        <f t="shared" si="6"/>
        <v>126.23076923076923</v>
      </c>
      <c r="AG18" s="130" t="s">
        <v>93</v>
      </c>
      <c r="AH18" s="124">
        <v>7.2</v>
      </c>
      <c r="AI18" s="126">
        <v>100</v>
      </c>
      <c r="AJ18" s="115"/>
      <c r="AK18" s="13">
        <f>AI18/J18</f>
        <v>2.5510204081632653</v>
      </c>
      <c r="AN18" s="1"/>
      <c r="AO18" s="7"/>
      <c r="AU18" s="6"/>
      <c r="AW18" s="6"/>
    </row>
    <row r="19" spans="2:49" x14ac:dyDescent="0.2">
      <c r="B19" s="10" t="s">
        <v>157</v>
      </c>
      <c r="C19" s="10">
        <v>2018</v>
      </c>
      <c r="D19" s="10"/>
      <c r="E19" s="82">
        <v>385</v>
      </c>
      <c r="F19" s="82">
        <v>455</v>
      </c>
      <c r="G19" s="19">
        <v>546</v>
      </c>
      <c r="H19" s="22">
        <v>42500</v>
      </c>
      <c r="I19" s="19">
        <v>67.099999999999994</v>
      </c>
      <c r="J19" s="10">
        <v>64</v>
      </c>
      <c r="K19" s="12">
        <f t="shared" si="3"/>
        <v>0.95380029806259325</v>
      </c>
      <c r="L19" s="13">
        <f t="shared" si="0"/>
        <v>16.623376623376622</v>
      </c>
      <c r="M19" s="82">
        <f t="shared" si="1"/>
        <v>267.51491186637628</v>
      </c>
      <c r="N19" s="16">
        <v>1755</v>
      </c>
      <c r="O19" s="103">
        <v>5</v>
      </c>
      <c r="P19" s="67">
        <v>150</v>
      </c>
      <c r="Q19" s="10">
        <v>200</v>
      </c>
      <c r="R19" s="19">
        <v>394</v>
      </c>
      <c r="S19" s="81">
        <f>2.25*T19</f>
        <v>0.65249999999999997</v>
      </c>
      <c r="T19" s="16">
        <v>0.28999999999999998</v>
      </c>
      <c r="U19" s="140"/>
      <c r="V19" s="10" t="s">
        <v>6</v>
      </c>
      <c r="W19" s="64">
        <v>63</v>
      </c>
      <c r="X19" s="80">
        <v>3.63</v>
      </c>
      <c r="Y19" s="10" t="s">
        <v>4</v>
      </c>
      <c r="Z19" s="10" t="s">
        <v>133</v>
      </c>
      <c r="AA19" s="10">
        <v>356</v>
      </c>
      <c r="AB19" s="22" t="s">
        <v>134</v>
      </c>
      <c r="AC19" s="16" t="s">
        <v>19</v>
      </c>
      <c r="AD19" s="16" t="s">
        <v>19</v>
      </c>
      <c r="AE19" s="16">
        <v>445</v>
      </c>
      <c r="AF19" s="24">
        <f t="shared" si="6"/>
        <v>150.78651685393257</v>
      </c>
      <c r="AG19" s="131"/>
      <c r="AH19" s="125"/>
      <c r="AI19" s="127"/>
      <c r="AJ19" s="116">
        <v>77</v>
      </c>
      <c r="AK19" s="13">
        <f>AI18/I19</f>
        <v>1.4903129657228018</v>
      </c>
      <c r="AN19" s="1"/>
      <c r="AO19" s="7"/>
      <c r="AU19" s="6"/>
      <c r="AW19" s="6"/>
    </row>
    <row r="20" spans="2:49" x14ac:dyDescent="0.2">
      <c r="B20" s="144" t="s">
        <v>158</v>
      </c>
      <c r="C20" s="93">
        <v>2014</v>
      </c>
      <c r="D20" s="93">
        <v>2017</v>
      </c>
      <c r="E20" s="11">
        <v>140</v>
      </c>
      <c r="F20" s="89"/>
      <c r="G20" s="11">
        <v>200</v>
      </c>
      <c r="H20" s="89">
        <v>41100</v>
      </c>
      <c r="I20" s="10">
        <v>36</v>
      </c>
      <c r="J20" s="11">
        <v>28</v>
      </c>
      <c r="K20" s="12">
        <f t="shared" si="3"/>
        <v>0.77777777777777779</v>
      </c>
      <c r="L20" s="13">
        <f t="shared" si="0"/>
        <v>20</v>
      </c>
      <c r="M20" s="82">
        <f t="shared" si="1"/>
        <v>321.85387833923397</v>
      </c>
      <c r="N20" s="129">
        <v>1720</v>
      </c>
      <c r="O20" s="104">
        <v>5</v>
      </c>
      <c r="P20" s="142">
        <v>132</v>
      </c>
      <c r="Q20" s="129">
        <v>179</v>
      </c>
      <c r="R20" s="129">
        <v>340</v>
      </c>
      <c r="S20" s="128">
        <v>0.57999999999999996</v>
      </c>
      <c r="T20" s="129">
        <v>0.24</v>
      </c>
      <c r="U20" s="140"/>
      <c r="V20" s="129" t="s">
        <v>3</v>
      </c>
      <c r="W20" s="142">
        <v>2.7</v>
      </c>
      <c r="X20" s="129">
        <v>3.6</v>
      </c>
      <c r="Y20" s="129" t="s">
        <v>5</v>
      </c>
      <c r="Z20" s="129" t="s">
        <v>26</v>
      </c>
      <c r="AA20" s="129">
        <v>302</v>
      </c>
      <c r="AB20" s="128" t="s">
        <v>87</v>
      </c>
      <c r="AC20" s="129">
        <v>45</v>
      </c>
      <c r="AD20" s="129">
        <f>W20*X20/AC20*1000</f>
        <v>216.00000000000003</v>
      </c>
      <c r="AE20" s="129">
        <v>270</v>
      </c>
      <c r="AF20" s="141">
        <f t="shared" si="6"/>
        <v>133.33333333333334</v>
      </c>
      <c r="AG20" s="135" t="s">
        <v>93</v>
      </c>
      <c r="AH20" s="141">
        <v>11</v>
      </c>
      <c r="AI20" s="141" t="s">
        <v>98</v>
      </c>
      <c r="AJ20" s="126" t="s">
        <v>98</v>
      </c>
      <c r="AK20" s="132">
        <f>AH20/I20</f>
        <v>0.30555555555555558</v>
      </c>
      <c r="AN20" s="1"/>
      <c r="AO20" s="7"/>
      <c r="AU20" s="6"/>
      <c r="AW20" s="6"/>
    </row>
    <row r="21" spans="2:49" x14ac:dyDescent="0.2">
      <c r="B21" s="144"/>
      <c r="C21" s="93">
        <v>2014</v>
      </c>
      <c r="D21" s="93">
        <v>2017</v>
      </c>
      <c r="E21" s="11">
        <v>161</v>
      </c>
      <c r="F21" s="89"/>
      <c r="G21" s="11">
        <v>230</v>
      </c>
      <c r="H21" s="89">
        <v>41400</v>
      </c>
      <c r="I21" s="10">
        <v>36</v>
      </c>
      <c r="J21" s="11">
        <v>33.5</v>
      </c>
      <c r="K21" s="12">
        <f t="shared" si="3"/>
        <v>0.93055555555555558</v>
      </c>
      <c r="L21" s="13">
        <f t="shared" si="0"/>
        <v>20.80745341614907</v>
      </c>
      <c r="M21" s="82">
        <f t="shared" si="1"/>
        <v>334.84797901752609</v>
      </c>
      <c r="N21" s="129"/>
      <c r="O21" s="105"/>
      <c r="P21" s="143"/>
      <c r="Q21" s="129"/>
      <c r="R21" s="129"/>
      <c r="S21" s="128"/>
      <c r="T21" s="129"/>
      <c r="U21" s="140"/>
      <c r="V21" s="129"/>
      <c r="W21" s="143"/>
      <c r="X21" s="129"/>
      <c r="Y21" s="129"/>
      <c r="Z21" s="129"/>
      <c r="AA21" s="129"/>
      <c r="AB21" s="128"/>
      <c r="AC21" s="129"/>
      <c r="AD21" s="129"/>
      <c r="AE21" s="129"/>
      <c r="AF21" s="141"/>
      <c r="AG21" s="135"/>
      <c r="AH21" s="141"/>
      <c r="AI21" s="141"/>
      <c r="AJ21" s="127"/>
      <c r="AK21" s="132"/>
      <c r="AN21" s="1"/>
      <c r="AO21" s="7"/>
      <c r="AU21" s="6"/>
      <c r="AW21" s="6"/>
    </row>
    <row r="22" spans="2:49" x14ac:dyDescent="0.2">
      <c r="B22" s="76" t="s">
        <v>159</v>
      </c>
      <c r="C22" s="93">
        <v>2020</v>
      </c>
      <c r="D22" s="93"/>
      <c r="E22" s="49">
        <v>320</v>
      </c>
      <c r="F22" s="49"/>
      <c r="G22" s="49">
        <v>400</v>
      </c>
      <c r="H22" s="49"/>
      <c r="I22" s="19">
        <v>67.099999999999994</v>
      </c>
      <c r="J22" s="49">
        <f>60</f>
        <v>60</v>
      </c>
      <c r="K22" s="12">
        <f t="shared" si="3"/>
        <v>0.89418777943368111</v>
      </c>
      <c r="L22" s="13">
        <f t="shared" si="0"/>
        <v>18.75</v>
      </c>
      <c r="M22" s="82">
        <f t="shared" si="1"/>
        <v>301.73801094303184</v>
      </c>
      <c r="N22" s="66" t="s">
        <v>19</v>
      </c>
      <c r="O22" s="106">
        <v>5</v>
      </c>
      <c r="P22" s="75">
        <v>200</v>
      </c>
      <c r="Q22" s="65">
        <f>P22*Q23/P23</f>
        <v>268</v>
      </c>
      <c r="R22" s="72">
        <v>500</v>
      </c>
      <c r="S22" s="16" t="s">
        <v>19</v>
      </c>
      <c r="T22" s="16" t="s">
        <v>19</v>
      </c>
      <c r="U22" s="140"/>
      <c r="V22" s="72" t="s">
        <v>6</v>
      </c>
      <c r="W22" s="64">
        <v>63</v>
      </c>
      <c r="X22" s="65">
        <v>3.7</v>
      </c>
      <c r="Y22" s="10" t="s">
        <v>4</v>
      </c>
      <c r="Z22" s="10" t="s">
        <v>13</v>
      </c>
      <c r="AA22" s="65">
        <v>360</v>
      </c>
      <c r="AB22" s="65" t="s">
        <v>25</v>
      </c>
      <c r="AC22" s="16" t="s">
        <v>19</v>
      </c>
      <c r="AD22" s="16" t="s">
        <v>19</v>
      </c>
      <c r="AE22" s="16" t="s">
        <v>19</v>
      </c>
      <c r="AF22" s="16" t="s">
        <v>19</v>
      </c>
      <c r="AG22" s="74" t="s">
        <v>126</v>
      </c>
      <c r="AH22" s="86">
        <v>7.4</v>
      </c>
      <c r="AI22" s="77">
        <v>110</v>
      </c>
      <c r="AJ22" s="95"/>
      <c r="AK22" s="13">
        <f>$AI$23/I22</f>
        <v>1.639344262295082</v>
      </c>
      <c r="AN22" s="1"/>
      <c r="AO22" s="7"/>
      <c r="AU22" s="6"/>
      <c r="AW22" s="6"/>
    </row>
    <row r="23" spans="2:49" ht="12.75" customHeight="1" x14ac:dyDescent="0.2">
      <c r="B23" s="60" t="s">
        <v>160</v>
      </c>
      <c r="C23" s="93">
        <v>2019</v>
      </c>
      <c r="D23" s="93"/>
      <c r="E23" s="49">
        <v>360</v>
      </c>
      <c r="F23" s="49"/>
      <c r="G23" s="90">
        <v>450</v>
      </c>
      <c r="H23" s="90"/>
      <c r="I23" s="19">
        <v>89.5</v>
      </c>
      <c r="J23" s="60">
        <v>80</v>
      </c>
      <c r="K23" s="12">
        <f t="shared" si="3"/>
        <v>0.8938547486033519</v>
      </c>
      <c r="L23" s="13">
        <f t="shared" si="0"/>
        <v>22.222222222222221</v>
      </c>
      <c r="M23" s="82">
        <f t="shared" si="1"/>
        <v>357.61542037692664</v>
      </c>
      <c r="N23" s="66">
        <v>2425</v>
      </c>
      <c r="O23" s="106">
        <v>5</v>
      </c>
      <c r="P23" s="59">
        <v>300</v>
      </c>
      <c r="Q23" s="57">
        <v>402</v>
      </c>
      <c r="R23" s="57">
        <v>765</v>
      </c>
      <c r="S23" s="16" t="s">
        <v>19</v>
      </c>
      <c r="T23" s="16" t="s">
        <v>19</v>
      </c>
      <c r="U23" s="140"/>
      <c r="V23" s="57" t="s">
        <v>6</v>
      </c>
      <c r="W23" s="64">
        <v>63</v>
      </c>
      <c r="X23" s="65">
        <v>3.7</v>
      </c>
      <c r="Y23" s="10" t="s">
        <v>4</v>
      </c>
      <c r="Z23" s="10" t="s">
        <v>13</v>
      </c>
      <c r="AA23" s="85">
        <v>360</v>
      </c>
      <c r="AB23" s="85" t="s">
        <v>122</v>
      </c>
      <c r="AC23" s="16" t="s">
        <v>19</v>
      </c>
      <c r="AD23" s="16" t="s">
        <v>19</v>
      </c>
      <c r="AE23" s="16">
        <v>650</v>
      </c>
      <c r="AF23" s="24">
        <f>I23/AE23*1000</f>
        <v>137.69230769230771</v>
      </c>
      <c r="AG23" s="58" t="s">
        <v>93</v>
      </c>
      <c r="AH23" s="86">
        <v>7.4</v>
      </c>
      <c r="AI23" s="61">
        <v>110</v>
      </c>
      <c r="AJ23" s="95"/>
      <c r="AK23" s="13">
        <f>$AI$23/I23</f>
        <v>1.229050279329609</v>
      </c>
      <c r="AN23" s="1"/>
      <c r="AO23" s="7"/>
      <c r="AU23" s="6"/>
      <c r="AW23" s="6"/>
    </row>
    <row r="24" spans="2:49" x14ac:dyDescent="0.2">
      <c r="B24" s="39" t="s">
        <v>161</v>
      </c>
      <c r="C24" s="93">
        <v>2010</v>
      </c>
      <c r="D24" s="93"/>
      <c r="E24" s="22">
        <v>100</v>
      </c>
      <c r="F24" s="22"/>
      <c r="G24" s="22">
        <v>150</v>
      </c>
      <c r="H24" s="22">
        <v>23350</v>
      </c>
      <c r="I24" s="16">
        <v>16.2</v>
      </c>
      <c r="J24" s="16">
        <v>14.7</v>
      </c>
      <c r="K24" s="12">
        <f t="shared" si="3"/>
        <v>0.90740740740740744</v>
      </c>
      <c r="L24" s="13">
        <f t="shared" si="0"/>
        <v>14.7</v>
      </c>
      <c r="M24" s="82">
        <f t="shared" si="1"/>
        <v>236.56260057933699</v>
      </c>
      <c r="N24" s="37">
        <v>1090</v>
      </c>
      <c r="O24" s="99">
        <v>4</v>
      </c>
      <c r="P24" s="37">
        <v>49</v>
      </c>
      <c r="Q24" s="37">
        <v>67</v>
      </c>
      <c r="R24" s="37">
        <v>180</v>
      </c>
      <c r="S24" s="63">
        <v>0.70599999999999996</v>
      </c>
      <c r="T24" s="37">
        <v>0.35</v>
      </c>
      <c r="U24" s="140"/>
      <c r="V24" s="10" t="s">
        <v>115</v>
      </c>
      <c r="W24" s="22">
        <v>50</v>
      </c>
      <c r="X24" s="22">
        <v>3.7</v>
      </c>
      <c r="Y24" s="10" t="s">
        <v>11</v>
      </c>
      <c r="Z24" s="22" t="s">
        <v>116</v>
      </c>
      <c r="AA24" s="22">
        <v>325</v>
      </c>
      <c r="AB24" s="22" t="s">
        <v>131</v>
      </c>
      <c r="AC24" s="16">
        <v>1700</v>
      </c>
      <c r="AD24" s="24">
        <f t="shared" ref="AD24:AD53" si="8">W24*X24/AC24*1000</f>
        <v>108.82352941176471</v>
      </c>
      <c r="AE24" s="1">
        <v>173</v>
      </c>
      <c r="AF24" s="24">
        <f>I24/AE24*1000</f>
        <v>93.641618497109818</v>
      </c>
      <c r="AG24" s="38" t="s">
        <v>96</v>
      </c>
      <c r="AH24" s="40">
        <v>3.6</v>
      </c>
      <c r="AI24" s="36">
        <v>50</v>
      </c>
      <c r="AJ24" s="95">
        <v>42</v>
      </c>
      <c r="AK24" s="13">
        <f>$AI$27/I24</f>
        <v>3.0864197530864197</v>
      </c>
      <c r="AN24" s="1"/>
      <c r="AO24" s="7"/>
      <c r="AU24" s="6"/>
      <c r="AW24" s="6"/>
    </row>
    <row r="25" spans="2:49" x14ac:dyDescent="0.2">
      <c r="B25" s="60" t="s">
        <v>163</v>
      </c>
      <c r="C25" s="93">
        <v>2014</v>
      </c>
      <c r="D25" s="93">
        <v>2018</v>
      </c>
      <c r="E25" s="22">
        <v>117</v>
      </c>
      <c r="F25" s="22"/>
      <c r="G25" s="22">
        <v>170</v>
      </c>
      <c r="H25" s="22"/>
      <c r="I25" s="16">
        <v>24</v>
      </c>
      <c r="J25" s="16">
        <v>21.3</v>
      </c>
      <c r="K25" s="12">
        <f t="shared" si="3"/>
        <v>0.88750000000000007</v>
      </c>
      <c r="L25" s="13">
        <f t="shared" si="0"/>
        <v>18.205128205128208</v>
      </c>
      <c r="M25" s="82">
        <f t="shared" si="1"/>
        <v>292.96955592417453</v>
      </c>
      <c r="N25" s="57">
        <v>1542</v>
      </c>
      <c r="O25" s="99">
        <v>7</v>
      </c>
      <c r="P25" s="57">
        <v>80</v>
      </c>
      <c r="Q25" s="57">
        <v>109</v>
      </c>
      <c r="R25" s="57">
        <v>254</v>
      </c>
      <c r="S25" s="63">
        <v>0.98</v>
      </c>
      <c r="T25" s="57">
        <v>0.31</v>
      </c>
      <c r="U25" s="140"/>
      <c r="V25" s="10" t="s">
        <v>1</v>
      </c>
      <c r="W25" s="10">
        <v>33</v>
      </c>
      <c r="X25" s="10">
        <v>3.75</v>
      </c>
      <c r="Y25" s="10" t="s">
        <v>4</v>
      </c>
      <c r="Z25" s="10" t="s">
        <v>125</v>
      </c>
      <c r="AA25" s="10">
        <v>360</v>
      </c>
      <c r="AB25" s="10" t="s">
        <v>24</v>
      </c>
      <c r="AC25" s="10">
        <v>787</v>
      </c>
      <c r="AD25" s="24">
        <f t="shared" ref="AD25:AD26" si="9">W25*X25/AC25*1000</f>
        <v>157.24269377382467</v>
      </c>
      <c r="AE25" s="10">
        <v>273</v>
      </c>
      <c r="AF25" s="24">
        <f>I25/AE25*1000</f>
        <v>87.912087912087912</v>
      </c>
      <c r="AG25" s="58" t="s">
        <v>94</v>
      </c>
      <c r="AH25" s="62">
        <v>6.6</v>
      </c>
      <c r="AI25" s="56">
        <v>50</v>
      </c>
      <c r="AJ25" s="91"/>
      <c r="AK25" s="13">
        <f>$AI$25/I25</f>
        <v>2.0833333333333335</v>
      </c>
      <c r="AN25" s="1"/>
      <c r="AO25" s="7"/>
      <c r="AU25" s="6"/>
      <c r="AW25" s="6"/>
    </row>
    <row r="26" spans="2:49" x14ac:dyDescent="0.2">
      <c r="B26" s="60" t="s">
        <v>162</v>
      </c>
      <c r="C26" s="93">
        <v>2018</v>
      </c>
      <c r="D26" s="93"/>
      <c r="E26" s="22">
        <v>193</v>
      </c>
      <c r="F26" s="22"/>
      <c r="G26" s="22">
        <v>280</v>
      </c>
      <c r="H26" s="22">
        <v>40068</v>
      </c>
      <c r="I26" s="18">
        <f>56.3*3.65*192/1000</f>
        <v>39.455039999999997</v>
      </c>
      <c r="J26" s="20">
        <v>38.4</v>
      </c>
      <c r="K26" s="12">
        <f t="shared" ref="K26" si="10">1-(I26-J26)/I26</f>
        <v>0.9732596900167888</v>
      </c>
      <c r="L26" s="13">
        <f t="shared" si="0"/>
        <v>19.896373056994818</v>
      </c>
      <c r="M26" s="82">
        <f t="shared" si="1"/>
        <v>320.18624166390111</v>
      </c>
      <c r="N26" s="57">
        <v>1689</v>
      </c>
      <c r="O26" s="99">
        <v>7</v>
      </c>
      <c r="P26" s="57">
        <v>80</v>
      </c>
      <c r="Q26" s="57">
        <v>109</v>
      </c>
      <c r="R26" s="57">
        <v>254</v>
      </c>
      <c r="S26" s="63">
        <v>0.98</v>
      </c>
      <c r="T26" s="57">
        <v>0.31</v>
      </c>
      <c r="U26" s="140"/>
      <c r="V26" s="10" t="s">
        <v>10</v>
      </c>
      <c r="W26" s="22">
        <v>56</v>
      </c>
      <c r="X26" s="22">
        <v>3.65</v>
      </c>
      <c r="Y26" s="10" t="s">
        <v>4</v>
      </c>
      <c r="Z26" s="10" t="s">
        <v>13</v>
      </c>
      <c r="AA26" s="22">
        <v>360</v>
      </c>
      <c r="AB26" s="10" t="s">
        <v>24</v>
      </c>
      <c r="AC26" s="16">
        <v>914</v>
      </c>
      <c r="AD26" s="24">
        <f t="shared" si="9"/>
        <v>223.63238512035011</v>
      </c>
      <c r="AE26" s="16" t="s">
        <v>19</v>
      </c>
      <c r="AF26" s="25" t="s">
        <v>19</v>
      </c>
      <c r="AG26" s="58" t="s">
        <v>94</v>
      </c>
      <c r="AH26" s="62">
        <v>6.6</v>
      </c>
      <c r="AI26" s="56">
        <v>50</v>
      </c>
      <c r="AJ26" s="91"/>
      <c r="AK26" s="13">
        <f>$AI$26/I26</f>
        <v>1.2672652213760272</v>
      </c>
      <c r="AN26" s="1"/>
      <c r="AO26" s="7"/>
      <c r="AU26" s="6"/>
      <c r="AW26" s="6"/>
    </row>
    <row r="27" spans="2:49" x14ac:dyDescent="0.2">
      <c r="B27" s="10" t="s">
        <v>164</v>
      </c>
      <c r="C27" s="10">
        <v>2011</v>
      </c>
      <c r="D27" s="10">
        <v>2016</v>
      </c>
      <c r="E27" s="10">
        <v>135</v>
      </c>
      <c r="F27" s="10"/>
      <c r="G27" s="10">
        <v>199</v>
      </c>
      <c r="H27" s="10"/>
      <c r="I27" s="10">
        <v>24</v>
      </c>
      <c r="J27" s="10">
        <v>21.3</v>
      </c>
      <c r="K27" s="12">
        <f t="shared" si="3"/>
        <v>0.88750000000000007</v>
      </c>
      <c r="L27" s="13">
        <f t="shared" si="0"/>
        <v>15.777777777777779</v>
      </c>
      <c r="M27" s="82">
        <f t="shared" si="1"/>
        <v>253.90694846761795</v>
      </c>
      <c r="N27" s="14">
        <v>1578</v>
      </c>
      <c r="O27" s="99">
        <v>5</v>
      </c>
      <c r="P27" s="14">
        <v>80</v>
      </c>
      <c r="Q27" s="14">
        <v>109</v>
      </c>
      <c r="R27" s="14">
        <v>254</v>
      </c>
      <c r="S27" s="15">
        <f>2.27*T27</f>
        <v>0.6583</v>
      </c>
      <c r="T27" s="10">
        <v>0.28999999999999998</v>
      </c>
      <c r="U27" s="140"/>
      <c r="V27" s="10" t="s">
        <v>1</v>
      </c>
      <c r="W27" s="10">
        <v>33</v>
      </c>
      <c r="X27" s="10">
        <v>3.75</v>
      </c>
      <c r="Y27" s="10" t="s">
        <v>4</v>
      </c>
      <c r="Z27" s="10" t="s">
        <v>14</v>
      </c>
      <c r="AA27" s="10">
        <v>360</v>
      </c>
      <c r="AB27" s="10" t="s">
        <v>24</v>
      </c>
      <c r="AC27" s="10">
        <v>787</v>
      </c>
      <c r="AD27" s="24">
        <f t="shared" si="8"/>
        <v>157.24269377382467</v>
      </c>
      <c r="AE27" s="10">
        <v>273</v>
      </c>
      <c r="AF27" s="24">
        <f>I27/AE27*1000</f>
        <v>87.912087912087912</v>
      </c>
      <c r="AG27" s="135" t="s">
        <v>94</v>
      </c>
      <c r="AH27" s="126">
        <v>7</v>
      </c>
      <c r="AI27" s="126">
        <v>50</v>
      </c>
      <c r="AJ27" s="95">
        <v>47</v>
      </c>
      <c r="AK27" s="13">
        <f>$AI$27/I27</f>
        <v>2.0833333333333335</v>
      </c>
      <c r="AN27" s="1"/>
      <c r="AO27" s="7"/>
      <c r="AU27" s="6"/>
      <c r="AW27" s="6"/>
    </row>
    <row r="28" spans="2:49" x14ac:dyDescent="0.2">
      <c r="B28" s="10" t="s">
        <v>165</v>
      </c>
      <c r="C28" s="10">
        <v>2016</v>
      </c>
      <c r="D28" s="10">
        <v>2017</v>
      </c>
      <c r="E28" s="10">
        <v>172</v>
      </c>
      <c r="F28" s="10"/>
      <c r="G28" s="10">
        <v>250</v>
      </c>
      <c r="H28" s="10">
        <v>31900</v>
      </c>
      <c r="I28" s="10">
        <v>30</v>
      </c>
      <c r="J28" s="10">
        <f>(27.3+28.9)/2</f>
        <v>28.1</v>
      </c>
      <c r="K28" s="12">
        <f t="shared" si="3"/>
        <v>0.93666666666666676</v>
      </c>
      <c r="L28" s="13">
        <f t="shared" si="0"/>
        <v>16.337209302325579</v>
      </c>
      <c r="M28" s="82">
        <f t="shared" si="1"/>
        <v>262.90970875966497</v>
      </c>
      <c r="N28" s="14">
        <v>1595</v>
      </c>
      <c r="O28" s="99">
        <v>5</v>
      </c>
      <c r="P28" s="14">
        <v>80</v>
      </c>
      <c r="Q28" s="14">
        <v>109</v>
      </c>
      <c r="R28" s="14">
        <v>254</v>
      </c>
      <c r="S28" s="15">
        <f>2.27*T28</f>
        <v>0.6583</v>
      </c>
      <c r="T28" s="10">
        <v>0.28999999999999998</v>
      </c>
      <c r="U28" s="140"/>
      <c r="V28" s="10" t="s">
        <v>1</v>
      </c>
      <c r="W28" s="22">
        <v>41</v>
      </c>
      <c r="X28" s="22">
        <v>3.75</v>
      </c>
      <c r="Y28" s="10" t="s">
        <v>4</v>
      </c>
      <c r="Z28" s="10" t="s">
        <v>14</v>
      </c>
      <c r="AA28" s="22">
        <v>360</v>
      </c>
      <c r="AB28" s="10" t="s">
        <v>24</v>
      </c>
      <c r="AC28" s="10">
        <v>799</v>
      </c>
      <c r="AD28" s="24">
        <f t="shared" si="8"/>
        <v>192.42803504380475</v>
      </c>
      <c r="AE28" s="10">
        <v>294</v>
      </c>
      <c r="AF28" s="24">
        <f>I28/AE28*1000</f>
        <v>102.04081632653062</v>
      </c>
      <c r="AG28" s="135"/>
      <c r="AH28" s="133"/>
      <c r="AI28" s="133"/>
      <c r="AJ28" s="95">
        <v>47</v>
      </c>
      <c r="AK28" s="13">
        <f>$AI$27/I28</f>
        <v>1.6666666666666667</v>
      </c>
      <c r="AN28" s="1"/>
      <c r="AO28" s="7"/>
      <c r="AU28" s="6"/>
      <c r="AW28" s="6"/>
    </row>
    <row r="29" spans="2:49" x14ac:dyDescent="0.2">
      <c r="B29" s="10" t="s">
        <v>166</v>
      </c>
      <c r="C29" s="10">
        <v>2018</v>
      </c>
      <c r="D29" s="10"/>
      <c r="E29" s="22">
        <v>243</v>
      </c>
      <c r="F29" s="22">
        <v>270</v>
      </c>
      <c r="G29" s="22">
        <v>378</v>
      </c>
      <c r="H29" s="22">
        <v>35400</v>
      </c>
      <c r="I29" s="18">
        <f>56.3*3.65*192/1000</f>
        <v>39.455039999999997</v>
      </c>
      <c r="J29" s="20">
        <v>38.4</v>
      </c>
      <c r="K29" s="12">
        <f t="shared" si="3"/>
        <v>0.9732596900167888</v>
      </c>
      <c r="L29" s="83">
        <f t="shared" si="0"/>
        <v>15.802469135802468</v>
      </c>
      <c r="M29" s="82">
        <f t="shared" si="1"/>
        <v>254.30429893470338</v>
      </c>
      <c r="N29" s="23">
        <v>1557</v>
      </c>
      <c r="O29" s="99">
        <v>5</v>
      </c>
      <c r="P29" s="23">
        <v>110</v>
      </c>
      <c r="Q29" s="23">
        <v>147</v>
      </c>
      <c r="R29" s="23">
        <v>320</v>
      </c>
      <c r="S29" s="15">
        <f>2.27*T29</f>
        <v>0.63560000000000005</v>
      </c>
      <c r="T29" s="10">
        <v>0.28000000000000003</v>
      </c>
      <c r="U29" s="140"/>
      <c r="V29" s="10" t="s">
        <v>10</v>
      </c>
      <c r="W29" s="22">
        <v>56</v>
      </c>
      <c r="X29" s="22">
        <v>3.65</v>
      </c>
      <c r="Y29" s="10" t="s">
        <v>4</v>
      </c>
      <c r="Z29" s="10" t="s">
        <v>13</v>
      </c>
      <c r="AA29" s="22">
        <v>360</v>
      </c>
      <c r="AB29" s="10" t="s">
        <v>24</v>
      </c>
      <c r="AC29" s="16">
        <v>914</v>
      </c>
      <c r="AD29" s="24">
        <f t="shared" si="8"/>
        <v>223.63238512035011</v>
      </c>
      <c r="AE29" s="20">
        <v>330</v>
      </c>
      <c r="AF29" s="55">
        <f>I29/AE29*1000</f>
        <v>119.56072727272726</v>
      </c>
      <c r="AG29" s="135"/>
      <c r="AH29" s="127"/>
      <c r="AI29" s="127"/>
      <c r="AJ29" s="92">
        <v>45</v>
      </c>
      <c r="AK29" s="13">
        <f>$AI$27/I29</f>
        <v>1.2672652213760272</v>
      </c>
      <c r="AN29" s="1"/>
      <c r="AO29" s="7"/>
      <c r="AU29" s="6"/>
      <c r="AW29" s="6"/>
    </row>
    <row r="30" spans="2:49" x14ac:dyDescent="0.2">
      <c r="B30" s="10" t="s">
        <v>167</v>
      </c>
      <c r="C30" s="10">
        <v>2019</v>
      </c>
      <c r="D30" s="10"/>
      <c r="E30" s="55">
        <f>226*1.60934</f>
        <v>363.71084000000002</v>
      </c>
      <c r="F30" s="19">
        <v>385</v>
      </c>
      <c r="G30" s="19">
        <v>560</v>
      </c>
      <c r="H30" s="19">
        <v>45500</v>
      </c>
      <c r="I30" s="55">
        <f>W30*X30*288/1000</f>
        <v>62.020799999999994</v>
      </c>
      <c r="J30" s="20">
        <f>60</f>
        <v>60</v>
      </c>
      <c r="K30" s="12">
        <f t="shared" si="3"/>
        <v>0.96741738255552989</v>
      </c>
      <c r="L30" s="21">
        <f t="shared" si="0"/>
        <v>16.49662132698602</v>
      </c>
      <c r="M30" s="55">
        <f t="shared" si="1"/>
        <v>265.47507767920854</v>
      </c>
      <c r="N30" s="20">
        <v>1630</v>
      </c>
      <c r="O30" s="46">
        <v>5</v>
      </c>
      <c r="P30" s="72">
        <v>160</v>
      </c>
      <c r="Q30" s="123">
        <v>215</v>
      </c>
      <c r="R30" s="16">
        <v>340</v>
      </c>
      <c r="S30" s="16" t="s">
        <v>19</v>
      </c>
      <c r="T30" s="16" t="s">
        <v>19</v>
      </c>
      <c r="U30" s="140"/>
      <c r="V30" s="10" t="s">
        <v>1</v>
      </c>
      <c r="W30" s="19">
        <v>59</v>
      </c>
      <c r="X30" s="19">
        <v>3.65</v>
      </c>
      <c r="Y30" s="10" t="s">
        <v>4</v>
      </c>
      <c r="Z30" s="10" t="s">
        <v>13</v>
      </c>
      <c r="AA30" s="22">
        <v>360</v>
      </c>
      <c r="AB30" s="22" t="s">
        <v>25</v>
      </c>
      <c r="AC30" s="20">
        <v>826</v>
      </c>
      <c r="AD30" s="146">
        <v>260</v>
      </c>
      <c r="AE30" s="20">
        <v>390</v>
      </c>
      <c r="AF30" s="55">
        <f>I30/AE30*1000</f>
        <v>159.02769230769229</v>
      </c>
      <c r="AG30" s="145" t="s">
        <v>96</v>
      </c>
      <c r="AH30" s="71">
        <v>22</v>
      </c>
      <c r="AI30" s="71">
        <v>100</v>
      </c>
      <c r="AJ30" s="96"/>
      <c r="AK30" s="13">
        <f>$AI$30/I30</f>
        <v>1.6123623042592163</v>
      </c>
      <c r="AN30" s="1"/>
      <c r="AO30" s="7"/>
      <c r="AU30" s="6"/>
      <c r="AW30" s="6"/>
    </row>
    <row r="31" spans="2:49" x14ac:dyDescent="0.2">
      <c r="B31" s="10" t="s">
        <v>189</v>
      </c>
      <c r="C31" s="10">
        <v>2019</v>
      </c>
      <c r="D31" s="10"/>
      <c r="E31" s="107">
        <v>300</v>
      </c>
      <c r="F31" s="22">
        <v>320</v>
      </c>
      <c r="G31" s="22"/>
      <c r="H31" s="22"/>
      <c r="I31" s="20">
        <v>53</v>
      </c>
      <c r="J31" s="16">
        <v>50</v>
      </c>
      <c r="K31" s="12">
        <f t="shared" si="3"/>
        <v>0.94339622641509435</v>
      </c>
      <c r="L31" s="21">
        <f t="shared" si="0"/>
        <v>16.666666666666664</v>
      </c>
      <c r="M31" s="55">
        <f t="shared" si="1"/>
        <v>268.21156528269495</v>
      </c>
      <c r="N31" s="94"/>
      <c r="O31" s="99">
        <v>5</v>
      </c>
      <c r="P31" s="94">
        <v>100</v>
      </c>
      <c r="Q31" s="94">
        <v>136</v>
      </c>
      <c r="R31" s="94">
        <v>260</v>
      </c>
      <c r="S31" s="43"/>
      <c r="T31" s="10"/>
      <c r="U31" s="140"/>
      <c r="V31" s="10" t="s">
        <v>188</v>
      </c>
      <c r="W31" s="19">
        <v>72</v>
      </c>
      <c r="X31" s="19">
        <v>3.7</v>
      </c>
      <c r="Y31" s="19" t="s">
        <v>11</v>
      </c>
      <c r="Z31" s="10" t="s">
        <v>13</v>
      </c>
      <c r="AA31" s="22">
        <v>370</v>
      </c>
      <c r="AB31" s="19" t="s">
        <v>89</v>
      </c>
      <c r="AC31" s="16"/>
      <c r="AD31" s="24"/>
      <c r="AE31" s="16"/>
      <c r="AF31" s="24"/>
      <c r="AG31" s="100"/>
      <c r="AH31" s="95">
        <v>11</v>
      </c>
      <c r="AI31" s="95">
        <v>100</v>
      </c>
      <c r="AJ31" s="95"/>
      <c r="AK31" s="13">
        <f>AI31/I31</f>
        <v>1.8867924528301887</v>
      </c>
      <c r="AN31" s="1"/>
      <c r="AO31" s="7"/>
      <c r="AU31" s="6"/>
      <c r="AW31" s="6"/>
    </row>
    <row r="32" spans="2:49" x14ac:dyDescent="0.2">
      <c r="B32" s="10" t="s">
        <v>112</v>
      </c>
      <c r="C32" s="10">
        <v>2010</v>
      </c>
      <c r="D32" s="10">
        <v>2012</v>
      </c>
      <c r="E32" s="22">
        <v>96</v>
      </c>
      <c r="F32" s="22"/>
      <c r="G32" s="22">
        <v>150</v>
      </c>
      <c r="H32" s="22"/>
      <c r="I32" s="16">
        <v>16.2</v>
      </c>
      <c r="J32" s="16">
        <v>14.7</v>
      </c>
      <c r="K32" s="12">
        <f t="shared" si="3"/>
        <v>0.90740740740740744</v>
      </c>
      <c r="L32" s="13">
        <f t="shared" si="0"/>
        <v>15.312499999999998</v>
      </c>
      <c r="M32" s="82">
        <f t="shared" si="1"/>
        <v>246.419375603476</v>
      </c>
      <c r="N32" s="37">
        <v>1065</v>
      </c>
      <c r="O32" s="99">
        <v>4</v>
      </c>
      <c r="P32" s="37">
        <v>49</v>
      </c>
      <c r="Q32" s="37">
        <v>67</v>
      </c>
      <c r="R32" s="37">
        <v>180</v>
      </c>
      <c r="S32" s="15">
        <f>0.706</f>
        <v>0.70599999999999996</v>
      </c>
      <c r="T32" s="10">
        <v>0.33</v>
      </c>
      <c r="U32" s="140"/>
      <c r="V32" s="10" t="s">
        <v>115</v>
      </c>
      <c r="W32" s="22">
        <v>50</v>
      </c>
      <c r="X32" s="22">
        <v>3.7</v>
      </c>
      <c r="Y32" s="10" t="s">
        <v>11</v>
      </c>
      <c r="Z32" s="22" t="s">
        <v>116</v>
      </c>
      <c r="AA32" s="22">
        <v>325</v>
      </c>
      <c r="AB32" s="22" t="s">
        <v>131</v>
      </c>
      <c r="AC32" s="16">
        <v>1700</v>
      </c>
      <c r="AD32" s="24">
        <f t="shared" si="8"/>
        <v>108.82352941176471</v>
      </c>
      <c r="AE32" s="1">
        <v>173</v>
      </c>
      <c r="AF32" s="24">
        <f>I32/AE32*1000</f>
        <v>93.641618497109818</v>
      </c>
      <c r="AG32" s="130" t="s">
        <v>96</v>
      </c>
      <c r="AH32" s="124">
        <v>3.6</v>
      </c>
      <c r="AI32" s="126">
        <v>50</v>
      </c>
      <c r="AJ32" s="126">
        <v>42</v>
      </c>
      <c r="AK32" s="13">
        <f>$AI$27/I32</f>
        <v>3.0864197530864197</v>
      </c>
      <c r="AN32" s="1"/>
      <c r="AO32" s="7"/>
      <c r="AU32" s="6"/>
      <c r="AW32" s="6"/>
    </row>
    <row r="33" spans="2:49" x14ac:dyDescent="0.2">
      <c r="B33" s="10" t="s">
        <v>168</v>
      </c>
      <c r="C33" s="10">
        <v>2012</v>
      </c>
      <c r="D33" s="10"/>
      <c r="E33" s="22">
        <v>96</v>
      </c>
      <c r="F33" s="22"/>
      <c r="G33" s="22">
        <v>150</v>
      </c>
      <c r="H33" s="22">
        <v>26900</v>
      </c>
      <c r="I33" s="16">
        <v>14.8</v>
      </c>
      <c r="J33" s="16">
        <v>13.5</v>
      </c>
      <c r="K33" s="12">
        <f t="shared" si="3"/>
        <v>0.91216216216216206</v>
      </c>
      <c r="L33" s="13">
        <f t="shared" si="0"/>
        <v>14.0625</v>
      </c>
      <c r="M33" s="82">
        <f t="shared" si="1"/>
        <v>226.30350820727389</v>
      </c>
      <c r="N33" s="37">
        <v>1120</v>
      </c>
      <c r="O33" s="99">
        <v>4</v>
      </c>
      <c r="P33" s="37">
        <v>49</v>
      </c>
      <c r="Q33" s="37">
        <v>67</v>
      </c>
      <c r="R33" s="37">
        <v>180</v>
      </c>
      <c r="S33" s="15">
        <f>0.706</f>
        <v>0.70599999999999996</v>
      </c>
      <c r="T33" s="10">
        <v>0.33</v>
      </c>
      <c r="U33" s="140"/>
      <c r="V33" s="10" t="s">
        <v>115</v>
      </c>
      <c r="W33" s="22">
        <v>50</v>
      </c>
      <c r="X33" s="22">
        <v>3.7</v>
      </c>
      <c r="Y33" s="10" t="s">
        <v>11</v>
      </c>
      <c r="Z33" s="22" t="s">
        <v>116</v>
      </c>
      <c r="AA33" s="22">
        <v>296</v>
      </c>
      <c r="AB33" s="22" t="s">
        <v>130</v>
      </c>
      <c r="AC33" s="16">
        <v>1700</v>
      </c>
      <c r="AD33" s="24">
        <f>W33*X33/AC33*1000</f>
        <v>108.82352941176471</v>
      </c>
      <c r="AE33" s="16">
        <v>158</v>
      </c>
      <c r="AF33" s="24">
        <f>I33/AE33*1000</f>
        <v>93.670886075949369</v>
      </c>
      <c r="AG33" s="131"/>
      <c r="AH33" s="125"/>
      <c r="AI33" s="127"/>
      <c r="AJ33" s="127"/>
      <c r="AK33" s="13">
        <f>$AI$32/I33</f>
        <v>3.3783783783783781</v>
      </c>
      <c r="AN33" s="1"/>
      <c r="AO33" s="7"/>
      <c r="AU33" s="6"/>
      <c r="AW33" s="6"/>
    </row>
    <row r="34" spans="2:49" x14ac:dyDescent="0.2">
      <c r="B34" s="10" t="s">
        <v>169</v>
      </c>
      <c r="C34" s="10">
        <v>2019</v>
      </c>
      <c r="D34" s="10"/>
      <c r="E34" s="19">
        <v>400</v>
      </c>
      <c r="F34" s="19"/>
      <c r="G34" s="22">
        <v>500</v>
      </c>
      <c r="H34" s="22"/>
      <c r="I34" s="50">
        <f>W34*X34*432/1000</f>
        <v>95.12639999999999</v>
      </c>
      <c r="J34" s="52">
        <v>86</v>
      </c>
      <c r="K34" s="53">
        <f t="shared" si="3"/>
        <v>0.90406028189861076</v>
      </c>
      <c r="L34" s="21">
        <f t="shared" si="0"/>
        <v>21.5</v>
      </c>
      <c r="M34" s="55">
        <f t="shared" si="1"/>
        <v>345.99291921467653</v>
      </c>
      <c r="N34" s="65">
        <v>2000</v>
      </c>
      <c r="O34" s="99">
        <v>5</v>
      </c>
      <c r="P34" s="72">
        <v>440</v>
      </c>
      <c r="Q34" s="72">
        <v>608</v>
      </c>
      <c r="R34" s="72">
        <v>900</v>
      </c>
      <c r="S34" s="16" t="s">
        <v>19</v>
      </c>
      <c r="T34" s="16" t="s">
        <v>19</v>
      </c>
      <c r="U34" s="140"/>
      <c r="V34" s="16" t="s">
        <v>16</v>
      </c>
      <c r="W34" s="19">
        <v>60</v>
      </c>
      <c r="X34" s="19">
        <v>3.67</v>
      </c>
      <c r="Y34" s="48" t="s">
        <v>4</v>
      </c>
      <c r="Z34" s="10" t="s">
        <v>13</v>
      </c>
      <c r="AA34" s="19">
        <f>3.7*216</f>
        <v>799.2</v>
      </c>
      <c r="AB34" s="19" t="s">
        <v>127</v>
      </c>
      <c r="AC34" s="16">
        <v>815</v>
      </c>
      <c r="AD34" s="16">
        <v>270</v>
      </c>
      <c r="AE34" s="20"/>
      <c r="AF34" s="24"/>
      <c r="AG34" s="73" t="s">
        <v>101</v>
      </c>
      <c r="AH34" s="118">
        <v>11</v>
      </c>
      <c r="AI34" s="71">
        <v>350</v>
      </c>
      <c r="AJ34" s="96"/>
      <c r="AK34" s="147">
        <f>$AI$34/I34</f>
        <v>3.6793151007501601</v>
      </c>
      <c r="AN34" s="1"/>
      <c r="AO34" s="7"/>
      <c r="AU34" s="6"/>
      <c r="AW34" s="6"/>
    </row>
    <row r="35" spans="2:49" x14ac:dyDescent="0.2">
      <c r="B35" s="10" t="s">
        <v>213</v>
      </c>
      <c r="C35" s="10">
        <v>2012</v>
      </c>
      <c r="D35" s="10"/>
      <c r="E35" s="19">
        <f>50</f>
        <v>50</v>
      </c>
      <c r="F35" s="19"/>
      <c r="G35" s="82">
        <f>56*1.60934</f>
        <v>90.123040000000003</v>
      </c>
      <c r="H35" s="22">
        <v>7540</v>
      </c>
      <c r="I35" s="50">
        <f>W35*X35*42/1000</f>
        <v>6.7725</v>
      </c>
      <c r="J35" s="112">
        <v>6.1</v>
      </c>
      <c r="K35" s="113">
        <f t="shared" si="3"/>
        <v>0.90070136581764482</v>
      </c>
      <c r="L35" s="21">
        <f t="shared" si="0"/>
        <v>12.2</v>
      </c>
      <c r="M35" s="55">
        <f t="shared" si="1"/>
        <v>196.33086578693272</v>
      </c>
      <c r="N35" s="123">
        <v>450</v>
      </c>
      <c r="O35" s="123">
        <v>2</v>
      </c>
      <c r="P35" s="66" t="s">
        <v>211</v>
      </c>
      <c r="Q35" s="148" t="s">
        <v>212</v>
      </c>
      <c r="R35" s="119">
        <v>57</v>
      </c>
      <c r="S35" s="16" t="s">
        <v>19</v>
      </c>
      <c r="T35" s="16" t="s">
        <v>19</v>
      </c>
      <c r="U35" s="140"/>
      <c r="V35" s="16" t="s">
        <v>16</v>
      </c>
      <c r="W35" s="22">
        <v>43</v>
      </c>
      <c r="X35" s="22">
        <v>3.75</v>
      </c>
      <c r="Y35" s="48" t="s">
        <v>4</v>
      </c>
      <c r="Z35" s="10" t="s">
        <v>13</v>
      </c>
      <c r="AA35" s="22" t="s">
        <v>215</v>
      </c>
      <c r="AB35" s="22" t="s">
        <v>214</v>
      </c>
      <c r="AC35" s="16">
        <v>966</v>
      </c>
      <c r="AD35" s="24">
        <f>43*X35/AC35*1000</f>
        <v>166.92546583850933</v>
      </c>
      <c r="AE35" s="46">
        <v>98</v>
      </c>
      <c r="AF35" s="24">
        <f t="shared" ref="AF35:AF56" si="11">I35/AE35*1000</f>
        <v>69.107142857142847</v>
      </c>
      <c r="AG35" s="122" t="s">
        <v>94</v>
      </c>
      <c r="AH35" s="121">
        <v>2.2000000000000002</v>
      </c>
      <c r="AI35" s="120" t="s">
        <v>98</v>
      </c>
      <c r="AJ35" s="120" t="s">
        <v>98</v>
      </c>
      <c r="AK35" s="147">
        <f>AH35/I35</f>
        <v>0.32484311554078998</v>
      </c>
      <c r="AN35" s="1"/>
      <c r="AO35" s="7"/>
      <c r="AU35" s="6"/>
      <c r="AW35" s="6"/>
    </row>
    <row r="36" spans="2:49" ht="12.75" customHeight="1" x14ac:dyDescent="0.2">
      <c r="B36" s="10" t="s">
        <v>170</v>
      </c>
      <c r="C36" s="10">
        <v>2012</v>
      </c>
      <c r="D36" s="10">
        <v>2015</v>
      </c>
      <c r="E36" s="20">
        <v>146</v>
      </c>
      <c r="F36" s="20"/>
      <c r="G36" s="10">
        <v>210</v>
      </c>
      <c r="H36" s="10"/>
      <c r="I36" s="10">
        <v>25.6</v>
      </c>
      <c r="J36" s="10">
        <v>22</v>
      </c>
      <c r="K36" s="12">
        <f t="shared" si="3"/>
        <v>0.859375</v>
      </c>
      <c r="L36" s="21">
        <f t="shared" si="0"/>
        <v>15.068493150684931</v>
      </c>
      <c r="M36" s="55">
        <f t="shared" si="1"/>
        <v>242.49264806380643</v>
      </c>
      <c r="N36" s="10">
        <v>1470</v>
      </c>
      <c r="O36" s="22">
        <v>5</v>
      </c>
      <c r="P36" s="10">
        <v>65</v>
      </c>
      <c r="Q36" s="10">
        <v>88</v>
      </c>
      <c r="R36" s="10">
        <v>220</v>
      </c>
      <c r="S36" s="22">
        <v>0.75</v>
      </c>
      <c r="T36" s="10">
        <v>0.28999999999999998</v>
      </c>
      <c r="U36" s="140"/>
      <c r="V36" s="10" t="s">
        <v>16</v>
      </c>
      <c r="W36" s="10">
        <v>36</v>
      </c>
      <c r="X36" s="10">
        <v>3.75</v>
      </c>
      <c r="Y36" s="10" t="s">
        <v>4</v>
      </c>
      <c r="Z36" s="10" t="s">
        <v>15</v>
      </c>
      <c r="AA36" s="10">
        <v>360</v>
      </c>
      <c r="AB36" s="10" t="s">
        <v>24</v>
      </c>
      <c r="AC36" s="10">
        <v>860</v>
      </c>
      <c r="AD36" s="24">
        <f t="shared" si="8"/>
        <v>156.97674418604652</v>
      </c>
      <c r="AE36" s="10">
        <v>290</v>
      </c>
      <c r="AF36" s="24">
        <f t="shared" si="11"/>
        <v>88.275862068965523</v>
      </c>
      <c r="AG36" s="130" t="s">
        <v>96</v>
      </c>
      <c r="AH36" s="33">
        <v>22</v>
      </c>
      <c r="AI36" s="126" t="s">
        <v>98</v>
      </c>
      <c r="AJ36" s="126" t="s">
        <v>98</v>
      </c>
      <c r="AK36" s="13">
        <f t="shared" ref="AK36:AK42" si="12">AH36/I36</f>
        <v>0.859375</v>
      </c>
      <c r="AN36" s="1"/>
      <c r="AO36" s="7"/>
      <c r="AU36" s="6"/>
      <c r="AW36" s="6"/>
    </row>
    <row r="37" spans="2:49" x14ac:dyDescent="0.2">
      <c r="B37" s="10" t="s">
        <v>171</v>
      </c>
      <c r="C37" s="10">
        <v>2015</v>
      </c>
      <c r="D37" s="10">
        <v>2016</v>
      </c>
      <c r="E37" s="20">
        <v>170</v>
      </c>
      <c r="F37" s="20"/>
      <c r="G37" s="10">
        <v>240</v>
      </c>
      <c r="H37" s="10"/>
      <c r="I37" s="10">
        <v>25.6</v>
      </c>
      <c r="J37" s="10">
        <v>23.3</v>
      </c>
      <c r="K37" s="12">
        <f t="shared" si="3"/>
        <v>0.91015625</v>
      </c>
      <c r="L37" s="21">
        <f t="shared" si="0"/>
        <v>13.705882352941176</v>
      </c>
      <c r="M37" s="55">
        <f t="shared" si="1"/>
        <v>220.56456956776918</v>
      </c>
      <c r="N37" s="10">
        <v>1470</v>
      </c>
      <c r="O37" s="22">
        <v>5</v>
      </c>
      <c r="P37" s="10">
        <v>65</v>
      </c>
      <c r="Q37" s="10">
        <v>88</v>
      </c>
      <c r="R37" s="10">
        <v>220</v>
      </c>
      <c r="S37" s="22">
        <v>0.75</v>
      </c>
      <c r="T37" s="10">
        <v>0.28999999999999998</v>
      </c>
      <c r="U37" s="140"/>
      <c r="V37" s="10" t="s">
        <v>16</v>
      </c>
      <c r="W37" s="10">
        <v>36</v>
      </c>
      <c r="X37" s="10">
        <v>3.75</v>
      </c>
      <c r="Y37" s="10" t="s">
        <v>4</v>
      </c>
      <c r="Z37" s="10" t="s">
        <v>15</v>
      </c>
      <c r="AA37" s="10">
        <v>360</v>
      </c>
      <c r="AB37" s="10" t="s">
        <v>24</v>
      </c>
      <c r="AC37" s="10">
        <v>860</v>
      </c>
      <c r="AD37" s="24">
        <f t="shared" si="8"/>
        <v>156.97674418604652</v>
      </c>
      <c r="AE37" s="10">
        <v>290</v>
      </c>
      <c r="AF37" s="24">
        <f t="shared" si="11"/>
        <v>88.275862068965523</v>
      </c>
      <c r="AG37" s="134"/>
      <c r="AH37" s="33">
        <v>22</v>
      </c>
      <c r="AI37" s="133"/>
      <c r="AJ37" s="133"/>
      <c r="AK37" s="13">
        <f t="shared" si="12"/>
        <v>0.859375</v>
      </c>
      <c r="AN37" s="1"/>
      <c r="AO37" s="7"/>
      <c r="AU37" s="6"/>
      <c r="AW37" s="6"/>
    </row>
    <row r="38" spans="2:49" ht="12.75" customHeight="1" x14ac:dyDescent="0.2">
      <c r="B38" s="10" t="s">
        <v>172</v>
      </c>
      <c r="C38" s="10">
        <v>2017</v>
      </c>
      <c r="D38" s="10"/>
      <c r="E38" s="20">
        <f>282</f>
        <v>282</v>
      </c>
      <c r="F38" s="20"/>
      <c r="G38" s="10">
        <v>403</v>
      </c>
      <c r="H38" s="10">
        <v>23700</v>
      </c>
      <c r="I38" s="10">
        <v>46.8</v>
      </c>
      <c r="J38" s="10">
        <v>41</v>
      </c>
      <c r="K38" s="12">
        <f t="shared" si="3"/>
        <v>0.87606837606837606</v>
      </c>
      <c r="L38" s="21">
        <f t="shared" si="0"/>
        <v>14.539007092198581</v>
      </c>
      <c r="M38" s="55">
        <f t="shared" si="1"/>
        <v>233.97179099128709</v>
      </c>
      <c r="N38" s="10">
        <v>1480</v>
      </c>
      <c r="O38" s="22">
        <v>5</v>
      </c>
      <c r="P38" s="10" t="s">
        <v>50</v>
      </c>
      <c r="Q38" s="10" t="s">
        <v>51</v>
      </c>
      <c r="R38" s="10" t="s">
        <v>52</v>
      </c>
      <c r="S38" s="22">
        <v>0.75</v>
      </c>
      <c r="T38" s="10">
        <v>0.28999999999999998</v>
      </c>
      <c r="U38" s="140"/>
      <c r="V38" s="10" t="s">
        <v>16</v>
      </c>
      <c r="W38" s="10">
        <v>63</v>
      </c>
      <c r="X38" s="10">
        <v>3.67</v>
      </c>
      <c r="Y38" s="10" t="s">
        <v>4</v>
      </c>
      <c r="Z38" s="10" t="s">
        <v>13</v>
      </c>
      <c r="AA38" s="10">
        <v>360</v>
      </c>
      <c r="AB38" s="10" t="s">
        <v>24</v>
      </c>
      <c r="AC38" s="10">
        <v>1060</v>
      </c>
      <c r="AD38" s="24">
        <f t="shared" si="8"/>
        <v>218.12264150943398</v>
      </c>
      <c r="AE38" s="10">
        <v>305</v>
      </c>
      <c r="AF38" s="24">
        <f t="shared" si="11"/>
        <v>153.44262295081967</v>
      </c>
      <c r="AG38" s="134"/>
      <c r="AH38" s="33">
        <v>22</v>
      </c>
      <c r="AI38" s="133"/>
      <c r="AJ38" s="133"/>
      <c r="AK38" s="13">
        <f t="shared" si="12"/>
        <v>0.47008547008547014</v>
      </c>
      <c r="AN38" s="1"/>
      <c r="AO38" s="7"/>
      <c r="AU38" s="6"/>
      <c r="AW38" s="6"/>
    </row>
    <row r="39" spans="2:49" x14ac:dyDescent="0.2">
      <c r="B39" s="10" t="s">
        <v>173</v>
      </c>
      <c r="C39" s="10">
        <v>2017</v>
      </c>
      <c r="D39" s="10"/>
      <c r="E39" s="20">
        <v>256</v>
      </c>
      <c r="F39" s="20"/>
      <c r="G39" s="10">
        <v>370</v>
      </c>
      <c r="H39" s="10">
        <v>24200</v>
      </c>
      <c r="I39" s="10">
        <v>46.8</v>
      </c>
      <c r="J39" s="10">
        <v>41</v>
      </c>
      <c r="K39" s="12">
        <f t="shared" si="3"/>
        <v>0.87606837606837606</v>
      </c>
      <c r="L39" s="21">
        <f t="shared" si="0"/>
        <v>16.015625</v>
      </c>
      <c r="M39" s="55">
        <f t="shared" si="1"/>
        <v>257.73455101383973</v>
      </c>
      <c r="N39" s="10">
        <v>1480</v>
      </c>
      <c r="O39" s="22">
        <v>5</v>
      </c>
      <c r="P39" s="10">
        <v>65</v>
      </c>
      <c r="Q39" s="10">
        <v>88</v>
      </c>
      <c r="R39" s="10">
        <v>220</v>
      </c>
      <c r="S39" s="22">
        <v>0.75</v>
      </c>
      <c r="T39" s="10">
        <v>0.28999999999999998</v>
      </c>
      <c r="U39" s="140"/>
      <c r="V39" s="10" t="s">
        <v>16</v>
      </c>
      <c r="W39" s="10">
        <v>63</v>
      </c>
      <c r="X39" s="10">
        <v>3.67</v>
      </c>
      <c r="Y39" s="10" t="s">
        <v>4</v>
      </c>
      <c r="Z39" s="10" t="s">
        <v>13</v>
      </c>
      <c r="AA39" s="10">
        <v>360</v>
      </c>
      <c r="AB39" s="10" t="s">
        <v>24</v>
      </c>
      <c r="AC39" s="10">
        <v>1060</v>
      </c>
      <c r="AD39" s="24">
        <f t="shared" si="8"/>
        <v>218.12264150943398</v>
      </c>
      <c r="AE39" s="10">
        <v>305</v>
      </c>
      <c r="AF39" s="24">
        <f t="shared" si="11"/>
        <v>153.44262295081967</v>
      </c>
      <c r="AG39" s="134"/>
      <c r="AH39" s="33">
        <v>43</v>
      </c>
      <c r="AI39" s="133"/>
      <c r="AJ39" s="133"/>
      <c r="AK39" s="13">
        <f t="shared" si="12"/>
        <v>0.91880341880341887</v>
      </c>
      <c r="AN39" s="1">
        <v>28</v>
      </c>
      <c r="AO39" s="7">
        <f t="shared" si="4"/>
        <v>17.40211311373524</v>
      </c>
      <c r="AU39" s="6"/>
      <c r="AW39" s="6"/>
    </row>
    <row r="40" spans="2:49" x14ac:dyDescent="0.2">
      <c r="B40" s="10" t="s">
        <v>174</v>
      </c>
      <c r="C40" s="10">
        <v>2018</v>
      </c>
      <c r="D40" s="10"/>
      <c r="E40" s="20">
        <v>282</v>
      </c>
      <c r="F40" s="46">
        <v>300</v>
      </c>
      <c r="G40" s="10">
        <v>403</v>
      </c>
      <c r="H40" s="10">
        <v>26200</v>
      </c>
      <c r="I40" s="10">
        <v>46.8</v>
      </c>
      <c r="J40" s="10">
        <v>41</v>
      </c>
      <c r="K40" s="12">
        <f t="shared" ref="K40" si="13">1-(I40-J40)/I40</f>
        <v>0.87606837606837606</v>
      </c>
      <c r="L40" s="21">
        <f t="shared" si="0"/>
        <v>14.539007092198581</v>
      </c>
      <c r="M40" s="55">
        <f t="shared" si="1"/>
        <v>233.97179099128709</v>
      </c>
      <c r="N40" s="10">
        <v>1575</v>
      </c>
      <c r="O40" s="22">
        <v>5</v>
      </c>
      <c r="P40" s="10">
        <v>80</v>
      </c>
      <c r="Q40" s="10">
        <v>108</v>
      </c>
      <c r="R40" s="10">
        <v>225</v>
      </c>
      <c r="S40" s="22">
        <v>0.75</v>
      </c>
      <c r="T40" s="10">
        <v>0.28999999999999998</v>
      </c>
      <c r="U40" s="140"/>
      <c r="V40" s="10" t="s">
        <v>16</v>
      </c>
      <c r="W40" s="10">
        <v>63</v>
      </c>
      <c r="X40" s="10">
        <v>3.67</v>
      </c>
      <c r="Y40" s="10" t="s">
        <v>4</v>
      </c>
      <c r="Z40" s="10" t="s">
        <v>13</v>
      </c>
      <c r="AA40" s="10">
        <v>360</v>
      </c>
      <c r="AB40" s="10" t="s">
        <v>24</v>
      </c>
      <c r="AC40" s="10">
        <v>1060</v>
      </c>
      <c r="AD40" s="24">
        <f t="shared" ref="AD40" si="14">W40*X40/AC40*1000</f>
        <v>218.12264150943398</v>
      </c>
      <c r="AE40" s="10">
        <v>305</v>
      </c>
      <c r="AF40" s="24">
        <f t="shared" si="11"/>
        <v>153.44262295081967</v>
      </c>
      <c r="AG40" s="131"/>
      <c r="AH40" s="88">
        <v>43</v>
      </c>
      <c r="AI40" s="127"/>
      <c r="AJ40" s="127"/>
      <c r="AK40" s="13">
        <f t="shared" si="12"/>
        <v>0.91880341880341887</v>
      </c>
      <c r="AN40" s="1"/>
      <c r="AO40" s="7"/>
      <c r="AU40" s="6"/>
      <c r="AW40" s="6"/>
    </row>
    <row r="41" spans="2:49" x14ac:dyDescent="0.2">
      <c r="B41" s="10" t="s">
        <v>175</v>
      </c>
      <c r="C41" s="10">
        <v>2014</v>
      </c>
      <c r="D41" s="10">
        <v>2017</v>
      </c>
      <c r="E41" s="46">
        <v>109</v>
      </c>
      <c r="F41" s="46"/>
      <c r="G41" s="10">
        <v>160</v>
      </c>
      <c r="H41" s="10"/>
      <c r="I41" s="10">
        <v>18.2</v>
      </c>
      <c r="J41" s="10">
        <v>17.600000000000001</v>
      </c>
      <c r="K41" s="12">
        <f t="shared" si="3"/>
        <v>0.96703296703296715</v>
      </c>
      <c r="L41" s="83">
        <f t="shared" si="0"/>
        <v>16.146788990825691</v>
      </c>
      <c r="M41" s="82">
        <f t="shared" si="1"/>
        <v>259.84533297112472</v>
      </c>
      <c r="N41" s="10">
        <v>900</v>
      </c>
      <c r="O41" s="22">
        <v>2</v>
      </c>
      <c r="P41" s="10">
        <v>55</v>
      </c>
      <c r="Q41" s="10">
        <v>74</v>
      </c>
      <c r="R41" s="10">
        <v>130</v>
      </c>
      <c r="S41" s="27">
        <f>2.06*T41</f>
        <v>0.72099999999999997</v>
      </c>
      <c r="T41" s="10">
        <v>0.35</v>
      </c>
      <c r="U41" s="140"/>
      <c r="V41" s="10" t="s">
        <v>124</v>
      </c>
      <c r="W41" s="10">
        <v>52</v>
      </c>
      <c r="X41" s="10">
        <v>3.7</v>
      </c>
      <c r="Y41" s="10" t="s">
        <v>4</v>
      </c>
      <c r="Z41" s="10" t="s">
        <v>13</v>
      </c>
      <c r="AA41" s="24">
        <f>93*3.7</f>
        <v>344.1</v>
      </c>
      <c r="AB41" s="10" t="s">
        <v>129</v>
      </c>
      <c r="AC41" s="16">
        <v>1290</v>
      </c>
      <c r="AD41" s="24">
        <f t="shared" si="8"/>
        <v>149.14728682170545</v>
      </c>
      <c r="AE41" s="16">
        <v>191</v>
      </c>
      <c r="AF41" s="24">
        <f t="shared" si="11"/>
        <v>95.287958115183244</v>
      </c>
      <c r="AG41" s="130" t="s">
        <v>126</v>
      </c>
      <c r="AH41" s="69">
        <v>22</v>
      </c>
      <c r="AI41" s="126" t="s">
        <v>98</v>
      </c>
      <c r="AJ41" s="126" t="s">
        <v>98</v>
      </c>
      <c r="AK41" s="13">
        <f t="shared" si="12"/>
        <v>1.2087912087912089</v>
      </c>
      <c r="AN41" s="1"/>
      <c r="AO41" s="7"/>
      <c r="AP41" s="114"/>
      <c r="AU41" s="6"/>
      <c r="AW41" s="6"/>
    </row>
    <row r="42" spans="2:49" x14ac:dyDescent="0.2">
      <c r="B42" s="10" t="s">
        <v>176</v>
      </c>
      <c r="C42" s="10">
        <v>2017</v>
      </c>
      <c r="D42" s="10"/>
      <c r="E42" s="46">
        <v>93</v>
      </c>
      <c r="F42" s="46"/>
      <c r="G42" s="10">
        <v>160</v>
      </c>
      <c r="H42" s="10">
        <v>22950</v>
      </c>
      <c r="I42" s="13">
        <f>96*52*3.7/1000</f>
        <v>18.470400000000001</v>
      </c>
      <c r="J42" s="10">
        <v>17.600000000000001</v>
      </c>
      <c r="K42" s="12">
        <f t="shared" si="3"/>
        <v>0.95287595287595284</v>
      </c>
      <c r="L42" s="83">
        <f t="shared" si="0"/>
        <v>18.9247311827957</v>
      </c>
      <c r="M42" s="82">
        <f t="shared" si="1"/>
        <v>304.54990638551169</v>
      </c>
      <c r="N42" s="10">
        <v>1085</v>
      </c>
      <c r="O42" s="22">
        <v>2</v>
      </c>
      <c r="P42" s="10">
        <v>60</v>
      </c>
      <c r="Q42" s="10">
        <v>82</v>
      </c>
      <c r="R42" s="10">
        <v>160</v>
      </c>
      <c r="S42" s="27">
        <f>2.06*T42</f>
        <v>0.72099999999999997</v>
      </c>
      <c r="T42" s="10">
        <v>0.35</v>
      </c>
      <c r="U42" s="140"/>
      <c r="V42" s="10" t="s">
        <v>16</v>
      </c>
      <c r="W42" s="10">
        <v>52</v>
      </c>
      <c r="X42" s="10">
        <v>3.7</v>
      </c>
      <c r="Y42" s="10" t="s">
        <v>4</v>
      </c>
      <c r="Z42" s="10" t="s">
        <v>13</v>
      </c>
      <c r="AA42" s="24">
        <v>360</v>
      </c>
      <c r="AB42" s="10" t="s">
        <v>34</v>
      </c>
      <c r="AC42" s="16"/>
      <c r="AD42" s="16"/>
      <c r="AE42" s="16">
        <v>169</v>
      </c>
      <c r="AF42" s="24">
        <f t="shared" si="11"/>
        <v>109.2923076923077</v>
      </c>
      <c r="AG42" s="131"/>
      <c r="AH42" s="70">
        <v>22</v>
      </c>
      <c r="AI42" s="127"/>
      <c r="AJ42" s="127"/>
      <c r="AK42" s="13">
        <f t="shared" si="12"/>
        <v>1.191094941094941</v>
      </c>
      <c r="AN42" s="1"/>
      <c r="AO42" s="7"/>
      <c r="AU42" s="6"/>
      <c r="AW42" s="6"/>
    </row>
    <row r="43" spans="2:49" x14ac:dyDescent="0.2">
      <c r="B43" s="10" t="s">
        <v>177</v>
      </c>
      <c r="C43" s="10">
        <v>2012</v>
      </c>
      <c r="D43" s="10">
        <v>2017</v>
      </c>
      <c r="E43" s="10" t="s">
        <v>53</v>
      </c>
      <c r="F43" s="10"/>
      <c r="G43" s="10" t="s">
        <v>54</v>
      </c>
      <c r="H43" s="10"/>
      <c r="I43" s="10">
        <v>62</v>
      </c>
      <c r="J43" s="10">
        <v>59.5</v>
      </c>
      <c r="K43" s="12">
        <f t="shared" si="3"/>
        <v>0.95967741935483875</v>
      </c>
      <c r="L43" s="13" t="s">
        <v>55</v>
      </c>
      <c r="M43" s="82" t="s">
        <v>204</v>
      </c>
      <c r="N43" s="10">
        <v>1950</v>
      </c>
      <c r="O43" s="22">
        <v>7</v>
      </c>
      <c r="P43" s="10">
        <v>225</v>
      </c>
      <c r="Q43" s="10">
        <v>302</v>
      </c>
      <c r="R43" s="10">
        <v>430</v>
      </c>
      <c r="S43" s="18">
        <f t="shared" ref="S43:S48" si="15">2.32*T43</f>
        <v>0.55679999999999996</v>
      </c>
      <c r="T43" s="10">
        <v>0.24</v>
      </c>
      <c r="U43" s="140"/>
      <c r="V43" s="10" t="s">
        <v>3</v>
      </c>
      <c r="W43" s="10">
        <v>3.2</v>
      </c>
      <c r="X43" s="10">
        <v>3.6</v>
      </c>
      <c r="Y43" s="10" t="s">
        <v>5</v>
      </c>
      <c r="Z43" s="10" t="s">
        <v>26</v>
      </c>
      <c r="AA43" s="10">
        <v>302</v>
      </c>
      <c r="AB43" s="10" t="s">
        <v>20</v>
      </c>
      <c r="AC43" s="10">
        <v>45</v>
      </c>
      <c r="AD43" s="10">
        <f t="shared" si="8"/>
        <v>256</v>
      </c>
      <c r="AE43" s="10">
        <v>430</v>
      </c>
      <c r="AF43" s="24">
        <f t="shared" si="11"/>
        <v>144.18604651162792</v>
      </c>
      <c r="AG43" s="130" t="s">
        <v>93</v>
      </c>
      <c r="AH43" s="126">
        <v>22</v>
      </c>
      <c r="AI43" s="126">
        <v>120</v>
      </c>
      <c r="AJ43" s="95">
        <v>90</v>
      </c>
      <c r="AK43" s="13">
        <f t="shared" ref="AK43:AK48" si="16">$AI$43/I43</f>
        <v>1.935483870967742</v>
      </c>
      <c r="AN43" s="1">
        <v>32</v>
      </c>
      <c r="AO43" s="7">
        <f t="shared" si="4"/>
        <v>19.888129272840274</v>
      </c>
      <c r="AU43" s="6"/>
      <c r="AW43" s="6"/>
    </row>
    <row r="44" spans="2:49" x14ac:dyDescent="0.2">
      <c r="B44" s="10" t="s">
        <v>178</v>
      </c>
      <c r="C44" s="10">
        <v>2016</v>
      </c>
      <c r="D44" s="10">
        <v>2017</v>
      </c>
      <c r="E44" s="10" t="s">
        <v>59</v>
      </c>
      <c r="F44" s="10"/>
      <c r="G44" s="10" t="s">
        <v>60</v>
      </c>
      <c r="H44" s="10"/>
      <c r="I44" s="10">
        <v>71.5</v>
      </c>
      <c r="J44" s="10">
        <v>69</v>
      </c>
      <c r="K44" s="12">
        <f t="shared" si="3"/>
        <v>0.965034965034965</v>
      </c>
      <c r="L44" s="13" t="s">
        <v>63</v>
      </c>
      <c r="M44" s="82" t="s">
        <v>205</v>
      </c>
      <c r="N44" s="10">
        <v>2000</v>
      </c>
      <c r="O44" s="22">
        <v>7</v>
      </c>
      <c r="P44" s="10" t="s">
        <v>57</v>
      </c>
      <c r="Q44" s="10" t="s">
        <v>56</v>
      </c>
      <c r="R44" s="10" t="s">
        <v>58</v>
      </c>
      <c r="S44" s="18">
        <f t="shared" si="15"/>
        <v>0.55679999999999996</v>
      </c>
      <c r="T44" s="10">
        <v>0.24</v>
      </c>
      <c r="U44" s="140"/>
      <c r="V44" s="10" t="s">
        <v>3</v>
      </c>
      <c r="W44" s="10">
        <v>3.2</v>
      </c>
      <c r="X44" s="10">
        <v>3.6</v>
      </c>
      <c r="Y44" s="10" t="s">
        <v>5</v>
      </c>
      <c r="Z44" s="10" t="s">
        <v>26</v>
      </c>
      <c r="AA44" s="10">
        <v>302</v>
      </c>
      <c r="AB44" s="10" t="s">
        <v>21</v>
      </c>
      <c r="AC44" s="10">
        <v>45</v>
      </c>
      <c r="AD44" s="10">
        <f t="shared" si="8"/>
        <v>256</v>
      </c>
      <c r="AE44" s="10">
        <v>470</v>
      </c>
      <c r="AF44" s="24">
        <f t="shared" si="11"/>
        <v>152.12765957446808</v>
      </c>
      <c r="AG44" s="134"/>
      <c r="AH44" s="133"/>
      <c r="AI44" s="133"/>
      <c r="AJ44" s="95"/>
      <c r="AK44" s="13">
        <f t="shared" si="16"/>
        <v>1.6783216783216783</v>
      </c>
      <c r="AN44" s="1">
        <v>32</v>
      </c>
      <c r="AO44" s="7">
        <f t="shared" si="4"/>
        <v>19.888129272840274</v>
      </c>
      <c r="AU44" s="6"/>
      <c r="AW44" s="6"/>
    </row>
    <row r="45" spans="2:49" x14ac:dyDescent="0.2">
      <c r="B45" s="10" t="s">
        <v>179</v>
      </c>
      <c r="C45" s="10">
        <v>2016</v>
      </c>
      <c r="D45" s="10"/>
      <c r="E45" s="10" t="s">
        <v>61</v>
      </c>
      <c r="F45" s="10"/>
      <c r="G45" s="10" t="s">
        <v>62</v>
      </c>
      <c r="H45" s="10" t="s">
        <v>199</v>
      </c>
      <c r="I45" s="10">
        <v>75</v>
      </c>
      <c r="J45" s="10">
        <v>72.5</v>
      </c>
      <c r="K45" s="12">
        <f t="shared" si="3"/>
        <v>0.96666666666666667</v>
      </c>
      <c r="L45" s="30" t="s">
        <v>64</v>
      </c>
      <c r="M45" s="82" t="s">
        <v>206</v>
      </c>
      <c r="N45" s="10">
        <v>2100</v>
      </c>
      <c r="O45" s="22">
        <v>7</v>
      </c>
      <c r="P45" s="16" t="s">
        <v>82</v>
      </c>
      <c r="Q45" s="16" t="s">
        <v>83</v>
      </c>
      <c r="R45" s="16" t="s">
        <v>84</v>
      </c>
      <c r="S45" s="18">
        <f t="shared" si="15"/>
        <v>0.55679999999999996</v>
      </c>
      <c r="T45" s="10">
        <v>0.24</v>
      </c>
      <c r="U45" s="140"/>
      <c r="V45" s="10" t="s">
        <v>3</v>
      </c>
      <c r="W45" s="10">
        <v>3.35</v>
      </c>
      <c r="X45" s="10">
        <v>3.6</v>
      </c>
      <c r="Y45" s="10" t="s">
        <v>5</v>
      </c>
      <c r="Z45" s="10" t="s">
        <v>27</v>
      </c>
      <c r="AA45" s="10">
        <v>302</v>
      </c>
      <c r="AB45" s="10" t="s">
        <v>21</v>
      </c>
      <c r="AC45" s="10">
        <v>45</v>
      </c>
      <c r="AD45" s="10">
        <f t="shared" si="8"/>
        <v>268</v>
      </c>
      <c r="AE45" s="10">
        <v>480</v>
      </c>
      <c r="AF45" s="24">
        <f t="shared" si="11"/>
        <v>156.25</v>
      </c>
      <c r="AG45" s="134"/>
      <c r="AH45" s="133"/>
      <c r="AI45" s="133"/>
      <c r="AJ45" s="95"/>
      <c r="AK45" s="13">
        <f t="shared" si="16"/>
        <v>1.6</v>
      </c>
      <c r="AN45" s="1">
        <v>33</v>
      </c>
      <c r="AO45" s="7">
        <f t="shared" si="4"/>
        <v>20.509633312616533</v>
      </c>
      <c r="AU45" s="6"/>
      <c r="AW45" s="6"/>
    </row>
    <row r="46" spans="2:49" x14ac:dyDescent="0.2">
      <c r="B46" s="10" t="s">
        <v>180</v>
      </c>
      <c r="C46" s="10">
        <v>2012</v>
      </c>
      <c r="D46" s="10">
        <v>2016</v>
      </c>
      <c r="E46" s="10" t="s">
        <v>65</v>
      </c>
      <c r="F46" s="10"/>
      <c r="G46" s="10" t="s">
        <v>66</v>
      </c>
      <c r="H46" s="10"/>
      <c r="I46" s="10">
        <v>82</v>
      </c>
      <c r="J46" s="10">
        <v>77.5</v>
      </c>
      <c r="K46" s="12">
        <f t="shared" si="3"/>
        <v>0.94512195121951215</v>
      </c>
      <c r="L46" s="13" t="s">
        <v>55</v>
      </c>
      <c r="M46" s="82" t="s">
        <v>204</v>
      </c>
      <c r="N46" s="10">
        <v>2200</v>
      </c>
      <c r="O46" s="22">
        <v>7</v>
      </c>
      <c r="P46" s="10" t="s">
        <v>67</v>
      </c>
      <c r="Q46" s="10" t="s">
        <v>68</v>
      </c>
      <c r="R46" s="10" t="s">
        <v>69</v>
      </c>
      <c r="S46" s="18">
        <f t="shared" si="15"/>
        <v>0.55679999999999996</v>
      </c>
      <c r="T46" s="10">
        <v>0.24</v>
      </c>
      <c r="U46" s="140"/>
      <c r="V46" s="10" t="s">
        <v>3</v>
      </c>
      <c r="W46" s="10">
        <v>3.2</v>
      </c>
      <c r="X46" s="10">
        <v>3.6</v>
      </c>
      <c r="Y46" s="10" t="s">
        <v>5</v>
      </c>
      <c r="Z46" s="10" t="s">
        <v>26</v>
      </c>
      <c r="AA46" s="10">
        <v>346</v>
      </c>
      <c r="AB46" s="10" t="s">
        <v>22</v>
      </c>
      <c r="AC46" s="10">
        <v>45</v>
      </c>
      <c r="AD46" s="10">
        <f t="shared" si="8"/>
        <v>256</v>
      </c>
      <c r="AE46" s="10">
        <v>540</v>
      </c>
      <c r="AF46" s="24">
        <f t="shared" si="11"/>
        <v>151.85185185185185</v>
      </c>
      <c r="AG46" s="134"/>
      <c r="AH46" s="133"/>
      <c r="AI46" s="133"/>
      <c r="AJ46" s="95">
        <v>119</v>
      </c>
      <c r="AK46" s="13">
        <f t="shared" si="16"/>
        <v>1.4634146341463414</v>
      </c>
      <c r="AN46" s="1">
        <v>34</v>
      </c>
      <c r="AO46" s="7">
        <f t="shared" si="4"/>
        <v>21.131137352392791</v>
      </c>
      <c r="AU46" s="6"/>
      <c r="AW46" s="6"/>
    </row>
    <row r="47" spans="2:49" x14ac:dyDescent="0.2">
      <c r="B47" s="10" t="s">
        <v>181</v>
      </c>
      <c r="C47" s="10">
        <v>2015</v>
      </c>
      <c r="D47" s="10">
        <v>2017</v>
      </c>
      <c r="E47" s="10" t="s">
        <v>70</v>
      </c>
      <c r="F47" s="10"/>
      <c r="G47" s="10" t="s">
        <v>71</v>
      </c>
      <c r="H47" s="10"/>
      <c r="I47" s="10">
        <v>86</v>
      </c>
      <c r="J47" s="10">
        <v>82</v>
      </c>
      <c r="K47" s="12">
        <f t="shared" si="3"/>
        <v>0.95348837209302328</v>
      </c>
      <c r="L47" s="13" t="s">
        <v>72</v>
      </c>
      <c r="M47" s="82" t="s">
        <v>207</v>
      </c>
      <c r="N47" s="10">
        <v>2200</v>
      </c>
      <c r="O47" s="22">
        <v>7</v>
      </c>
      <c r="P47" s="10" t="s">
        <v>73</v>
      </c>
      <c r="Q47" s="10" t="s">
        <v>74</v>
      </c>
      <c r="R47" s="10" t="s">
        <v>75</v>
      </c>
      <c r="S47" s="18">
        <f t="shared" si="15"/>
        <v>0.55679999999999996</v>
      </c>
      <c r="T47" s="10">
        <v>0.24</v>
      </c>
      <c r="U47" s="140"/>
      <c r="V47" s="10" t="s">
        <v>3</v>
      </c>
      <c r="W47" s="10">
        <v>3.35</v>
      </c>
      <c r="X47" s="10">
        <v>3.6</v>
      </c>
      <c r="Y47" s="10" t="s">
        <v>5</v>
      </c>
      <c r="Z47" s="10" t="s">
        <v>27</v>
      </c>
      <c r="AA47" s="10">
        <v>346</v>
      </c>
      <c r="AB47" s="10" t="s">
        <v>22</v>
      </c>
      <c r="AC47" s="10">
        <v>45</v>
      </c>
      <c r="AD47" s="10">
        <f t="shared" si="8"/>
        <v>268</v>
      </c>
      <c r="AE47" s="10">
        <v>550</v>
      </c>
      <c r="AF47" s="24">
        <f t="shared" si="11"/>
        <v>156.36363636363637</v>
      </c>
      <c r="AG47" s="134"/>
      <c r="AH47" s="133"/>
      <c r="AI47" s="133"/>
      <c r="AJ47" s="115"/>
      <c r="AK47" s="13">
        <f t="shared" si="16"/>
        <v>1.3953488372093024</v>
      </c>
      <c r="AN47" s="1">
        <v>32</v>
      </c>
      <c r="AO47" s="7">
        <f t="shared" si="4"/>
        <v>19.888129272840274</v>
      </c>
      <c r="AU47" s="6"/>
      <c r="AW47" s="6"/>
    </row>
    <row r="48" spans="2:49" x14ac:dyDescent="0.2">
      <c r="B48" s="10" t="s">
        <v>182</v>
      </c>
      <c r="C48" s="10">
        <v>2016</v>
      </c>
      <c r="D48" s="10"/>
      <c r="E48" s="10" t="s">
        <v>76</v>
      </c>
      <c r="F48" s="10"/>
      <c r="G48" s="10" t="s">
        <v>77</v>
      </c>
      <c r="H48" s="10" t="s">
        <v>200</v>
      </c>
      <c r="I48" s="10">
        <v>102</v>
      </c>
      <c r="J48" s="10">
        <v>98</v>
      </c>
      <c r="K48" s="12">
        <f t="shared" si="3"/>
        <v>0.96078431372549022</v>
      </c>
      <c r="L48" s="30" t="s">
        <v>78</v>
      </c>
      <c r="M48" s="82" t="s">
        <v>208</v>
      </c>
      <c r="N48" s="10">
        <v>2250</v>
      </c>
      <c r="O48" s="22">
        <v>7</v>
      </c>
      <c r="P48" s="16" t="s">
        <v>79</v>
      </c>
      <c r="Q48" s="16" t="s">
        <v>80</v>
      </c>
      <c r="R48" s="16" t="s">
        <v>81</v>
      </c>
      <c r="S48" s="18">
        <f t="shared" si="15"/>
        <v>0.55679999999999996</v>
      </c>
      <c r="T48" s="10">
        <v>0.24</v>
      </c>
      <c r="U48" s="140"/>
      <c r="V48" s="10" t="s">
        <v>3</v>
      </c>
      <c r="W48" s="10">
        <v>3.45</v>
      </c>
      <c r="X48" s="10">
        <v>3.6</v>
      </c>
      <c r="Y48" s="10" t="s">
        <v>5</v>
      </c>
      <c r="Z48" s="10" t="s">
        <v>27</v>
      </c>
      <c r="AA48" s="10">
        <v>346</v>
      </c>
      <c r="AB48" s="10" t="s">
        <v>23</v>
      </c>
      <c r="AC48" s="10">
        <v>45</v>
      </c>
      <c r="AD48" s="10">
        <f t="shared" si="8"/>
        <v>276</v>
      </c>
      <c r="AE48" s="10">
        <v>600</v>
      </c>
      <c r="AF48" s="24">
        <f t="shared" si="11"/>
        <v>170</v>
      </c>
      <c r="AG48" s="131"/>
      <c r="AH48" s="127"/>
      <c r="AI48" s="127"/>
      <c r="AJ48" s="92"/>
      <c r="AK48" s="13">
        <f t="shared" si="16"/>
        <v>1.1764705882352942</v>
      </c>
      <c r="AN48" s="1">
        <v>33</v>
      </c>
      <c r="AO48" s="7">
        <f t="shared" si="4"/>
        <v>20.509633312616533</v>
      </c>
      <c r="AU48" s="6"/>
      <c r="AW48" s="6"/>
    </row>
    <row r="49" spans="2:49" x14ac:dyDescent="0.2">
      <c r="B49" s="10" t="s">
        <v>183</v>
      </c>
      <c r="C49" s="10">
        <v>2016</v>
      </c>
      <c r="D49" s="10"/>
      <c r="E49" s="10">
        <v>381</v>
      </c>
      <c r="F49" s="10"/>
      <c r="G49" s="10">
        <v>417</v>
      </c>
      <c r="H49" s="10">
        <v>98800</v>
      </c>
      <c r="I49" s="10">
        <v>75</v>
      </c>
      <c r="J49" s="10">
        <v>72.5</v>
      </c>
      <c r="K49" s="12">
        <f t="shared" si="3"/>
        <v>0.96666666666666667</v>
      </c>
      <c r="L49" s="13">
        <f>J49/E49*100</f>
        <v>19.028871391076116</v>
      </c>
      <c r="M49" s="82">
        <f t="shared" si="1"/>
        <v>306.22580288181712</v>
      </c>
      <c r="N49" s="10">
        <v>2300</v>
      </c>
      <c r="O49" s="22">
        <v>7</v>
      </c>
      <c r="P49" s="16">
        <v>193</v>
      </c>
      <c r="Q49" s="16">
        <v>259</v>
      </c>
      <c r="R49" s="16">
        <v>525</v>
      </c>
      <c r="S49" s="18">
        <f>2.59*T49</f>
        <v>0.62159999999999993</v>
      </c>
      <c r="T49" s="10">
        <v>0.24</v>
      </c>
      <c r="U49" s="140"/>
      <c r="V49" s="10" t="s">
        <v>3</v>
      </c>
      <c r="W49" s="10">
        <v>3.35</v>
      </c>
      <c r="X49" s="10">
        <v>3.6</v>
      </c>
      <c r="Y49" s="10" t="s">
        <v>5</v>
      </c>
      <c r="Z49" s="10" t="s">
        <v>27</v>
      </c>
      <c r="AA49" s="10">
        <v>302</v>
      </c>
      <c r="AB49" s="10" t="s">
        <v>21</v>
      </c>
      <c r="AC49" s="10">
        <v>45</v>
      </c>
      <c r="AD49" s="10">
        <f t="shared" si="8"/>
        <v>268</v>
      </c>
      <c r="AE49" s="10">
        <v>480</v>
      </c>
      <c r="AF49" s="24">
        <f t="shared" si="11"/>
        <v>156.25</v>
      </c>
      <c r="AG49" s="130" t="s">
        <v>93</v>
      </c>
      <c r="AH49" s="126">
        <v>22</v>
      </c>
      <c r="AI49" s="126">
        <v>120</v>
      </c>
      <c r="AJ49" s="91"/>
      <c r="AK49" s="13">
        <f>$AI$49/I49</f>
        <v>1.6</v>
      </c>
      <c r="AN49" s="1"/>
      <c r="AO49" s="7"/>
      <c r="AU49" s="6"/>
      <c r="AW49" s="6"/>
    </row>
    <row r="50" spans="2:49" x14ac:dyDescent="0.2">
      <c r="B50" s="10" t="s">
        <v>184</v>
      </c>
      <c r="C50" s="10">
        <v>2016</v>
      </c>
      <c r="D50" s="10"/>
      <c r="E50" s="10" t="s">
        <v>108</v>
      </c>
      <c r="F50" s="10"/>
      <c r="G50" s="10" t="s">
        <v>105</v>
      </c>
      <c r="H50" s="10" t="s">
        <v>198</v>
      </c>
      <c r="I50" s="10">
        <v>102</v>
      </c>
      <c r="J50" s="10">
        <v>98</v>
      </c>
      <c r="K50" s="12">
        <f t="shared" si="3"/>
        <v>0.96078431372549022</v>
      </c>
      <c r="L50" s="1" t="s">
        <v>107</v>
      </c>
      <c r="M50" s="82" t="s">
        <v>209</v>
      </c>
      <c r="N50" s="10" t="s">
        <v>106</v>
      </c>
      <c r="O50" s="22">
        <v>7</v>
      </c>
      <c r="P50" s="16" t="s">
        <v>109</v>
      </c>
      <c r="Q50" s="16" t="s">
        <v>104</v>
      </c>
      <c r="R50" s="16" t="s">
        <v>103</v>
      </c>
      <c r="S50" s="18">
        <f>2.59*T50</f>
        <v>0.62159999999999993</v>
      </c>
      <c r="T50" s="10">
        <v>0.24</v>
      </c>
      <c r="U50" s="140"/>
      <c r="V50" s="10" t="s">
        <v>3</v>
      </c>
      <c r="W50" s="10">
        <v>3.45</v>
      </c>
      <c r="X50" s="10">
        <v>3.6</v>
      </c>
      <c r="Y50" s="10" t="s">
        <v>5</v>
      </c>
      <c r="Z50" s="10" t="s">
        <v>27</v>
      </c>
      <c r="AA50" s="10">
        <v>346</v>
      </c>
      <c r="AB50" s="10" t="s">
        <v>23</v>
      </c>
      <c r="AC50" s="10">
        <v>45</v>
      </c>
      <c r="AD50" s="10">
        <f t="shared" si="8"/>
        <v>276</v>
      </c>
      <c r="AE50" s="10">
        <v>600</v>
      </c>
      <c r="AF50" s="24">
        <f t="shared" si="11"/>
        <v>170</v>
      </c>
      <c r="AG50" s="134"/>
      <c r="AH50" s="133"/>
      <c r="AI50" s="133"/>
      <c r="AJ50" s="116"/>
      <c r="AK50" s="13">
        <f>$AI$49/I50</f>
        <v>1.1764705882352942</v>
      </c>
      <c r="AN50" s="1"/>
      <c r="AO50" s="7"/>
      <c r="AU50" s="6"/>
      <c r="AW50" s="6"/>
    </row>
    <row r="51" spans="2:49" x14ac:dyDescent="0.2">
      <c r="B51" s="10" t="s">
        <v>194</v>
      </c>
      <c r="C51" s="10">
        <v>2019</v>
      </c>
      <c r="D51" s="10"/>
      <c r="E51" s="10">
        <v>350</v>
      </c>
      <c r="F51" s="10"/>
      <c r="G51" s="10">
        <v>415</v>
      </c>
      <c r="H51" s="10"/>
      <c r="I51" s="10">
        <v>52</v>
      </c>
      <c r="J51" s="10">
        <v>50</v>
      </c>
      <c r="K51" s="12">
        <f t="shared" si="3"/>
        <v>0.96153846153846156</v>
      </c>
      <c r="L51" s="13">
        <f t="shared" ref="L51:L56" si="17">J51/E51*100</f>
        <v>14.285714285714285</v>
      </c>
      <c r="M51" s="82">
        <f t="shared" si="1"/>
        <v>229.8956273851671</v>
      </c>
      <c r="N51" s="10">
        <v>1610</v>
      </c>
      <c r="O51" s="22">
        <v>5</v>
      </c>
      <c r="P51" s="16">
        <v>192</v>
      </c>
      <c r="Q51" s="16">
        <v>261</v>
      </c>
      <c r="R51" s="16">
        <v>410</v>
      </c>
      <c r="S51" s="18">
        <f>2.168*T51</f>
        <v>0.49864000000000008</v>
      </c>
      <c r="T51" s="10">
        <v>0.23</v>
      </c>
      <c r="U51" s="140"/>
      <c r="V51" s="10" t="s">
        <v>3</v>
      </c>
      <c r="W51" s="10">
        <v>4.8499999999999996</v>
      </c>
      <c r="X51" s="10">
        <v>3.6</v>
      </c>
      <c r="Y51" s="10" t="s">
        <v>5</v>
      </c>
      <c r="Z51" s="10" t="s">
        <v>27</v>
      </c>
      <c r="AA51" s="10">
        <v>346</v>
      </c>
      <c r="AB51" s="10" t="s">
        <v>90</v>
      </c>
      <c r="AC51" s="10">
        <v>66</v>
      </c>
      <c r="AD51" s="24">
        <f t="shared" si="8"/>
        <v>264.54545454545456</v>
      </c>
      <c r="AE51" s="19">
        <f>N51-(N53-AE53)</f>
        <v>358</v>
      </c>
      <c r="AF51" s="55">
        <f t="shared" si="11"/>
        <v>145.2513966480447</v>
      </c>
      <c r="AG51" s="130" t="s">
        <v>93</v>
      </c>
      <c r="AH51" s="126">
        <v>22</v>
      </c>
      <c r="AI51" s="126">
        <v>120</v>
      </c>
      <c r="AJ51" s="133">
        <v>119</v>
      </c>
      <c r="AK51" s="13">
        <f>$AI$51/I51</f>
        <v>2.3076923076923075</v>
      </c>
      <c r="AN51" s="1"/>
      <c r="AO51" s="7"/>
      <c r="AU51" s="6"/>
      <c r="AW51" s="6"/>
    </row>
    <row r="52" spans="2:49" x14ac:dyDescent="0.2">
      <c r="B52" s="10" t="s">
        <v>195</v>
      </c>
      <c r="C52" s="10">
        <v>2018</v>
      </c>
      <c r="D52" s="10"/>
      <c r="E52" s="10">
        <v>418</v>
      </c>
      <c r="F52" s="10"/>
      <c r="G52" s="55">
        <f>E52*G53/E53</f>
        <v>488.22399999999999</v>
      </c>
      <c r="H52" s="10"/>
      <c r="I52" s="21">
        <f>3648*X52*W52/1000</f>
        <v>63.69408</v>
      </c>
      <c r="J52" s="19">
        <v>61.4</v>
      </c>
      <c r="K52" s="12">
        <f t="shared" si="3"/>
        <v>0.9639828379654749</v>
      </c>
      <c r="L52" s="13">
        <f t="shared" si="17"/>
        <v>14.688995215311005</v>
      </c>
      <c r="M52" s="82">
        <f t="shared" si="1"/>
        <v>236.38550394771491</v>
      </c>
      <c r="N52" s="10">
        <v>1672</v>
      </c>
      <c r="O52" s="22">
        <v>5</v>
      </c>
      <c r="P52" s="16">
        <v>192</v>
      </c>
      <c r="Q52" s="16">
        <v>261</v>
      </c>
      <c r="R52" s="16">
        <v>410</v>
      </c>
      <c r="S52" s="18">
        <f>2.168*T52</f>
        <v>0.49864000000000008</v>
      </c>
      <c r="T52" s="10">
        <v>0.23</v>
      </c>
      <c r="U52" s="140"/>
      <c r="V52" s="10" t="s">
        <v>3</v>
      </c>
      <c r="W52" s="10">
        <v>4.8499999999999996</v>
      </c>
      <c r="X52" s="10">
        <v>3.6</v>
      </c>
      <c r="Y52" s="10" t="s">
        <v>5</v>
      </c>
      <c r="Z52" s="10" t="s">
        <v>27</v>
      </c>
      <c r="AA52" s="10">
        <f>346</f>
        <v>346</v>
      </c>
      <c r="AB52" s="19" t="s">
        <v>193</v>
      </c>
      <c r="AC52" s="10">
        <v>66</v>
      </c>
      <c r="AD52" s="24">
        <f t="shared" ref="AD52" si="18">W52*X52/AC52*1000</f>
        <v>264.54545454545456</v>
      </c>
      <c r="AE52" s="19">
        <f>N52-(N53-AE53)</f>
        <v>420</v>
      </c>
      <c r="AF52" s="55">
        <f t="shared" si="11"/>
        <v>151.65257142857141</v>
      </c>
      <c r="AG52" s="134"/>
      <c r="AH52" s="133"/>
      <c r="AI52" s="133"/>
      <c r="AJ52" s="133"/>
      <c r="AK52" s="13"/>
      <c r="AN52" s="1"/>
      <c r="AO52" s="7"/>
      <c r="AU52" s="6"/>
      <c r="AW52" s="6"/>
    </row>
    <row r="53" spans="2:49" x14ac:dyDescent="0.2">
      <c r="B53" s="10" t="s">
        <v>196</v>
      </c>
      <c r="C53" s="10">
        <v>2017</v>
      </c>
      <c r="D53" s="10"/>
      <c r="E53" s="10">
        <v>500</v>
      </c>
      <c r="F53" s="1">
        <v>530</v>
      </c>
      <c r="G53" s="10">
        <v>584</v>
      </c>
      <c r="H53" s="10">
        <v>59500</v>
      </c>
      <c r="I53" s="10">
        <v>77</v>
      </c>
      <c r="J53" s="10">
        <v>74</v>
      </c>
      <c r="K53" s="12">
        <f t="shared" si="3"/>
        <v>0.96103896103896103</v>
      </c>
      <c r="L53" s="13">
        <f t="shared" si="17"/>
        <v>14.799999999999999</v>
      </c>
      <c r="M53" s="82">
        <f t="shared" si="1"/>
        <v>238.17186997103312</v>
      </c>
      <c r="N53" s="10">
        <v>1730</v>
      </c>
      <c r="O53" s="22">
        <v>5</v>
      </c>
      <c r="P53" s="16">
        <v>192</v>
      </c>
      <c r="Q53" s="16">
        <v>261</v>
      </c>
      <c r="R53" s="16">
        <v>410</v>
      </c>
      <c r="S53" s="18">
        <f>2.168*T53</f>
        <v>0.49864000000000008</v>
      </c>
      <c r="T53" s="10">
        <v>0.23</v>
      </c>
      <c r="U53" s="140"/>
      <c r="V53" s="10" t="s">
        <v>3</v>
      </c>
      <c r="W53" s="10">
        <v>4.8499999999999996</v>
      </c>
      <c r="X53" s="10">
        <v>3.6</v>
      </c>
      <c r="Y53" s="10" t="s">
        <v>5</v>
      </c>
      <c r="Z53" s="10" t="s">
        <v>27</v>
      </c>
      <c r="AA53" s="10">
        <v>346</v>
      </c>
      <c r="AB53" s="10" t="s">
        <v>91</v>
      </c>
      <c r="AC53" s="10">
        <v>66</v>
      </c>
      <c r="AD53" s="24">
        <f t="shared" si="8"/>
        <v>264.54545454545456</v>
      </c>
      <c r="AE53" s="10">
        <v>478</v>
      </c>
      <c r="AF53" s="24">
        <f t="shared" si="11"/>
        <v>161.08786610878661</v>
      </c>
      <c r="AG53" s="131"/>
      <c r="AH53" s="127"/>
      <c r="AI53" s="127"/>
      <c r="AJ53" s="127"/>
      <c r="AK53" s="13">
        <f>$AI$51/I53</f>
        <v>1.5584415584415585</v>
      </c>
      <c r="AN53" s="1"/>
      <c r="AO53" s="7"/>
      <c r="AU53" s="6"/>
      <c r="AW53" s="6"/>
    </row>
    <row r="54" spans="2:49" x14ac:dyDescent="0.2">
      <c r="B54" s="10" t="s">
        <v>185</v>
      </c>
      <c r="C54" s="10">
        <v>2015</v>
      </c>
      <c r="D54" s="10">
        <v>2016</v>
      </c>
      <c r="E54" s="10">
        <v>134</v>
      </c>
      <c r="F54" s="10"/>
      <c r="G54" s="10">
        <v>190</v>
      </c>
      <c r="H54" s="10">
        <v>36800</v>
      </c>
      <c r="I54" s="10">
        <v>24.2</v>
      </c>
      <c r="J54" s="10">
        <v>21</v>
      </c>
      <c r="K54" s="12">
        <f t="shared" si="3"/>
        <v>0.86776859504132231</v>
      </c>
      <c r="L54" s="13">
        <f t="shared" si="17"/>
        <v>15.671641791044777</v>
      </c>
      <c r="M54" s="82">
        <f t="shared" si="1"/>
        <v>252.19893451954906</v>
      </c>
      <c r="N54" s="10">
        <v>1533</v>
      </c>
      <c r="O54" s="22">
        <v>5</v>
      </c>
      <c r="P54" s="10">
        <v>85</v>
      </c>
      <c r="Q54" s="10">
        <v>115</v>
      </c>
      <c r="R54" s="10">
        <v>199</v>
      </c>
      <c r="S54" s="18">
        <v>0.61499999999999999</v>
      </c>
      <c r="T54" s="18">
        <v>0.27</v>
      </c>
      <c r="U54" s="140"/>
      <c r="V54" s="10" t="s">
        <v>3</v>
      </c>
      <c r="W54" s="10">
        <v>25</v>
      </c>
      <c r="X54" s="10">
        <v>3.7</v>
      </c>
      <c r="Y54" s="10" t="s">
        <v>11</v>
      </c>
      <c r="Z54" s="10" t="s">
        <v>13</v>
      </c>
      <c r="AA54" s="10">
        <v>323</v>
      </c>
      <c r="AB54" s="10">
        <v>264</v>
      </c>
      <c r="AC54" s="10">
        <v>690</v>
      </c>
      <c r="AD54" s="10">
        <v>134</v>
      </c>
      <c r="AE54" s="10">
        <v>318</v>
      </c>
      <c r="AF54" s="24">
        <f t="shared" si="11"/>
        <v>76.100628930817606</v>
      </c>
      <c r="AG54" s="130" t="s">
        <v>94</v>
      </c>
      <c r="AH54" s="33">
        <v>3</v>
      </c>
      <c r="AI54" s="126">
        <v>50</v>
      </c>
      <c r="AJ54" s="95">
        <v>44</v>
      </c>
      <c r="AK54" s="13">
        <f>AI54/I54</f>
        <v>2.0661157024793391</v>
      </c>
      <c r="AN54" s="1">
        <v>31</v>
      </c>
      <c r="AO54" s="7">
        <f t="shared" si="4"/>
        <v>19.266625233064016</v>
      </c>
      <c r="AU54" s="6"/>
      <c r="AW54" s="6"/>
    </row>
    <row r="55" spans="2:49" x14ac:dyDescent="0.2">
      <c r="B55" s="10" t="s">
        <v>185</v>
      </c>
      <c r="C55" s="10">
        <v>2017</v>
      </c>
      <c r="D55" s="10"/>
      <c r="E55" s="10">
        <v>201</v>
      </c>
      <c r="F55" s="10"/>
      <c r="G55" s="10">
        <v>300</v>
      </c>
      <c r="H55" s="10">
        <v>40040</v>
      </c>
      <c r="I55" s="10">
        <v>35.6</v>
      </c>
      <c r="J55" s="10">
        <v>32</v>
      </c>
      <c r="K55" s="12">
        <f t="shared" si="3"/>
        <v>0.898876404494382</v>
      </c>
      <c r="L55" s="13">
        <f t="shared" si="17"/>
        <v>15.920398009950249</v>
      </c>
      <c r="M55" s="82">
        <f t="shared" si="1"/>
        <v>256.20209221033554</v>
      </c>
      <c r="N55" s="10">
        <v>1553</v>
      </c>
      <c r="O55" s="22">
        <v>5</v>
      </c>
      <c r="P55" s="10">
        <v>100</v>
      </c>
      <c r="Q55" s="10">
        <v>134</v>
      </c>
      <c r="R55" s="10">
        <v>290</v>
      </c>
      <c r="S55" s="18">
        <v>0.61499999999999999</v>
      </c>
      <c r="T55" s="18">
        <v>0.27</v>
      </c>
      <c r="U55" s="140"/>
      <c r="V55" s="10" t="s">
        <v>0</v>
      </c>
      <c r="W55" s="10">
        <v>37</v>
      </c>
      <c r="X55" s="10">
        <v>3.7</v>
      </c>
      <c r="Y55" s="10" t="s">
        <v>11</v>
      </c>
      <c r="Z55" s="10" t="s">
        <v>17</v>
      </c>
      <c r="AA55" s="10">
        <v>323</v>
      </c>
      <c r="AB55" s="10">
        <v>264</v>
      </c>
      <c r="AC55" s="10">
        <v>730</v>
      </c>
      <c r="AD55" s="24">
        <f>W55*X55/AC55*1000</f>
        <v>187.53424657534248</v>
      </c>
      <c r="AE55" s="10">
        <v>345</v>
      </c>
      <c r="AF55" s="24">
        <f t="shared" si="11"/>
        <v>103.18840579710145</v>
      </c>
      <c r="AG55" s="134"/>
      <c r="AH55" s="33">
        <v>7</v>
      </c>
      <c r="AI55" s="127"/>
      <c r="AJ55" s="92">
        <v>40</v>
      </c>
      <c r="AK55" s="13">
        <f>AI54/I55</f>
        <v>1.4044943820224718</v>
      </c>
      <c r="AN55" s="1"/>
      <c r="AO55" s="7"/>
      <c r="AU55" s="6"/>
      <c r="AW55" s="6"/>
    </row>
    <row r="56" spans="2:49" x14ac:dyDescent="0.2">
      <c r="B56" s="10" t="s">
        <v>186</v>
      </c>
      <c r="C56" s="10">
        <v>2013</v>
      </c>
      <c r="D56" s="10"/>
      <c r="E56" s="10">
        <v>101</v>
      </c>
      <c r="F56" s="10"/>
      <c r="G56" s="10">
        <v>160</v>
      </c>
      <c r="H56" s="10">
        <v>28000</v>
      </c>
      <c r="I56" s="10">
        <v>18.7</v>
      </c>
      <c r="J56" s="20">
        <v>17</v>
      </c>
      <c r="K56" s="12">
        <f t="shared" si="3"/>
        <v>0.90909090909090917</v>
      </c>
      <c r="L56" s="13">
        <f t="shared" si="17"/>
        <v>16.831683168316832</v>
      </c>
      <c r="M56" s="82">
        <f t="shared" si="1"/>
        <v>270.86712533499889</v>
      </c>
      <c r="N56" s="10">
        <v>1229</v>
      </c>
      <c r="O56" s="22">
        <v>4</v>
      </c>
      <c r="P56" s="10">
        <v>60</v>
      </c>
      <c r="Q56" s="10">
        <v>82</v>
      </c>
      <c r="R56" s="10">
        <v>210</v>
      </c>
      <c r="S56" s="31">
        <f>2.09*T56</f>
        <v>0.66879999999999995</v>
      </c>
      <c r="T56" s="18">
        <v>0.32</v>
      </c>
      <c r="U56" s="140"/>
      <c r="V56" s="10" t="s">
        <v>3</v>
      </c>
      <c r="W56" s="10">
        <v>25</v>
      </c>
      <c r="X56" s="10">
        <v>3.7</v>
      </c>
      <c r="Y56" s="10" t="s">
        <v>11</v>
      </c>
      <c r="Z56" s="10" t="s">
        <v>13</v>
      </c>
      <c r="AA56" s="10">
        <v>374</v>
      </c>
      <c r="AB56" s="10">
        <v>204</v>
      </c>
      <c r="AC56" s="16" t="s">
        <v>19</v>
      </c>
      <c r="AD56" s="24"/>
      <c r="AE56" s="10">
        <v>230</v>
      </c>
      <c r="AF56" s="24">
        <f t="shared" si="11"/>
        <v>81.304347826086953</v>
      </c>
      <c r="AG56" s="131"/>
      <c r="AH56" s="33">
        <v>7</v>
      </c>
      <c r="AI56" s="33">
        <v>50</v>
      </c>
      <c r="AJ56" s="95"/>
      <c r="AK56" s="13">
        <f>AI56/I56</f>
        <v>2.6737967914438503</v>
      </c>
      <c r="AN56" s="1"/>
      <c r="AO56" s="7">
        <f t="shared" si="4"/>
        <v>0</v>
      </c>
      <c r="AU56" s="6"/>
      <c r="AW56" s="6"/>
    </row>
    <row r="57" spans="2:49" x14ac:dyDescent="0.2">
      <c r="Q57" s="7"/>
      <c r="S57" s="42"/>
    </row>
    <row r="58" spans="2:49" x14ac:dyDescent="0.2">
      <c r="K58" s="7"/>
      <c r="M58" s="7"/>
      <c r="Q58" s="7"/>
      <c r="S58" s="7"/>
    </row>
    <row r="59" spans="2:49" x14ac:dyDescent="0.2">
      <c r="G59" s="4"/>
      <c r="H59" s="4"/>
      <c r="I59" s="4"/>
      <c r="L59" s="4"/>
      <c r="M59" s="4"/>
      <c r="Q59" s="7"/>
      <c r="S59" s="7"/>
    </row>
    <row r="60" spans="2:49" x14ac:dyDescent="0.2">
      <c r="G60" s="3"/>
      <c r="H60" s="3"/>
      <c r="I60" s="3"/>
      <c r="L60" s="4"/>
      <c r="M60" s="4"/>
      <c r="P60" s="5"/>
      <c r="Q60" s="5"/>
      <c r="R60" s="5"/>
      <c r="S60" s="8"/>
    </row>
    <row r="61" spans="2:49" x14ac:dyDescent="0.2">
      <c r="P61" s="5"/>
      <c r="Q61" s="5"/>
      <c r="S61" s="68"/>
      <c r="V61" s="111"/>
    </row>
    <row r="62" spans="2:49" x14ac:dyDescent="0.2">
      <c r="S62" s="7"/>
      <c r="AE62" s="44"/>
    </row>
    <row r="63" spans="2:49" x14ac:dyDescent="0.2">
      <c r="Q63" s="7"/>
      <c r="S63" s="7"/>
    </row>
    <row r="64" spans="2:49" x14ac:dyDescent="0.2">
      <c r="S64" s="7"/>
    </row>
    <row r="65" spans="2:19" x14ac:dyDescent="0.2">
      <c r="S65" s="7"/>
    </row>
    <row r="66" spans="2:19" x14ac:dyDescent="0.2">
      <c r="S66" s="7"/>
    </row>
    <row r="67" spans="2:19" x14ac:dyDescent="0.2">
      <c r="S67" s="7"/>
    </row>
    <row r="68" spans="2:19" x14ac:dyDescent="0.2">
      <c r="S68" s="7"/>
    </row>
    <row r="69" spans="2:19" x14ac:dyDescent="0.2">
      <c r="S69" s="7"/>
    </row>
    <row r="70" spans="2:19" x14ac:dyDescent="0.2">
      <c r="R70" s="7"/>
      <c r="S70" s="7"/>
    </row>
    <row r="71" spans="2:19" x14ac:dyDescent="0.2">
      <c r="Q71" s="7"/>
      <c r="S71" s="7"/>
    </row>
    <row r="72" spans="2:19" ht="12.75" customHeight="1" x14ac:dyDescent="0.2">
      <c r="Q72" s="7"/>
      <c r="S72" s="7"/>
    </row>
    <row r="73" spans="2:19" x14ac:dyDescent="0.2">
      <c r="B73" s="136"/>
      <c r="C73" s="97"/>
      <c r="D73" s="97"/>
      <c r="E73" s="138"/>
      <c r="F73" s="87"/>
      <c r="G73" s="138"/>
      <c r="H73" s="87"/>
      <c r="I73" s="138"/>
      <c r="J73" s="138"/>
      <c r="K73" s="138"/>
      <c r="L73" s="138"/>
      <c r="M73" s="117"/>
      <c r="N73" s="137"/>
      <c r="O73" s="98"/>
      <c r="P73" s="138"/>
      <c r="Q73" s="138"/>
      <c r="R73" s="138"/>
      <c r="S73" s="139"/>
    </row>
    <row r="74" spans="2:19" x14ac:dyDescent="0.2">
      <c r="B74" s="136"/>
      <c r="C74" s="97"/>
      <c r="D74" s="97"/>
      <c r="E74" s="138"/>
      <c r="F74" s="87"/>
      <c r="G74" s="138"/>
      <c r="H74" s="87"/>
      <c r="I74" s="138"/>
      <c r="J74" s="138"/>
      <c r="K74" s="138"/>
      <c r="L74" s="138"/>
      <c r="M74" s="117"/>
      <c r="N74" s="137"/>
      <c r="O74" s="98"/>
      <c r="P74" s="138"/>
      <c r="Q74" s="138"/>
      <c r="R74" s="138"/>
      <c r="S74" s="139"/>
    </row>
    <row r="75" spans="2:19" x14ac:dyDescent="0.2">
      <c r="P75" s="5"/>
      <c r="Q75" s="5"/>
      <c r="S75" s="7"/>
    </row>
  </sheetData>
  <mergeCells count="71">
    <mergeCell ref="AG5:AG7"/>
    <mergeCell ref="AJ51:AJ53"/>
    <mergeCell ref="AJ32:AJ33"/>
    <mergeCell ref="AJ20:AJ21"/>
    <mergeCell ref="B20:B21"/>
    <mergeCell ref="R20:R21"/>
    <mergeCell ref="Q20:Q21"/>
    <mergeCell ref="N20:N21"/>
    <mergeCell ref="P20:P21"/>
    <mergeCell ref="AH49:AH50"/>
    <mergeCell ref="AI49:AI50"/>
    <mergeCell ref="AH20:AH21"/>
    <mergeCell ref="AI20:AI21"/>
    <mergeCell ref="AG32:AG33"/>
    <mergeCell ref="AH51:AH53"/>
    <mergeCell ref="AI51:AI53"/>
    <mergeCell ref="S73:S74"/>
    <mergeCell ref="T20:T21"/>
    <mergeCell ref="AG43:AG48"/>
    <mergeCell ref="AG54:AG56"/>
    <mergeCell ref="AH16:AH17"/>
    <mergeCell ref="U3:U56"/>
    <mergeCell ref="AF20:AF21"/>
    <mergeCell ref="Z20:Z21"/>
    <mergeCell ref="AA20:AA21"/>
    <mergeCell ref="AG16:AG17"/>
    <mergeCell ref="Y20:Y21"/>
    <mergeCell ref="AG49:AG50"/>
    <mergeCell ref="V20:V21"/>
    <mergeCell ref="W20:W21"/>
    <mergeCell ref="X20:X21"/>
    <mergeCell ref="AG41:AG42"/>
    <mergeCell ref="B73:B74"/>
    <mergeCell ref="N73:N74"/>
    <mergeCell ref="P73:P74"/>
    <mergeCell ref="Q73:Q74"/>
    <mergeCell ref="R73:R74"/>
    <mergeCell ref="E73:E74"/>
    <mergeCell ref="G73:G74"/>
    <mergeCell ref="I73:I74"/>
    <mergeCell ref="J73:J74"/>
    <mergeCell ref="L73:L74"/>
    <mergeCell ref="K73:K74"/>
    <mergeCell ref="AI54:AI55"/>
    <mergeCell ref="AK20:AK21"/>
    <mergeCell ref="AH43:AH48"/>
    <mergeCell ref="AI43:AI48"/>
    <mergeCell ref="AG51:AG53"/>
    <mergeCell ref="AG27:AG29"/>
    <mergeCell ref="AG20:AG21"/>
    <mergeCell ref="AI41:AI42"/>
    <mergeCell ref="AI36:AI40"/>
    <mergeCell ref="AG36:AG40"/>
    <mergeCell ref="AI27:AI29"/>
    <mergeCell ref="AH32:AH33"/>
    <mergeCell ref="AI32:AI33"/>
    <mergeCell ref="AH27:AH29"/>
    <mergeCell ref="AJ36:AJ40"/>
    <mergeCell ref="AJ41:AJ42"/>
    <mergeCell ref="AH13:AH14"/>
    <mergeCell ref="AI13:AI14"/>
    <mergeCell ref="S20:S21"/>
    <mergeCell ref="AB20:AB21"/>
    <mergeCell ref="AC20:AC21"/>
    <mergeCell ref="AD20:AD21"/>
    <mergeCell ref="AE20:AE21"/>
    <mergeCell ref="AG13:AG14"/>
    <mergeCell ref="AG18:AG19"/>
    <mergeCell ref="AH18:AH19"/>
    <mergeCell ref="AI18:AI19"/>
    <mergeCell ref="AI16:AI17"/>
  </mergeCells>
  <pageMargins left="0.25" right="0.25" top="0.75" bottom="0.75" header="0.3" footer="0.3"/>
  <pageSetup paperSize="8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2:D22"/>
  <sheetViews>
    <sheetView showGridLines="0" topLeftCell="A3" zoomScale="80" zoomScaleNormal="80" workbookViewId="0">
      <selection activeCell="D23" sqref="D23"/>
    </sheetView>
  </sheetViews>
  <sheetFormatPr baseColWidth="10" defaultRowHeight="12.75" x14ac:dyDescent="0.2"/>
  <cols>
    <col min="1" max="1" width="2.7109375" customWidth="1"/>
    <col min="4" max="4" width="88.140625" customWidth="1"/>
  </cols>
  <sheetData>
    <row r="2" spans="2:4" x14ac:dyDescent="0.2">
      <c r="B2" s="17" t="s">
        <v>45</v>
      </c>
      <c r="C2" s="17" t="s">
        <v>46</v>
      </c>
      <c r="D2" s="17" t="s">
        <v>47</v>
      </c>
    </row>
    <row r="3" spans="2:4" x14ac:dyDescent="0.2">
      <c r="B3" s="26">
        <v>43099</v>
      </c>
      <c r="C3" s="17" t="s">
        <v>48</v>
      </c>
      <c r="D3" s="17" t="s">
        <v>49</v>
      </c>
    </row>
    <row r="4" spans="2:4" x14ac:dyDescent="0.2">
      <c r="B4" s="26">
        <v>43099</v>
      </c>
      <c r="C4" s="17" t="s">
        <v>48</v>
      </c>
      <c r="D4" s="17" t="s">
        <v>85</v>
      </c>
    </row>
    <row r="5" spans="2:4" x14ac:dyDescent="0.2">
      <c r="B5" s="26">
        <v>43100</v>
      </c>
      <c r="C5" s="17" t="s">
        <v>48</v>
      </c>
      <c r="D5" s="17" t="s">
        <v>86</v>
      </c>
    </row>
    <row r="6" spans="2:4" x14ac:dyDescent="0.2">
      <c r="B6" s="26">
        <v>42736</v>
      </c>
      <c r="C6" s="17" t="s">
        <v>48</v>
      </c>
      <c r="D6" s="17" t="s">
        <v>88</v>
      </c>
    </row>
    <row r="7" spans="2:4" x14ac:dyDescent="0.2">
      <c r="B7" s="26">
        <v>43170</v>
      </c>
      <c r="C7" s="17" t="s">
        <v>48</v>
      </c>
      <c r="D7" s="17" t="s">
        <v>97</v>
      </c>
    </row>
    <row r="8" spans="2:4" x14ac:dyDescent="0.2">
      <c r="B8" s="26">
        <v>43184</v>
      </c>
      <c r="C8" s="17" t="s">
        <v>48</v>
      </c>
      <c r="D8" s="17" t="s">
        <v>110</v>
      </c>
    </row>
    <row r="9" spans="2:4" x14ac:dyDescent="0.2">
      <c r="B9" s="26">
        <v>43189</v>
      </c>
      <c r="C9" s="17" t="s">
        <v>48</v>
      </c>
      <c r="D9" s="17" t="s">
        <v>117</v>
      </c>
    </row>
    <row r="10" spans="2:4" x14ac:dyDescent="0.2">
      <c r="B10" s="26">
        <v>43190</v>
      </c>
      <c r="C10" s="17" t="s">
        <v>48</v>
      </c>
      <c r="D10" s="17" t="s">
        <v>118</v>
      </c>
    </row>
    <row r="11" spans="2:4" x14ac:dyDescent="0.2">
      <c r="B11" s="26">
        <v>43197</v>
      </c>
      <c r="C11" s="17" t="s">
        <v>48</v>
      </c>
      <c r="D11" s="17" t="s">
        <v>120</v>
      </c>
    </row>
    <row r="12" spans="2:4" x14ac:dyDescent="0.2">
      <c r="B12" s="26">
        <v>43224</v>
      </c>
      <c r="C12" s="17" t="s">
        <v>48</v>
      </c>
      <c r="D12" s="17" t="s">
        <v>121</v>
      </c>
    </row>
    <row r="13" spans="2:4" x14ac:dyDescent="0.2">
      <c r="B13" s="26">
        <v>43240</v>
      </c>
      <c r="C13" s="17" t="s">
        <v>48</v>
      </c>
      <c r="D13" s="17" t="s">
        <v>123</v>
      </c>
    </row>
    <row r="14" spans="2:4" x14ac:dyDescent="0.2">
      <c r="B14" s="26">
        <v>43246</v>
      </c>
      <c r="C14" s="17" t="s">
        <v>48</v>
      </c>
      <c r="D14" s="17" t="s">
        <v>128</v>
      </c>
    </row>
    <row r="15" spans="2:4" x14ac:dyDescent="0.2">
      <c r="B15" s="26">
        <v>43253</v>
      </c>
      <c r="C15" s="17" t="s">
        <v>48</v>
      </c>
      <c r="D15" s="17" t="s">
        <v>137</v>
      </c>
    </row>
    <row r="16" spans="2:4" ht="25.5" x14ac:dyDescent="0.2">
      <c r="B16" s="26">
        <v>43331</v>
      </c>
      <c r="C16" s="17" t="s">
        <v>48</v>
      </c>
      <c r="D16" s="84" t="s">
        <v>138</v>
      </c>
    </row>
    <row r="17" spans="2:4" ht="25.5" x14ac:dyDescent="0.2">
      <c r="B17" s="26">
        <v>43383</v>
      </c>
      <c r="C17" s="17" t="s">
        <v>48</v>
      </c>
      <c r="D17" s="84" t="s">
        <v>190</v>
      </c>
    </row>
    <row r="18" spans="2:4" x14ac:dyDescent="0.2">
      <c r="B18" s="26">
        <v>43461</v>
      </c>
      <c r="C18" s="17" t="s">
        <v>48</v>
      </c>
      <c r="D18" s="17" t="s">
        <v>201</v>
      </c>
    </row>
    <row r="19" spans="2:4" ht="12.75" customHeight="1" x14ac:dyDescent="0.2">
      <c r="B19" s="26">
        <v>43464</v>
      </c>
      <c r="C19" s="17" t="s">
        <v>48</v>
      </c>
      <c r="D19" s="17" t="s">
        <v>202</v>
      </c>
    </row>
    <row r="20" spans="2:4" ht="2.25" hidden="1" customHeight="1" x14ac:dyDescent="0.2">
      <c r="B20" s="17"/>
      <c r="C20" s="17"/>
      <c r="D20" s="17"/>
    </row>
    <row r="21" spans="2:4" x14ac:dyDescent="0.2">
      <c r="B21" s="26">
        <v>43465</v>
      </c>
      <c r="C21" s="17" t="s">
        <v>48</v>
      </c>
      <c r="D21" s="17" t="s">
        <v>210</v>
      </c>
    </row>
    <row r="22" spans="2:4" x14ac:dyDescent="0.2">
      <c r="B22" s="26">
        <v>43477</v>
      </c>
      <c r="C22" s="17" t="s">
        <v>48</v>
      </c>
      <c r="D22" s="17" t="s">
        <v>216</v>
      </c>
    </row>
  </sheetData>
  <pageMargins left="0.25" right="0.25" top="0.75" bottom="0.75" header="0.3" footer="0.3"/>
  <pageSetup paperSize="8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EV specs</vt:lpstr>
      <vt:lpstr>History</vt:lpstr>
      <vt:lpstr>'EV specs'!Zone_d_impression</vt:lpstr>
    </vt:vector>
  </TitlesOfParts>
  <Company>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Chris.</dc:creator>
  <cp:lastModifiedBy>Audouy Christophe</cp:lastModifiedBy>
  <cp:lastPrinted>2018-10-12T16:01:30Z</cp:lastPrinted>
  <dcterms:created xsi:type="dcterms:W3CDTF">2017-12-28T07:46:04Z</dcterms:created>
  <dcterms:modified xsi:type="dcterms:W3CDTF">2019-01-12T09:05:23Z</dcterms:modified>
</cp:coreProperties>
</file>