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ss\OneDrive\Bureau\Financial Modeling\"/>
    </mc:Choice>
  </mc:AlternateContent>
  <xr:revisionPtr revIDLastSave="0" documentId="13_ncr:1_{539B7B7A-860E-4D47-AE8A-739B5F7AB584}" xr6:coauthVersionLast="46" xr6:coauthVersionMax="46" xr10:uidLastSave="{00000000-0000-0000-0000-000000000000}"/>
  <bookViews>
    <workbookView xWindow="828" yWindow="-108" windowWidth="22320" windowHeight="13176" activeTab="3" xr2:uid="{DF6C860D-177F-46D8-BFCC-AA21297923A5}"/>
  </bookViews>
  <sheets>
    <sheet name="Overview" sheetId="2" r:id="rId1"/>
    <sheet name="AAPL Income Statement" sheetId="1" r:id="rId2"/>
    <sheet name="AAPL WACC" sheetId="3" r:id="rId3"/>
    <sheet name="AAPL DCF Model" sheetId="5" r:id="rId4"/>
  </sheets>
  <definedNames>
    <definedName name="Case">'AAPL Income Statement'!$B$4</definedName>
    <definedName name="TGR">'AAPL Income Statement'!$B$5</definedName>
    <definedName name="WACC">'AAPL Income Statement'!$B$6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F33" i="1" l="1"/>
  <c r="L42" i="1"/>
  <c r="I42" i="1"/>
  <c r="I28" i="1"/>
  <c r="G6" i="5"/>
  <c r="C55" i="5"/>
  <c r="C49" i="5"/>
  <c r="C40" i="5"/>
  <c r="C39" i="5"/>
  <c r="I38" i="5"/>
  <c r="G38" i="5"/>
  <c r="H38" i="5" s="1"/>
  <c r="H37" i="5"/>
  <c r="H36" i="5"/>
  <c r="H35" i="5"/>
  <c r="C30" i="5"/>
  <c r="L3" i="5"/>
  <c r="M3" i="5" s="1"/>
  <c r="N3" i="5" s="1"/>
  <c r="O3" i="5" s="1"/>
  <c r="P3" i="5" s="1"/>
  <c r="Q3" i="5" s="1"/>
  <c r="R3" i="5" s="1"/>
  <c r="K3" i="5"/>
  <c r="C15" i="3"/>
  <c r="C9" i="3"/>
  <c r="C8" i="3"/>
  <c r="C42" i="5" l="1"/>
  <c r="C44" i="5" s="1"/>
  <c r="I17" i="1" l="1"/>
  <c r="J27" i="1" l="1"/>
  <c r="D27" i="1"/>
  <c r="E27" i="1"/>
  <c r="C27" i="1"/>
  <c r="J17" i="1"/>
  <c r="Q17" i="1"/>
  <c r="E17" i="1"/>
  <c r="D17" i="1"/>
  <c r="C50" i="1"/>
  <c r="D50" i="1"/>
  <c r="E50" i="1"/>
  <c r="G50" i="1"/>
  <c r="H50" i="1"/>
  <c r="F50" i="1"/>
  <c r="D33" i="1"/>
  <c r="D34" i="1" s="1"/>
  <c r="E33" i="1"/>
  <c r="C33" i="1"/>
  <c r="G26" i="1"/>
  <c r="H26" i="1"/>
  <c r="F26" i="1"/>
  <c r="C39" i="1"/>
  <c r="D39" i="1"/>
  <c r="E39" i="1"/>
  <c r="F39" i="1"/>
  <c r="G39" i="1"/>
  <c r="H39" i="1"/>
  <c r="G16" i="1"/>
  <c r="H16" i="1"/>
  <c r="F16" i="1"/>
  <c r="F17" i="1" s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K18" i="1" s="1"/>
  <c r="E40" i="1" l="1"/>
  <c r="C40" i="1"/>
  <c r="D40" i="1"/>
  <c r="G27" i="1"/>
  <c r="F27" i="1"/>
  <c r="H27" i="1"/>
  <c r="I16" i="1"/>
  <c r="K20" i="1"/>
  <c r="L20" i="1" s="1"/>
  <c r="M20" i="1" s="1"/>
  <c r="N20" i="1" s="1"/>
  <c r="O20" i="1" s="1"/>
  <c r="P20" i="1" s="1"/>
  <c r="L18" i="1"/>
  <c r="K19" i="1"/>
  <c r="L19" i="1" s="1"/>
  <c r="M19" i="1" s="1"/>
  <c r="N19" i="1" s="1"/>
  <c r="O19" i="1" s="1"/>
  <c r="P19" i="1" s="1"/>
  <c r="H17" i="1"/>
  <c r="G17" i="1"/>
  <c r="F34" i="1"/>
  <c r="H33" i="1"/>
  <c r="H34" i="1" s="1"/>
  <c r="C46" i="1"/>
  <c r="C56" i="1" s="1"/>
  <c r="E46" i="1"/>
  <c r="E56" i="1" s="1"/>
  <c r="G33" i="1"/>
  <c r="G46" i="1" s="1"/>
  <c r="G56" i="1" s="1"/>
  <c r="E34" i="1"/>
  <c r="C34" i="1"/>
  <c r="D46" i="1"/>
  <c r="D56" i="1" s="1"/>
  <c r="H46" i="1" l="1"/>
  <c r="H56" i="1" s="1"/>
  <c r="H58" i="1" s="1"/>
  <c r="F40" i="1"/>
  <c r="D51" i="1"/>
  <c r="E51" i="1"/>
  <c r="G51" i="1"/>
  <c r="C51" i="1"/>
  <c r="G40" i="1"/>
  <c r="H40" i="1"/>
  <c r="K17" i="1"/>
  <c r="Q30" i="1"/>
  <c r="K30" i="1" s="1"/>
  <c r="L30" i="1" s="1"/>
  <c r="M30" i="1" s="1"/>
  <c r="N30" i="1" s="1"/>
  <c r="O30" i="1" s="1"/>
  <c r="P30" i="1" s="1"/>
  <c r="Q29" i="1"/>
  <c r="K29" i="1" s="1"/>
  <c r="L29" i="1" s="1"/>
  <c r="M29" i="1" s="1"/>
  <c r="N29" i="1" s="1"/>
  <c r="O29" i="1" s="1"/>
  <c r="P29" i="1" s="1"/>
  <c r="Q28" i="1"/>
  <c r="J16" i="1"/>
  <c r="M18" i="1"/>
  <c r="L17" i="1"/>
  <c r="F46" i="1"/>
  <c r="G61" i="1"/>
  <c r="H6" i="5" s="1"/>
  <c r="G58" i="1"/>
  <c r="E58" i="1"/>
  <c r="E61" i="1"/>
  <c r="F6" i="5" s="1"/>
  <c r="D58" i="1"/>
  <c r="D61" i="1"/>
  <c r="E6" i="5" s="1"/>
  <c r="C61" i="1"/>
  <c r="D6" i="5" s="1"/>
  <c r="C58" i="1"/>
  <c r="G34" i="1"/>
  <c r="F18" i="5" l="1"/>
  <c r="F12" i="5"/>
  <c r="F9" i="5"/>
  <c r="F15" i="5"/>
  <c r="D9" i="5"/>
  <c r="D15" i="5"/>
  <c r="J15" i="5" s="1"/>
  <c r="D12" i="5"/>
  <c r="D18" i="5"/>
  <c r="E15" i="5"/>
  <c r="E12" i="5"/>
  <c r="E18" i="5"/>
  <c r="E9" i="5"/>
  <c r="H9" i="5"/>
  <c r="H15" i="5"/>
  <c r="H12" i="5"/>
  <c r="H18" i="5"/>
  <c r="H61" i="1"/>
  <c r="I6" i="5" s="1"/>
  <c r="H51" i="1"/>
  <c r="Q42" i="1"/>
  <c r="Q41" i="1"/>
  <c r="I41" i="1"/>
  <c r="Q43" i="1"/>
  <c r="F56" i="1"/>
  <c r="F61" i="1" s="1"/>
  <c r="F51" i="1"/>
  <c r="K16" i="1"/>
  <c r="L16" i="1" s="1"/>
  <c r="J26" i="1"/>
  <c r="J33" i="1" s="1"/>
  <c r="Q27" i="1"/>
  <c r="K28" i="1"/>
  <c r="I29" i="1"/>
  <c r="I30" i="1" s="1"/>
  <c r="I27" i="1" s="1"/>
  <c r="I26" i="1" s="1"/>
  <c r="I33" i="1" s="1"/>
  <c r="N18" i="1"/>
  <c r="M17" i="1"/>
  <c r="K15" i="5" l="1"/>
  <c r="G9" i="5"/>
  <c r="G15" i="5"/>
  <c r="G12" i="5"/>
  <c r="J12" i="5" s="1"/>
  <c r="K12" i="5" s="1"/>
  <c r="L12" i="5" s="1"/>
  <c r="M12" i="5" s="1"/>
  <c r="N12" i="5" s="1"/>
  <c r="O12" i="5" s="1"/>
  <c r="P12" i="5" s="1"/>
  <c r="Q12" i="5" s="1"/>
  <c r="R12" i="5" s="1"/>
  <c r="G18" i="5"/>
  <c r="I12" i="5"/>
  <c r="I9" i="5"/>
  <c r="I15" i="5"/>
  <c r="I18" i="5"/>
  <c r="Q53" i="1"/>
  <c r="J41" i="1"/>
  <c r="K41" i="1" s="1"/>
  <c r="L41" i="1" s="1"/>
  <c r="M41" i="1" s="1"/>
  <c r="N41" i="1" s="1"/>
  <c r="O41" i="1" s="1"/>
  <c r="P41" i="1" s="1"/>
  <c r="I52" i="1"/>
  <c r="J52" i="1" s="1"/>
  <c r="Q52" i="1"/>
  <c r="F58" i="1"/>
  <c r="C17" i="3" s="1"/>
  <c r="C19" i="3" s="1"/>
  <c r="J34" i="1"/>
  <c r="I34" i="1"/>
  <c r="M16" i="1"/>
  <c r="K27" i="1"/>
  <c r="K26" i="1" s="1"/>
  <c r="K33" i="1" s="1"/>
  <c r="L28" i="1"/>
  <c r="O18" i="1"/>
  <c r="N17" i="1"/>
  <c r="J9" i="5" l="1"/>
  <c r="K9" i="5" s="1"/>
  <c r="L9" i="5" s="1"/>
  <c r="M9" i="5" s="1"/>
  <c r="N9" i="5" s="1"/>
  <c r="O9" i="5" s="1"/>
  <c r="P9" i="5" s="1"/>
  <c r="Q9" i="5" s="1"/>
  <c r="L15" i="5"/>
  <c r="I43" i="1"/>
  <c r="J42" i="1"/>
  <c r="K42" i="1" s="1"/>
  <c r="M42" i="1" s="1"/>
  <c r="N42" i="1" s="1"/>
  <c r="O42" i="1" s="1"/>
  <c r="P42" i="1" s="1"/>
  <c r="I53" i="1"/>
  <c r="J53" i="1" s="1"/>
  <c r="K53" i="1" s="1"/>
  <c r="L53" i="1" s="1"/>
  <c r="M53" i="1" s="1"/>
  <c r="N53" i="1" s="1"/>
  <c r="O53" i="1" s="1"/>
  <c r="P53" i="1" s="1"/>
  <c r="K52" i="1"/>
  <c r="L52" i="1" s="1"/>
  <c r="M52" i="1" s="1"/>
  <c r="N52" i="1" s="1"/>
  <c r="O52" i="1" s="1"/>
  <c r="P52" i="1" s="1"/>
  <c r="I58" i="1"/>
  <c r="J58" i="1" s="1"/>
  <c r="K58" i="1" s="1"/>
  <c r="K34" i="1"/>
  <c r="N16" i="1"/>
  <c r="M28" i="1"/>
  <c r="L27" i="1"/>
  <c r="L26" i="1" s="1"/>
  <c r="L33" i="1" s="1"/>
  <c r="P18" i="1"/>
  <c r="P17" i="1" s="1"/>
  <c r="O17" i="1"/>
  <c r="M15" i="5" l="1"/>
  <c r="I54" i="1"/>
  <c r="I51" i="1" s="1"/>
  <c r="J43" i="1"/>
  <c r="K43" i="1" s="1"/>
  <c r="L43" i="1" s="1"/>
  <c r="M43" i="1" s="1"/>
  <c r="N43" i="1" s="1"/>
  <c r="O43" i="1" s="1"/>
  <c r="I40" i="1"/>
  <c r="I39" i="1" s="1"/>
  <c r="I46" i="1" s="1"/>
  <c r="L58" i="1"/>
  <c r="L34" i="1"/>
  <c r="O16" i="1"/>
  <c r="P16" i="1" s="1"/>
  <c r="N28" i="1"/>
  <c r="M27" i="1"/>
  <c r="M26" i="1" s="1"/>
  <c r="M33" i="1" s="1"/>
  <c r="N15" i="5" l="1"/>
  <c r="J54" i="1"/>
  <c r="J51" i="1" s="1"/>
  <c r="J40" i="1"/>
  <c r="J39" i="1" s="1"/>
  <c r="J46" i="1" s="1"/>
  <c r="M58" i="1"/>
  <c r="N58" i="1" s="1"/>
  <c r="O58" i="1" s="1"/>
  <c r="P58" i="1" s="1"/>
  <c r="Q58" i="1" s="1"/>
  <c r="I50" i="1"/>
  <c r="I56" i="1" s="1"/>
  <c r="M34" i="1"/>
  <c r="O28" i="1"/>
  <c r="N27" i="1"/>
  <c r="N26" i="1" s="1"/>
  <c r="N33" i="1" s="1"/>
  <c r="Q16" i="1"/>
  <c r="O15" i="5" l="1"/>
  <c r="K54" i="1"/>
  <c r="L54" i="1" s="1"/>
  <c r="K40" i="1"/>
  <c r="K39" i="1" s="1"/>
  <c r="K46" i="1" s="1"/>
  <c r="L40" i="1"/>
  <c r="I57" i="1"/>
  <c r="I61" i="1" s="1"/>
  <c r="J6" i="5" s="1"/>
  <c r="J50" i="1"/>
  <c r="J56" i="1" s="1"/>
  <c r="N34" i="1"/>
  <c r="Q26" i="1"/>
  <c r="Q33" i="1" s="1"/>
  <c r="P28" i="1"/>
  <c r="P27" i="1" s="1"/>
  <c r="P26" i="1" s="1"/>
  <c r="P33" i="1" s="1"/>
  <c r="O27" i="1"/>
  <c r="O26" i="1" s="1"/>
  <c r="O33" i="1" s="1"/>
  <c r="J8" i="5" l="1"/>
  <c r="J11" i="5"/>
  <c r="J14" i="5"/>
  <c r="P15" i="5"/>
  <c r="K51" i="1"/>
  <c r="K50" i="1" s="1"/>
  <c r="K56" i="1" s="1"/>
  <c r="M54" i="1"/>
  <c r="L51" i="1"/>
  <c r="L39" i="1"/>
  <c r="L46" i="1" s="1"/>
  <c r="J57" i="1"/>
  <c r="J61" i="1" s="1"/>
  <c r="K6" i="5" s="1"/>
  <c r="P34" i="1"/>
  <c r="O34" i="1"/>
  <c r="Q34" i="1"/>
  <c r="J18" i="5" l="1"/>
  <c r="J19" i="5" s="1"/>
  <c r="Q15" i="5"/>
  <c r="K8" i="5"/>
  <c r="K11" i="5"/>
  <c r="K14" i="5"/>
  <c r="K57" i="1"/>
  <c r="K61" i="1" s="1"/>
  <c r="L6" i="5" s="1"/>
  <c r="L50" i="1"/>
  <c r="L56" i="1" s="1"/>
  <c r="N54" i="1"/>
  <c r="M51" i="1"/>
  <c r="K18" i="5" l="1"/>
  <c r="K19" i="5" s="1"/>
  <c r="L11" i="5"/>
  <c r="L8" i="5"/>
  <c r="L14" i="5"/>
  <c r="R15" i="5"/>
  <c r="O54" i="1"/>
  <c r="N51" i="1"/>
  <c r="L57" i="1"/>
  <c r="L61" i="1" s="1"/>
  <c r="M6" i="5" s="1"/>
  <c r="L18" i="5" l="1"/>
  <c r="L19" i="5" s="1"/>
  <c r="M8" i="5"/>
  <c r="M11" i="5"/>
  <c r="M14" i="5"/>
  <c r="P54" i="1"/>
  <c r="O51" i="1"/>
  <c r="M18" i="5" l="1"/>
  <c r="M19" i="5" s="1"/>
  <c r="Q54" i="1"/>
  <c r="P51" i="1"/>
  <c r="Q51" i="1" l="1"/>
  <c r="P43" i="1" l="1"/>
  <c r="M40" i="1"/>
  <c r="M39" i="1" s="1"/>
  <c r="M46" i="1" s="1"/>
  <c r="M50" i="1" s="1"/>
  <c r="M56" i="1" s="1"/>
  <c r="M57" i="1" s="1"/>
  <c r="M61" i="1" s="1"/>
  <c r="N6" i="5" s="1"/>
  <c r="N8" i="5" l="1"/>
  <c r="N11" i="5"/>
  <c r="N14" i="5"/>
  <c r="N40" i="1"/>
  <c r="N39" i="1" s="1"/>
  <c r="N46" i="1" s="1"/>
  <c r="N50" i="1" s="1"/>
  <c r="N56" i="1" s="1"/>
  <c r="N57" i="1" s="1"/>
  <c r="N61" i="1" s="1"/>
  <c r="O6" i="5" s="1"/>
  <c r="N18" i="5" l="1"/>
  <c r="N19" i="5" s="1"/>
  <c r="O8" i="5"/>
  <c r="O11" i="5"/>
  <c r="O14" i="5"/>
  <c r="O40" i="1"/>
  <c r="O39" i="1" s="1"/>
  <c r="O46" i="1" s="1"/>
  <c r="O50" i="1" s="1"/>
  <c r="O56" i="1" s="1"/>
  <c r="O57" i="1" s="1"/>
  <c r="O61" i="1" s="1"/>
  <c r="P6" i="5" s="1"/>
  <c r="O18" i="5" l="1"/>
  <c r="O19" i="5" s="1"/>
  <c r="P8" i="5"/>
  <c r="P11" i="5"/>
  <c r="P14" i="5"/>
  <c r="P18" i="5" s="1"/>
  <c r="P19" i="5" s="1"/>
  <c r="Q40" i="1"/>
  <c r="Q39" i="1" s="1"/>
  <c r="Q46" i="1" s="1"/>
  <c r="Q50" i="1" s="1"/>
  <c r="Q56" i="1" s="1"/>
  <c r="Q57" i="1" s="1"/>
  <c r="Q61" i="1" s="1"/>
  <c r="R6" i="5" s="1"/>
  <c r="P40" i="1"/>
  <c r="P39" i="1" s="1"/>
  <c r="P46" i="1" s="1"/>
  <c r="P50" i="1" s="1"/>
  <c r="P56" i="1" s="1"/>
  <c r="P57" i="1" s="1"/>
  <c r="P61" i="1" s="1"/>
  <c r="Q6" i="5" s="1"/>
  <c r="Q8" i="5" l="1"/>
  <c r="Q11" i="5"/>
  <c r="Q14" i="5"/>
  <c r="R8" i="5"/>
  <c r="R11" i="5"/>
  <c r="R14" i="5"/>
  <c r="R18" i="5" l="1"/>
  <c r="C26" i="5" s="1"/>
  <c r="F69" i="1" s="1"/>
  <c r="R19" i="5"/>
  <c r="Q18" i="5"/>
  <c r="Q19" i="5" s="1"/>
  <c r="C27" i="5" l="1"/>
  <c r="C29" i="5" l="1"/>
  <c r="C32" i="5" l="1"/>
  <c r="C34" i="5" s="1"/>
  <c r="C57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Azrae</author>
  </authors>
  <commentList>
    <comment ref="B4" authorId="0" shapeId="0" xr:uid="{6ECDA93F-4848-4AB8-BE21-508B7E8B5AAB}">
      <text>
        <r>
          <rPr>
            <b/>
            <sz val="9"/>
            <color indexed="81"/>
            <rFont val="Tahoma"/>
            <family val="2"/>
          </rPr>
          <t>Driss Baraket</t>
        </r>
        <r>
          <rPr>
            <sz val="9"/>
            <color indexed="81"/>
            <rFont val="Tahoma"/>
            <family val="2"/>
          </rPr>
          <t>A: Optimistic Case
B: Base Case
C: Conservative Case</t>
        </r>
      </text>
    </comment>
    <comment ref="I18" authorId="0" shapeId="0" xr:uid="{E52AD902-BCE8-4238-B6BC-469979FD8637}">
      <text>
        <r>
          <rPr>
            <b/>
            <sz val="9"/>
            <color indexed="81"/>
            <rFont val="Tahoma"/>
            <family val="2"/>
          </rPr>
          <t>Maurice Hoffman:</t>
        </r>
        <r>
          <rPr>
            <sz val="9"/>
            <color indexed="81"/>
            <rFont val="Tahoma"/>
            <family val="2"/>
          </rPr>
          <t xml:space="preserve">
Optimistic Case</t>
        </r>
      </text>
    </comment>
    <comment ref="I19" authorId="0" shapeId="0" xr:uid="{D26E5A63-B4A9-4F8C-8A88-FDDB28976112}">
      <text>
        <r>
          <rPr>
            <b/>
            <sz val="9"/>
            <color indexed="81"/>
            <rFont val="Tahoma"/>
            <family val="2"/>
          </rPr>
          <t xml:space="preserve">Maurice Hoffman:
</t>
        </r>
        <r>
          <rPr>
            <sz val="9"/>
            <color indexed="81"/>
            <rFont val="Tahoma"/>
            <family val="2"/>
          </rPr>
          <t>Street Case/Base Case</t>
        </r>
      </text>
    </comment>
    <comment ref="I20" authorId="0" shapeId="0" xr:uid="{5479A7F4-BB54-47AB-A61A-5995779C56BD}">
      <text>
        <r>
          <rPr>
            <b/>
            <sz val="9"/>
            <color indexed="81"/>
            <rFont val="Tahoma"/>
            <family val="2"/>
          </rPr>
          <t xml:space="preserve">Maurice Hoffman:
</t>
        </r>
        <r>
          <rPr>
            <sz val="9"/>
            <color indexed="81"/>
            <rFont val="Tahoma"/>
            <family val="2"/>
          </rPr>
          <t>Conservative Case</t>
        </r>
      </text>
    </comment>
    <comment ref="I28" authorId="0" shapeId="0" xr:uid="{353F269A-FE52-405B-B166-2F763D315429}">
      <text>
        <r>
          <rPr>
            <b/>
            <sz val="9"/>
            <color indexed="81"/>
            <rFont val="Tahoma"/>
            <family val="2"/>
          </rPr>
          <t>Driss Baraket:</t>
        </r>
        <r>
          <rPr>
            <sz val="9"/>
            <color indexed="81"/>
            <rFont val="Tahoma"/>
            <family val="2"/>
          </rPr>
          <t xml:space="preserve">
Optimistic Case</t>
        </r>
      </text>
    </comment>
    <comment ref="I29" authorId="0" shapeId="0" xr:uid="{AD5FEDFF-27B9-4923-813F-C984863F3561}">
      <text>
        <r>
          <rPr>
            <b/>
            <sz val="9"/>
            <color indexed="81"/>
            <rFont val="Tahoma"/>
            <family val="2"/>
          </rPr>
          <t xml:space="preserve">Driss Baraket:
</t>
        </r>
        <r>
          <rPr>
            <sz val="9"/>
            <color indexed="81"/>
            <rFont val="Tahoma"/>
            <family val="2"/>
          </rPr>
          <t>Street Case/Base Case</t>
        </r>
      </text>
    </comment>
    <comment ref="I30" authorId="0" shapeId="0" xr:uid="{7CD90381-CA2D-4B60-B7EE-E1AD63BD50DF}">
      <text>
        <r>
          <rPr>
            <b/>
            <sz val="9"/>
            <color indexed="81"/>
            <rFont val="Tahoma"/>
            <family val="2"/>
          </rPr>
          <t xml:space="preserve">Driss Baraket:
</t>
        </r>
        <r>
          <rPr>
            <sz val="9"/>
            <color indexed="81"/>
            <rFont val="Tahoma"/>
            <family val="2"/>
          </rPr>
          <t>Conservative Case</t>
        </r>
      </text>
    </comment>
    <comment ref="I41" authorId="0" shapeId="0" xr:uid="{719D506A-F2AC-4380-BB60-2C9AFB2E3085}">
      <text>
        <r>
          <rPr>
            <b/>
            <sz val="9"/>
            <color indexed="81"/>
            <rFont val="Tahoma"/>
            <family val="2"/>
          </rPr>
          <t>Driss Baraket:</t>
        </r>
        <r>
          <rPr>
            <sz val="9"/>
            <color indexed="81"/>
            <rFont val="Tahoma"/>
            <family val="2"/>
          </rPr>
          <t xml:space="preserve">
Optimistic Case</t>
        </r>
      </text>
    </comment>
    <comment ref="I42" authorId="0" shapeId="0" xr:uid="{A4EEA00A-50E1-4640-A5C5-F32C22D15774}">
      <text>
        <r>
          <rPr>
            <b/>
            <sz val="9"/>
            <color indexed="81"/>
            <rFont val="Tahoma"/>
            <family val="2"/>
          </rPr>
          <t xml:space="preserve">Driss Baraket:
</t>
        </r>
        <r>
          <rPr>
            <sz val="9"/>
            <color indexed="81"/>
            <rFont val="Tahoma"/>
            <family val="2"/>
          </rPr>
          <t>Street Case/Base Case</t>
        </r>
      </text>
    </comment>
    <comment ref="I43" authorId="0" shapeId="0" xr:uid="{ECCB767E-9E1B-4C30-8610-648E1BBEB1C7}">
      <text>
        <r>
          <rPr>
            <b/>
            <sz val="9"/>
            <color indexed="81"/>
            <rFont val="Tahoma"/>
            <family val="2"/>
          </rPr>
          <t xml:space="preserve">Driss Baraket:
</t>
        </r>
        <r>
          <rPr>
            <sz val="9"/>
            <color indexed="81"/>
            <rFont val="Tahoma"/>
            <family val="2"/>
          </rPr>
          <t>Conservative Case</t>
        </r>
      </text>
    </comment>
    <comment ref="I52" authorId="0" shapeId="0" xr:uid="{73AB6828-B20F-43AF-9541-9B81C2887578}">
      <text>
        <r>
          <rPr>
            <b/>
            <sz val="9"/>
            <color indexed="81"/>
            <rFont val="Tahoma"/>
            <family val="2"/>
          </rPr>
          <t>Driss Baraket:</t>
        </r>
        <r>
          <rPr>
            <sz val="9"/>
            <color indexed="81"/>
            <rFont val="Tahoma"/>
            <family val="2"/>
          </rPr>
          <t xml:space="preserve">
Optimistic Case</t>
        </r>
      </text>
    </comment>
    <comment ref="I53" authorId="0" shapeId="0" xr:uid="{81A0FE1C-7A5A-4A58-8239-8DF8B00015FD}">
      <text>
        <r>
          <rPr>
            <b/>
            <sz val="9"/>
            <color indexed="81"/>
            <rFont val="Tahoma"/>
            <family val="2"/>
          </rPr>
          <t xml:space="preserve">Driss Baraket:
</t>
        </r>
        <r>
          <rPr>
            <sz val="9"/>
            <color indexed="81"/>
            <rFont val="Tahoma"/>
            <family val="2"/>
          </rPr>
          <t>Street Case/Base Case</t>
        </r>
      </text>
    </comment>
    <comment ref="I54" authorId="0" shapeId="0" xr:uid="{7E17BF04-56FB-40F1-905C-0099D163B166}">
      <text>
        <r>
          <rPr>
            <b/>
            <sz val="9"/>
            <color indexed="81"/>
            <rFont val="Tahoma"/>
            <family val="2"/>
          </rPr>
          <t xml:space="preserve">Driss Baraket:
</t>
        </r>
        <r>
          <rPr>
            <sz val="9"/>
            <color indexed="81"/>
            <rFont val="Tahoma"/>
            <family val="2"/>
          </rPr>
          <t>Conservative Case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Azrae</author>
  </authors>
  <commentList>
    <comment ref="J9" authorId="0" shapeId="0" xr:uid="{12FA3A20-8D4D-49EB-87F6-C517B97C7E36}">
      <text>
        <r>
          <rPr>
            <b/>
            <sz val="9"/>
            <color indexed="81"/>
            <rFont val="Tahoma"/>
            <family val="2"/>
          </rPr>
          <t xml:space="preserve">Driss Baraket:
</t>
        </r>
        <r>
          <rPr>
            <sz val="9"/>
            <color indexed="81"/>
            <rFont val="Tahoma"/>
            <family val="2"/>
          </rPr>
          <t xml:space="preserve">Assuming D&amp;A trends to 12%
</t>
        </r>
      </text>
    </comment>
    <comment ref="J12" authorId="0" shapeId="0" xr:uid="{E633846B-9EAF-4061-AC09-8E9022103558}">
      <text>
        <r>
          <rPr>
            <b/>
            <sz val="9"/>
            <color indexed="81"/>
            <rFont val="Tahoma"/>
            <family val="2"/>
          </rPr>
          <t xml:space="preserve">Driss Baraket:
</t>
        </r>
        <r>
          <rPr>
            <sz val="9"/>
            <color indexed="81"/>
            <rFont val="Tahoma"/>
            <family val="2"/>
          </rPr>
          <t xml:space="preserve">Assuming CAPEX is Stagnant
</t>
        </r>
      </text>
    </comment>
    <comment ref="J15" authorId="0" shapeId="0" xr:uid="{9B90EFC7-A2DE-4BC7-BD32-AAF3545955BB}">
      <text>
        <r>
          <rPr>
            <b/>
            <sz val="9"/>
            <color indexed="81"/>
            <rFont val="Tahoma"/>
            <family val="2"/>
          </rPr>
          <t xml:space="preserve">Driss Baraket:
</t>
        </r>
        <r>
          <rPr>
            <sz val="9"/>
            <color indexed="81"/>
            <rFont val="Tahoma"/>
            <family val="2"/>
          </rPr>
          <t xml:space="preserve">Assuming %EBIAT is Stagnant
</t>
        </r>
      </text>
    </comment>
  </commentList>
</comments>
</file>

<file path=xl/sharedStrings.xml><?xml version="1.0" encoding="utf-8"?>
<sst xmlns="http://schemas.openxmlformats.org/spreadsheetml/2006/main" count="107" uniqueCount="93">
  <si>
    <t>Assumptions</t>
  </si>
  <si>
    <t>WACC</t>
  </si>
  <si>
    <t>Income Statement ($M)</t>
  </si>
  <si>
    <t>Products</t>
  </si>
  <si>
    <t>Services</t>
  </si>
  <si>
    <t>Cost of Sales</t>
  </si>
  <si>
    <t xml:space="preserve"> Total Cost Of Sales</t>
  </si>
  <si>
    <t xml:space="preserve"> Total Net Sales</t>
  </si>
  <si>
    <t xml:space="preserve">    Gross Margin</t>
  </si>
  <si>
    <t>Operating Expenses</t>
  </si>
  <si>
    <t xml:space="preserve"> R&amp;D</t>
  </si>
  <si>
    <t xml:space="preserve"> SG&amp;A</t>
  </si>
  <si>
    <t xml:space="preserve">    Total OPEX</t>
  </si>
  <si>
    <t>Operating Income</t>
  </si>
  <si>
    <t>Income Before Taxes</t>
  </si>
  <si>
    <t>Provision For Income Tax</t>
  </si>
  <si>
    <t>Net Income</t>
  </si>
  <si>
    <t>Revenues (Net Sales)</t>
  </si>
  <si>
    <t>$AAPL</t>
  </si>
  <si>
    <r>
      <t xml:space="preserve">        </t>
    </r>
    <r>
      <rPr>
        <i/>
        <sz val="11"/>
        <color theme="1"/>
        <rFont val="Calibri"/>
        <family val="2"/>
        <scheme val="minor"/>
      </rPr>
      <t>% of Revenue</t>
    </r>
  </si>
  <si>
    <t>Interest Expense</t>
  </si>
  <si>
    <t>Interest and Investment Income</t>
  </si>
  <si>
    <t>Other Income/Expense (Total)</t>
  </si>
  <si>
    <t>Other Non Operating Income/Expense</t>
  </si>
  <si>
    <t>Taxes (%)</t>
  </si>
  <si>
    <t>DCF</t>
  </si>
  <si>
    <t>Scenario</t>
  </si>
  <si>
    <t xml:space="preserve">  % Growth</t>
  </si>
  <si>
    <t xml:space="preserve">  % of Net Sales</t>
  </si>
  <si>
    <r>
      <t xml:space="preserve">        </t>
    </r>
    <r>
      <rPr>
        <i/>
        <sz val="11"/>
        <color theme="1"/>
        <rFont val="Calibri"/>
        <family val="2"/>
        <scheme val="minor"/>
      </rPr>
      <t>% of Gross Margin</t>
    </r>
  </si>
  <si>
    <r>
      <t xml:space="preserve">  </t>
    </r>
    <r>
      <rPr>
        <i/>
        <sz val="11"/>
        <color theme="1"/>
        <rFont val="Calibri"/>
        <family val="2"/>
        <scheme val="minor"/>
      </rPr>
      <t>% of Operating Income</t>
    </r>
  </si>
  <si>
    <t>EBIAT</t>
  </si>
  <si>
    <t>D&amp;A</t>
  </si>
  <si>
    <t>CAPEX</t>
  </si>
  <si>
    <t>Change in NWC</t>
  </si>
  <si>
    <t>FCF</t>
  </si>
  <si>
    <r>
      <t xml:space="preserve">  </t>
    </r>
    <r>
      <rPr>
        <i/>
        <sz val="11"/>
        <color theme="1"/>
        <rFont val="Calibri"/>
        <family val="2"/>
        <scheme val="minor"/>
      </rPr>
      <t>% of EBIAT</t>
    </r>
  </si>
  <si>
    <t>WACC Calculations</t>
  </si>
  <si>
    <t>RFR 10YR Us Treasury Yield</t>
  </si>
  <si>
    <t>Historical S&amp;P 500 Return</t>
  </si>
  <si>
    <t>AAPL Levered Beta</t>
  </si>
  <si>
    <t>Cost of Equity (CAPM)</t>
  </si>
  <si>
    <t>Average Tax Rate</t>
  </si>
  <si>
    <t>Equity Value</t>
  </si>
  <si>
    <t>Equity Value ($M)</t>
  </si>
  <si>
    <t>Long Term Debt</t>
  </si>
  <si>
    <t>Equity %</t>
  </si>
  <si>
    <t>Debt %</t>
  </si>
  <si>
    <t>Cost of Debt</t>
  </si>
  <si>
    <t>PV of FCF</t>
  </si>
  <si>
    <t>VALUATION</t>
  </si>
  <si>
    <t>Terminal Value</t>
  </si>
  <si>
    <t>PV of Terminal Value</t>
  </si>
  <si>
    <t>Enterprise Value</t>
  </si>
  <si>
    <t>Debt</t>
  </si>
  <si>
    <t>Cash</t>
  </si>
  <si>
    <t>Diluted Shares Outstanding</t>
  </si>
  <si>
    <t>Share Price</t>
  </si>
  <si>
    <t>AAPL EBITDA</t>
  </si>
  <si>
    <t>52 Week Range</t>
  </si>
  <si>
    <t>Industry EBITDA/EV Multiple</t>
  </si>
  <si>
    <t>Low</t>
  </si>
  <si>
    <t>High</t>
  </si>
  <si>
    <t>Average</t>
  </si>
  <si>
    <t>EBITDA Multiples</t>
  </si>
  <si>
    <t>P/E Multiples</t>
  </si>
  <si>
    <t>Terminal Value Sensitivity Table</t>
  </si>
  <si>
    <t>Industry P/E Multiple</t>
  </si>
  <si>
    <t>AAPL EPS</t>
  </si>
  <si>
    <t>Summary Table</t>
  </si>
  <si>
    <t>MIN</t>
  </si>
  <si>
    <t>MAX</t>
  </si>
  <si>
    <t>EBITDA(X)</t>
  </si>
  <si>
    <t>P/E (X)</t>
  </si>
  <si>
    <t>52 Week</t>
  </si>
  <si>
    <t>Difference</t>
  </si>
  <si>
    <t>AAPL Average Valuation</t>
  </si>
  <si>
    <t>A</t>
  </si>
  <si>
    <t>Perpetuity Growth Rate (g)</t>
  </si>
  <si>
    <t>Full DCF Valuation</t>
  </si>
  <si>
    <t>Developed By: Driss Baraket</t>
  </si>
  <si>
    <t xml:space="preserve">Market Capitalization: </t>
  </si>
  <si>
    <t>APPLE INC.</t>
  </si>
  <si>
    <t>Valuation of:</t>
  </si>
  <si>
    <t>Ticker:</t>
  </si>
  <si>
    <t>AAPL</t>
  </si>
  <si>
    <t xml:space="preserve">Date: </t>
  </si>
  <si>
    <t xml:space="preserve">Number of shares:  </t>
  </si>
  <si>
    <t>16.865B</t>
  </si>
  <si>
    <t xml:space="preserve">Current Price: </t>
  </si>
  <si>
    <t>2.04T</t>
  </si>
  <si>
    <t xml:space="preserve">Weighted Average Cost of Capital (WACC) Calculation </t>
  </si>
  <si>
    <t>AAPL DCF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</si>
</sst>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0\A"/>
    <numFmt numFmtId="165" formatCode="0\F"/>
    <numFmt numFmtId="166" formatCode="&quot;$&quot;#,##0.00"/>
    <numFmt numFmtId="167" formatCode="&quot;$&quot;#,##0"/>
    <numFmt numFmtId="168" formatCode="0.0%"/>
    <numFmt numFmtId="169" formatCode="0\x"/>
    <numFmt numFmtId="170" formatCode="_([$$-409]* #,##0_);_([$$-409]* \(#,##0\);_([$$-409]* &quot;-&quot;??_);_(@_)"/>
    <numFmt numFmtId="171" formatCode="_(&quot;$&quot;* #,##0_);_(&quot;$&quot;* \(#,##0\);_(&quot;$&quot;* &quot;-&quot;??_);_(@_)"/>
    <numFmt numFmtId="172" formatCode="0.00\x"/>
    <numFmt numFmtId="177" formatCode="_-* #,##0.00_-;\-* #,##0.00_-;_-* &quot;-&quot;??_-;_-@_-"/>
    <numFmt numFmtId="178" formatCode="_-* #,##0_-;\(#,##0\)_-;_-* &quot;-&quot;_-;_-@_-"/>
    <numFmt numFmtId="179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rgb="FF000000"/>
      <name val="Arial"/>
      <family val="2"/>
    </font>
    <font>
      <b/>
      <sz val="14"/>
      <color theme="3" tint="-0.249977111117893"/>
      <name val="Calibri"/>
      <family val="2"/>
    </font>
    <font>
      <b/>
      <sz val="11"/>
      <color theme="3" tint="-0.249977111117893"/>
      <name val="Calibri"/>
      <family val="2"/>
    </font>
    <font>
      <b/>
      <sz val="10"/>
      <name val="Open Sans"/>
      <family val="2"/>
    </font>
    <font>
      <b/>
      <u/>
      <sz val="18"/>
      <color theme="0"/>
      <name val="Open Sans"/>
      <family val="2"/>
    </font>
    <font>
      <b/>
      <sz val="11"/>
      <color theme="3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0" borderId="0"/>
    <xf numFmtId="177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0" xfId="0" applyFont="1"/>
    <xf numFmtId="0" fontId="2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ont="1"/>
    <xf numFmtId="0" fontId="0" fillId="0" borderId="0" xfId="0" applyFont="1" applyFill="1" applyBorder="1"/>
    <xf numFmtId="164" fontId="2" fillId="3" borderId="2" xfId="0" applyNumberFormat="1" applyFont="1" applyFill="1" applyBorder="1"/>
    <xf numFmtId="164" fontId="2" fillId="3" borderId="3" xfId="0" applyNumberFormat="1" applyFont="1" applyFill="1" applyBorder="1"/>
    <xf numFmtId="0" fontId="0" fillId="4" borderId="0" xfId="0" applyFill="1"/>
    <xf numFmtId="167" fontId="0" fillId="0" borderId="0" xfId="0" applyNumberFormat="1"/>
    <xf numFmtId="9" fontId="0" fillId="0" borderId="0" xfId="2" applyFont="1"/>
    <xf numFmtId="0" fontId="0" fillId="0" borderId="0" xfId="0" applyBorder="1"/>
    <xf numFmtId="167" fontId="0" fillId="0" borderId="0" xfId="0" applyNumberFormat="1" applyBorder="1"/>
    <xf numFmtId="0" fontId="0" fillId="0" borderId="6" xfId="0" applyBorder="1"/>
    <xf numFmtId="167" fontId="0" fillId="0" borderId="6" xfId="0" applyNumberFormat="1" applyBorder="1"/>
    <xf numFmtId="167" fontId="7" fillId="0" borderId="0" xfId="0" applyNumberFormat="1" applyFont="1"/>
    <xf numFmtId="167" fontId="7" fillId="0" borderId="6" xfId="0" applyNumberFormat="1" applyFont="1" applyBorder="1"/>
    <xf numFmtId="0" fontId="7" fillId="0" borderId="0" xfId="0" applyFont="1"/>
    <xf numFmtId="167" fontId="7" fillId="0" borderId="0" xfId="0" applyNumberFormat="1" applyFont="1" applyBorder="1"/>
    <xf numFmtId="0" fontId="5" fillId="0" borderId="0" xfId="0" applyFont="1" applyFill="1" applyBorder="1"/>
    <xf numFmtId="9" fontId="7" fillId="0" borderId="0" xfId="2" applyFont="1" applyBorder="1"/>
    <xf numFmtId="9" fontId="0" fillId="2" borderId="1" xfId="2" applyFont="1" applyFill="1" applyBorder="1"/>
    <xf numFmtId="10" fontId="0" fillId="2" borderId="5" xfId="2" applyNumberFormat="1" applyFont="1" applyFill="1" applyBorder="1" applyAlignment="1">
      <alignment horizontal="center"/>
    </xf>
    <xf numFmtId="9" fontId="10" fillId="0" borderId="0" xfId="2" applyFont="1" applyBorder="1"/>
    <xf numFmtId="9" fontId="10" fillId="0" borderId="0" xfId="2" applyFont="1" applyFill="1" applyBorder="1"/>
    <xf numFmtId="165" fontId="3" fillId="4" borderId="2" xfId="0" applyNumberFormat="1" applyFont="1" applyFill="1" applyBorder="1"/>
    <xf numFmtId="165" fontId="3" fillId="4" borderId="3" xfId="0" applyNumberFormat="1" applyFont="1" applyFill="1" applyBorder="1"/>
    <xf numFmtId="165" fontId="3" fillId="4" borderId="4" xfId="0" applyNumberFormat="1" applyFont="1" applyFill="1" applyBorder="1"/>
    <xf numFmtId="9" fontId="0" fillId="0" borderId="0" xfId="2" applyFont="1" applyBorder="1"/>
    <xf numFmtId="168" fontId="0" fillId="0" borderId="0" xfId="2" applyNumberFormat="1" applyFont="1" applyBorder="1"/>
    <xf numFmtId="10" fontId="0" fillId="2" borderId="1" xfId="2" applyNumberFormat="1" applyFont="1" applyFill="1" applyBorder="1"/>
    <xf numFmtId="10" fontId="10" fillId="0" borderId="0" xfId="2" applyNumberFormat="1" applyFont="1" applyFill="1" applyBorder="1"/>
    <xf numFmtId="9" fontId="0" fillId="2" borderId="1" xfId="3" applyNumberFormat="1" applyFont="1"/>
    <xf numFmtId="0" fontId="6" fillId="0" borderId="0" xfId="0" applyFont="1"/>
    <xf numFmtId="9" fontId="7" fillId="0" borderId="0" xfId="2" applyFont="1"/>
    <xf numFmtId="168" fontId="7" fillId="0" borderId="0" xfId="2" applyNumberFormat="1" applyFont="1"/>
    <xf numFmtId="0" fontId="3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5" borderId="0" xfId="0" applyFill="1"/>
    <xf numFmtId="0" fontId="12" fillId="6" borderId="0" xfId="0" applyFont="1" applyFill="1"/>
    <xf numFmtId="0" fontId="13" fillId="6" borderId="0" xfId="0" applyFont="1" applyFill="1"/>
    <xf numFmtId="0" fontId="15" fillId="0" borderId="11" xfId="4" applyFont="1" applyBorder="1" applyAlignment="1">
      <alignment vertical="center"/>
    </xf>
    <xf numFmtId="0" fontId="15" fillId="0" borderId="13" xfId="4" applyFont="1" applyBorder="1" applyAlignment="1">
      <alignment vertical="center"/>
    </xf>
    <xf numFmtId="0" fontId="15" fillId="0" borderId="12" xfId="4" applyFont="1" applyBorder="1" applyAlignment="1">
      <alignment horizontal="right" vertical="center"/>
    </xf>
    <xf numFmtId="0" fontId="15" fillId="0" borderId="14" xfId="4" applyFont="1" applyBorder="1" applyAlignment="1">
      <alignment horizontal="right" vertical="center"/>
    </xf>
    <xf numFmtId="0" fontId="14" fillId="7" borderId="9" xfId="4" applyFont="1" applyFill="1" applyBorder="1" applyAlignment="1">
      <alignment horizontal="center" vertical="center"/>
    </xf>
    <xf numFmtId="0" fontId="14" fillId="7" borderId="10" xfId="4" applyFont="1" applyFill="1" applyBorder="1" applyAlignment="1">
      <alignment horizontal="center" vertical="center"/>
    </xf>
    <xf numFmtId="178" fontId="16" fillId="8" borderId="15" xfId="5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7" fillId="9" borderId="0" xfId="6" applyFont="1" applyFill="1" applyAlignment="1">
      <alignment horizontal="center" vertical="center" wrapText="1"/>
    </xf>
    <xf numFmtId="178" fontId="16" fillId="8" borderId="16" xfId="5" applyNumberFormat="1" applyFont="1" applyFill="1" applyBorder="1" applyAlignment="1">
      <alignment horizontal="center"/>
    </xf>
    <xf numFmtId="0" fontId="0" fillId="5" borderId="12" xfId="0" applyFill="1" applyBorder="1"/>
    <xf numFmtId="0" fontId="18" fillId="10" borderId="0" xfId="0" applyFont="1" applyFill="1"/>
    <xf numFmtId="167" fontId="18" fillId="10" borderId="7" xfId="0" applyNumberFormat="1" applyFont="1" applyFill="1" applyBorder="1"/>
    <xf numFmtId="167" fontId="18" fillId="10" borderId="0" xfId="0" applyNumberFormat="1" applyFont="1" applyFill="1"/>
    <xf numFmtId="0" fontId="3" fillId="5" borderId="0" xfId="0" applyFont="1" applyFill="1"/>
    <xf numFmtId="167" fontId="0" fillId="5" borderId="0" xfId="0" applyNumberFormat="1" applyFill="1"/>
    <xf numFmtId="167" fontId="7" fillId="5" borderId="0" xfId="0" applyNumberFormat="1" applyFont="1" applyFill="1"/>
    <xf numFmtId="0" fontId="5" fillId="5" borderId="0" xfId="0" applyFont="1" applyFill="1"/>
    <xf numFmtId="0" fontId="3" fillId="5" borderId="0" xfId="0" applyFont="1" applyFill="1" applyAlignment="1">
      <alignment horizontal="center"/>
    </xf>
    <xf numFmtId="2" fontId="0" fillId="5" borderId="0" xfId="0" applyNumberFormat="1" applyFill="1"/>
    <xf numFmtId="9" fontId="3" fillId="5" borderId="0" xfId="2" applyFont="1" applyFill="1" applyAlignment="1">
      <alignment horizontal="center"/>
    </xf>
    <xf numFmtId="9" fontId="3" fillId="5" borderId="0" xfId="2" applyFont="1" applyFill="1" applyAlignment="1">
      <alignment horizontal="right"/>
    </xf>
    <xf numFmtId="170" fontId="0" fillId="5" borderId="0" xfId="0" applyNumberFormat="1" applyFill="1"/>
    <xf numFmtId="0" fontId="11" fillId="5" borderId="11" xfId="0" applyFont="1" applyFill="1" applyBorder="1" applyAlignment="1">
      <alignment horizontal="center"/>
    </xf>
    <xf numFmtId="0" fontId="3" fillId="5" borderId="11" xfId="0" applyFont="1" applyFill="1" applyBorder="1"/>
    <xf numFmtId="167" fontId="0" fillId="5" borderId="12" xfId="0" applyNumberFormat="1" applyFill="1" applyBorder="1"/>
    <xf numFmtId="0" fontId="5" fillId="5" borderId="11" xfId="0" applyFont="1" applyFill="1" applyBorder="1"/>
    <xf numFmtId="0" fontId="0" fillId="5" borderId="11" xfId="0" applyFill="1" applyBorder="1"/>
    <xf numFmtId="166" fontId="0" fillId="5" borderId="12" xfId="0" applyNumberFormat="1" applyFill="1" applyBorder="1"/>
    <xf numFmtId="169" fontId="0" fillId="5" borderId="12" xfId="0" applyNumberFormat="1" applyFill="1" applyBorder="1"/>
    <xf numFmtId="170" fontId="0" fillId="5" borderId="12" xfId="0" applyNumberFormat="1" applyFill="1" applyBorder="1"/>
    <xf numFmtId="168" fontId="0" fillId="5" borderId="12" xfId="0" applyNumberFormat="1" applyFill="1" applyBorder="1"/>
    <xf numFmtId="171" fontId="0" fillId="5" borderId="12" xfId="1" applyNumberFormat="1" applyFont="1" applyFill="1" applyBorder="1"/>
    <xf numFmtId="0" fontId="0" fillId="5" borderId="11" xfId="0" applyFont="1" applyFill="1" applyBorder="1"/>
    <xf numFmtId="172" fontId="0" fillId="5" borderId="12" xfId="0" applyNumberFormat="1" applyFill="1" applyBorder="1"/>
    <xf numFmtId="0" fontId="0" fillId="5" borderId="13" xfId="0" applyFill="1" applyBorder="1"/>
    <xf numFmtId="166" fontId="3" fillId="5" borderId="14" xfId="0" applyNumberFormat="1" applyFont="1" applyFill="1" applyBorder="1"/>
    <xf numFmtId="10" fontId="18" fillId="10" borderId="14" xfId="2" applyNumberFormat="1" applyFont="1" applyFill="1" applyBorder="1"/>
    <xf numFmtId="178" fontId="16" fillId="8" borderId="17" xfId="5" applyNumberFormat="1" applyFont="1" applyFill="1" applyBorder="1" applyAlignment="1">
      <alignment horizontal="center"/>
    </xf>
    <xf numFmtId="0" fontId="0" fillId="2" borderId="8" xfId="3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49" fontId="0" fillId="0" borderId="11" xfId="0" applyNumberFormat="1" applyBorder="1" applyAlignment="1">
      <alignment wrapText="1"/>
    </xf>
    <xf numFmtId="49" fontId="3" fillId="0" borderId="11" xfId="0" applyNumberFormat="1" applyFont="1" applyBorder="1" applyAlignment="1">
      <alignment wrapText="1"/>
    </xf>
    <xf numFmtId="49" fontId="18" fillId="10" borderId="13" xfId="0" applyNumberFormat="1" applyFont="1" applyFill="1" applyBorder="1" applyAlignment="1">
      <alignment wrapText="1"/>
    </xf>
    <xf numFmtId="49" fontId="0" fillId="0" borderId="12" xfId="0" applyNumberFormat="1" applyBorder="1" applyAlignment="1">
      <alignment wrapText="1"/>
    </xf>
    <xf numFmtId="44" fontId="0" fillId="0" borderId="12" xfId="1" applyFont="1" applyBorder="1" applyAlignment="1">
      <alignment wrapText="1"/>
    </xf>
    <xf numFmtId="10" fontId="0" fillId="0" borderId="12" xfId="2" applyNumberFormat="1" applyFont="1" applyBorder="1" applyAlignment="1">
      <alignment wrapText="1"/>
    </xf>
    <xf numFmtId="179" fontId="0" fillId="0" borderId="12" xfId="2" applyNumberFormat="1" applyFont="1" applyBorder="1" applyAlignment="1">
      <alignment wrapText="1"/>
    </xf>
    <xf numFmtId="49" fontId="0" fillId="0" borderId="12" xfId="0" applyNumberFormat="1" applyBorder="1" applyAlignment="1">
      <alignment horizontal="right" wrapText="1"/>
    </xf>
    <xf numFmtId="10" fontId="0" fillId="0" borderId="12" xfId="2" applyNumberFormat="1" applyFont="1" applyBorder="1" applyAlignment="1">
      <alignment horizontal="right" wrapText="1"/>
    </xf>
    <xf numFmtId="49" fontId="3" fillId="0" borderId="12" xfId="0" applyNumberFormat="1" applyFont="1" applyBorder="1" applyAlignment="1">
      <alignment horizontal="right" wrapText="1"/>
    </xf>
    <xf numFmtId="167" fontId="10" fillId="5" borderId="0" xfId="0" applyNumberFormat="1" applyFont="1" applyFill="1"/>
  </cellXfs>
  <cellStyles count="7">
    <cellStyle name="Comma 3" xfId="5" xr:uid="{4CD7783A-1336-4B2E-A60E-78CB671B1C7B}"/>
    <cellStyle name="Currency" xfId="1" builtinId="4"/>
    <cellStyle name="Normal" xfId="0" builtinId="0"/>
    <cellStyle name="Normal 2 3" xfId="4" xr:uid="{69861FCD-E44E-469E-802C-2FC6770953D9}"/>
    <cellStyle name="Normal 3" xfId="6" xr:uid="{439DD9A1-E319-4BA8-A5F8-8B4EA5304A7B}"/>
    <cellStyle name="Note" xfId="3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Football Field Valuation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'AAPL DCF Model'!$G$34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'AAPL DCF Model'!$F$35:$F$38</c:f>
              <c:strCache>
                <c:ptCount val="4"/>
                <c:pt idx="0">
                  <c:v>DCF</c:v>
                </c:pt>
                <c:pt idx="1">
                  <c:v>EBITDA(X)</c:v>
                </c:pt>
                <c:pt idx="2">
                  <c:v>P/E (X)</c:v>
                </c:pt>
                <c:pt idx="3">
                  <c:v>52 Week</c:v>
                </c:pt>
              </c:strCache>
            </c:strRef>
          </c:cat>
          <c:val>
            <c:numRef>
              <c:f>'AAPL DCF Model'!$G$35:$G$38</c:f>
              <c:numCache>
                <c:formatCode>General</c:formatCode>
                <c:ptCount val="4"/>
                <c:pt idx="0">
                  <c:v>122.57</c:v>
                </c:pt>
                <c:pt idx="1">
                  <c:v>153.32</c:v>
                </c:pt>
                <c:pt idx="2">
                  <c:v>81.349999999999994</c:v>
                </c:pt>
                <c:pt idx="3" formatCode="&quot;$&quot;#,##0">
                  <c:v>112.59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B-4568-936F-F1308BAB6667}"/>
            </c:ext>
          </c:extLst>
        </c:ser>
        <c:ser>
          <c:idx val="1"/>
          <c:order val="1"/>
          <c:tx>
            <c:strRef>
              <c:f>'AAPL DCF Model'!$H$34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'AAPL DCF Model'!$F$35:$F$38</c:f>
              <c:strCache>
                <c:ptCount val="4"/>
                <c:pt idx="0">
                  <c:v>DCF</c:v>
                </c:pt>
                <c:pt idx="1">
                  <c:v>EBITDA(X)</c:v>
                </c:pt>
                <c:pt idx="2">
                  <c:v>P/E (X)</c:v>
                </c:pt>
                <c:pt idx="3">
                  <c:v>52 Week</c:v>
                </c:pt>
              </c:strCache>
            </c:strRef>
          </c:cat>
          <c:val>
            <c:numRef>
              <c:f>'AAPL DCF Model'!$H$35:$H$38</c:f>
              <c:numCache>
                <c:formatCode>0.00</c:formatCode>
                <c:ptCount val="4"/>
                <c:pt idx="0">
                  <c:v>51.010000000000019</c:v>
                </c:pt>
                <c:pt idx="1">
                  <c:v>28.680000000000007</c:v>
                </c:pt>
                <c:pt idx="2">
                  <c:v>80.84</c:v>
                </c:pt>
                <c:pt idx="3">
                  <c:v>53.109999999999985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8B-4568-936F-F1308BAB6667}"/>
            </c:ext>
          </c:extLst>
        </c:ser>
        <c:ser>
          <c:idx val="2"/>
          <c:order val="2"/>
          <c:tx>
            <c:strRef>
              <c:f>'AAPL DCF Model'!$I$34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'AAPL DCF Model'!$F$35:$F$38</c:f>
              <c:strCache>
                <c:ptCount val="4"/>
                <c:pt idx="0">
                  <c:v>DCF</c:v>
                </c:pt>
                <c:pt idx="1">
                  <c:v>EBITDA(X)</c:v>
                </c:pt>
                <c:pt idx="2">
                  <c:v>P/E (X)</c:v>
                </c:pt>
                <c:pt idx="3">
                  <c:v>52 Week</c:v>
                </c:pt>
              </c:strCache>
            </c:strRef>
          </c:cat>
          <c:val>
            <c:numRef>
              <c:f>'AAPL DCF Model'!$I$35:$I$38</c:f>
              <c:numCache>
                <c:formatCode>General</c:formatCode>
                <c:ptCount val="4"/>
                <c:pt idx="0">
                  <c:v>173.58</c:v>
                </c:pt>
                <c:pt idx="1">
                  <c:v>182</c:v>
                </c:pt>
                <c:pt idx="2">
                  <c:v>162.19</c:v>
                </c:pt>
                <c:pt idx="3" formatCode="&quot;$&quot;#,##0">
                  <c:v>165.7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8B-4568-936F-F1308BAB66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61173568"/>
        <c:axId val="961173152"/>
      </c:barChart>
      <c:catAx>
        <c:axId val="961173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173152"/>
        <c:crosses val="autoZero"/>
        <c:auto val="1"/>
        <c:lblAlgn val="ctr"/>
        <c:lblOffset val="100"/>
        <c:noMultiLvlLbl val="0"/>
      </c:catAx>
      <c:valAx>
        <c:axId val="96117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17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147278</xdr:colOff>
      <xdr:row>11</xdr:row>
      <xdr:rowOff>147780</xdr:rowOff>
    </xdr:from>
    <xdr:to>
      <xdr:col>6</xdr:col>
      <xdr:colOff>107260</xdr:colOff>
      <xdr:row>22</xdr:row>
      <xdr:rowOff>168497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82FB47-27B5-47F7-BF36-4845CC89D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78" y="2259609"/>
          <a:ext cx="5489925" cy="205634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228601</xdr:colOff>
      <xdr:row>7</xdr:row>
      <xdr:rowOff>0</xdr:rowOff>
    </xdr:from>
    <xdr:to>
      <xdr:col>19</xdr:col>
      <xdr:colOff>454359</xdr:colOff>
      <xdr:row>25</xdr:row>
      <xdr:rowOff>97971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39435A-A495-49CC-861B-A8DEF9D9F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8544" y="1360714"/>
          <a:ext cx="8150558" cy="3439886"/>
        </a:xfrm>
        <a:prstGeom prst="rect">
          <a:avLst/>
        </a:prstGeom>
      </xdr:spPr>
    </xdr:pic>
    <xdr:clientData/>
  </xdr:twoCellAnchor>
  <xdr:twoCellAnchor editAs="oneCell">
    <xdr:from>
      <xdr:col>3</xdr:col>
      <xdr:colOff>108858</xdr:colOff>
      <xdr:row>2</xdr:row>
      <xdr:rowOff>43542</xdr:rowOff>
    </xdr:from>
    <xdr:to>
      <xdr:col>20</xdr:col>
      <xdr:colOff>130629</xdr:colOff>
      <xdr:row>5</xdr:row>
      <xdr:rowOff>130542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C03ADD-E1EA-4747-9E6E-E7C2E9225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6972" y="435428"/>
          <a:ext cx="10384971" cy="6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66</xdr:row>
      <xdr:rowOff>171451</xdr:rowOff>
    </xdr:from>
    <xdr:to>
      <xdr:col>9</xdr:col>
      <xdr:colOff>923925</xdr:colOff>
      <xdr:row>67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AE8E34D-2AC5-4602-A855-DBD69E696EEA}"/>
            </a:ext>
          </a:extLst>
        </xdr:cNvPr>
        <xdr:cNvSpPr txBox="1"/>
      </xdr:nvSpPr>
      <xdr:spPr>
        <a:xfrm>
          <a:off x="4223385" y="4537711"/>
          <a:ext cx="4069080" cy="152399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WACC</a:t>
          </a:r>
        </a:p>
      </xdr:txBody>
    </xdr:sp>
    <xdr:clientData/>
  </xdr:twoCellAnchor>
  <xdr:twoCellAnchor>
    <xdr:from>
      <xdr:col>5</xdr:col>
      <xdr:colOff>161925</xdr:colOff>
      <xdr:row>66</xdr:row>
      <xdr:rowOff>171447</xdr:rowOff>
    </xdr:from>
    <xdr:to>
      <xdr:col>5</xdr:col>
      <xdr:colOff>428628</xdr:colOff>
      <xdr:row>73</xdr:row>
      <xdr:rowOff>9522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1A0EA21-3C33-4F92-AB1C-3363532799CB}"/>
            </a:ext>
          </a:extLst>
        </xdr:cNvPr>
        <xdr:cNvSpPr txBox="1"/>
      </xdr:nvSpPr>
      <xdr:spPr>
        <a:xfrm rot="16200000">
          <a:off x="3793809" y="4967283"/>
          <a:ext cx="1125855" cy="266703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TGR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367554</xdr:colOff>
      <xdr:row>23</xdr:row>
      <xdr:rowOff>179013</xdr:rowOff>
    </xdr:from>
    <xdr:to>
      <xdr:col>15</xdr:col>
      <xdr:colOff>385483</xdr:colOff>
      <xdr:row>38</xdr:row>
      <xdr:rowOff>66954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6658507-2BFB-4393-8A0A-9EDF97BED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AC4B-967B-40BC-8F4D-AAD2CF871EDB}">
  <dimension ref="B1:E12"/>
  <sheetViews>
    <sheetView zoomScaleNormal="100" workbookViewId="0">
      <selection activeCell="E9" sqref="E9"/>
    </sheetView>
  </sheetViews>
  <sheetFormatPr defaultRowHeight="14.4" x14ac:dyDescent="0.3"/>
  <cols>
    <col min="1" max="1" width="2.44140625" style="40" customWidth="1"/>
    <col min="2" max="2" width="21.6640625" style="40" bestFit="1" customWidth="1"/>
    <col min="3" max="3" width="29.88671875" style="40" customWidth="1"/>
    <col min="4" max="16384" width="8.88671875" style="40"/>
  </cols>
  <sheetData>
    <row r="1" spans="2:5" ht="15.6" x14ac:dyDescent="0.3">
      <c r="B1" s="41" t="s">
        <v>79</v>
      </c>
      <c r="C1" s="42"/>
    </row>
    <row r="2" spans="2:5" ht="15" thickBot="1" x14ac:dyDescent="0.35"/>
    <row r="3" spans="2:5" ht="18" x14ac:dyDescent="0.3">
      <c r="B3" s="47" t="s">
        <v>80</v>
      </c>
      <c r="C3" s="48"/>
    </row>
    <row r="4" spans="2:5" x14ac:dyDescent="0.3">
      <c r="B4" s="43" t="s">
        <v>83</v>
      </c>
      <c r="C4" s="45" t="s">
        <v>82</v>
      </c>
    </row>
    <row r="5" spans="2:5" x14ac:dyDescent="0.3">
      <c r="B5" s="43" t="s">
        <v>84</v>
      </c>
      <c r="C5" s="45" t="s">
        <v>85</v>
      </c>
    </row>
    <row r="6" spans="2:5" x14ac:dyDescent="0.3">
      <c r="B6" s="43" t="s">
        <v>86</v>
      </c>
      <c r="C6" s="45">
        <v>44521</v>
      </c>
    </row>
    <row r="7" spans="2:5" x14ac:dyDescent="0.3">
      <c r="B7" s="43" t="s">
        <v>87</v>
      </c>
      <c r="C7" s="45" t="s">
        <v>88</v>
      </c>
    </row>
    <row r="8" spans="2:5" x14ac:dyDescent="0.3">
      <c r="B8" s="43" t="s">
        <v>89</v>
      </c>
      <c r="C8" s="45">
        <v>147.87</v>
      </c>
    </row>
    <row r="9" spans="2:5" ht="15" thickBot="1" x14ac:dyDescent="0.35">
      <c r="B9" s="44" t="s">
        <v>81</v>
      </c>
      <c r="C9" s="46" t="s">
        <v>90</v>
      </c>
    </row>
    <row r="12" spans="2:5" x14ac:dyDescent="0.3">
      <c r="E12" s="40">
        <v>6</v>
      </c>
    </row>
  </sheetData>
  <mergeCells count="1">
    <mergeCell ref="B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7BDC-7A3D-433F-9761-81A2B92358D4}">
  <dimension ref="A1:Q88"/>
  <sheetViews>
    <sheetView showGridLines="0" zoomScale="85" zoomScaleNormal="85" workbookViewId="0">
      <pane xSplit="2" ySplit="9" topLeftCell="C52" activePane="bottomRight" state="frozen"/>
      <selection pane="topRight" activeCell="C1" sqref="C1"/>
      <selection pane="bottomLeft" activeCell="A8" sqref="A8"/>
      <selection pane="bottomRight" activeCell="F69" sqref="F69"/>
    </sheetView>
  </sheetViews>
  <sheetFormatPr defaultRowHeight="14.4" x14ac:dyDescent="0.3"/>
  <cols>
    <col min="1" max="1" width="36.6640625" bestFit="1" customWidth="1"/>
    <col min="2" max="2" width="11.5546875" bestFit="1" customWidth="1"/>
    <col min="3" max="3" width="12.6640625" bestFit="1" customWidth="1"/>
    <col min="4" max="5" width="11.88671875" bestFit="1" customWidth="1"/>
    <col min="6" max="8" width="14.33203125" bestFit="1" customWidth="1"/>
    <col min="9" max="9" width="12.21875" bestFit="1" customWidth="1"/>
    <col min="10" max="10" width="9.33203125" bestFit="1" customWidth="1"/>
    <col min="11" max="12" width="8.5546875" bestFit="1" customWidth="1"/>
    <col min="13" max="13" width="9.33203125" bestFit="1" customWidth="1"/>
    <col min="14" max="14" width="10.88671875" bestFit="1" customWidth="1"/>
    <col min="15" max="15" width="8.5546875" bestFit="1" customWidth="1"/>
    <col min="16" max="16" width="10.88671875" bestFit="1" customWidth="1"/>
    <col min="17" max="17" width="10.109375" bestFit="1" customWidth="1"/>
  </cols>
  <sheetData>
    <row r="1" spans="1:17" ht="26.4" x14ac:dyDescent="0.3">
      <c r="A1" s="51" t="s">
        <v>18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5.8" customHeight="1" thickBot="1" x14ac:dyDescent="0.6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 spans="1:17" ht="15.6" thickBot="1" x14ac:dyDescent="0.4">
      <c r="A3" s="49" t="s">
        <v>0</v>
      </c>
      <c r="B3" s="81"/>
    </row>
    <row r="4" spans="1:17" ht="15" thickBot="1" x14ac:dyDescent="0.35">
      <c r="A4" t="s">
        <v>26</v>
      </c>
      <c r="B4" s="82" t="s">
        <v>77</v>
      </c>
    </row>
    <row r="5" spans="1:17" x14ac:dyDescent="0.3">
      <c r="A5" t="s">
        <v>78</v>
      </c>
      <c r="B5" s="23">
        <v>0.02</v>
      </c>
    </row>
    <row r="6" spans="1:17" x14ac:dyDescent="0.3">
      <c r="A6" t="s">
        <v>1</v>
      </c>
      <c r="B6" s="23">
        <f>'AAPL WACC'!C19</f>
        <v>9.2608107176034876E-2</v>
      </c>
    </row>
    <row r="9" spans="1:17" x14ac:dyDescent="0.3">
      <c r="C9" s="7">
        <v>2016</v>
      </c>
      <c r="D9" s="8">
        <f>C9+1</f>
        <v>2017</v>
      </c>
      <c r="E9" s="8">
        <f>D9+1</f>
        <v>2018</v>
      </c>
      <c r="F9" s="8">
        <f>E9+1</f>
        <v>2019</v>
      </c>
      <c r="G9" s="8">
        <f>F9+1</f>
        <v>2020</v>
      </c>
      <c r="H9" s="8">
        <f>G9+1</f>
        <v>2021</v>
      </c>
      <c r="I9" s="26">
        <f>H9+1</f>
        <v>2022</v>
      </c>
      <c r="J9" s="27">
        <f>I9+1</f>
        <v>2023</v>
      </c>
      <c r="K9" s="27">
        <f>J9+1</f>
        <v>2024</v>
      </c>
      <c r="L9" s="27">
        <f>K9+1</f>
        <v>2025</v>
      </c>
      <c r="M9" s="27">
        <f>L9+1</f>
        <v>2026</v>
      </c>
      <c r="N9" s="27">
        <f>M9+1</f>
        <v>2027</v>
      </c>
      <c r="O9" s="27">
        <f>N9+1</f>
        <v>2028</v>
      </c>
      <c r="P9" s="27">
        <f>O9+1</f>
        <v>2029</v>
      </c>
      <c r="Q9" s="28">
        <f>P9+1</f>
        <v>2030</v>
      </c>
    </row>
    <row r="10" spans="1:17" x14ac:dyDescent="0.3">
      <c r="A10" s="2" t="s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2" spans="1:17" x14ac:dyDescent="0.3">
      <c r="A12" s="1" t="s">
        <v>17</v>
      </c>
    </row>
    <row r="13" spans="1:17" x14ac:dyDescent="0.3">
      <c r="A13" s="5" t="s">
        <v>3</v>
      </c>
      <c r="C13" s="9"/>
      <c r="D13" s="9"/>
      <c r="E13" s="9"/>
      <c r="F13" s="16">
        <v>213883</v>
      </c>
      <c r="G13" s="16">
        <v>220747</v>
      </c>
      <c r="H13" s="16">
        <v>297392</v>
      </c>
    </row>
    <row r="14" spans="1:17" x14ac:dyDescent="0.3">
      <c r="A14" s="6" t="s">
        <v>4</v>
      </c>
      <c r="C14" s="9"/>
      <c r="D14" s="9"/>
      <c r="E14" s="9"/>
      <c r="F14" s="16">
        <v>46291</v>
      </c>
      <c r="G14" s="16">
        <v>53768</v>
      </c>
      <c r="H14" s="16">
        <v>68425</v>
      </c>
    </row>
    <row r="15" spans="1:17" x14ac:dyDescent="0.3">
      <c r="A15" s="6"/>
    </row>
    <row r="16" spans="1:17" x14ac:dyDescent="0.3">
      <c r="A16" s="6" t="s">
        <v>7</v>
      </c>
      <c r="C16" s="17">
        <v>215639</v>
      </c>
      <c r="D16" s="17">
        <v>229234</v>
      </c>
      <c r="E16" s="17">
        <v>265595</v>
      </c>
      <c r="F16" s="15">
        <f>F13+F14</f>
        <v>260174</v>
      </c>
      <c r="G16" s="15">
        <f>G13+G14</f>
        <v>274515</v>
      </c>
      <c r="H16" s="15">
        <f>H13+H14</f>
        <v>365817</v>
      </c>
      <c r="I16" s="10">
        <f>H16*(1+I17)</f>
        <v>435322.23</v>
      </c>
      <c r="J16" s="10">
        <f>I16*(1+J17)</f>
        <v>513680.23139999993</v>
      </c>
      <c r="K16" s="10">
        <f>J16*(1+K17)</f>
        <v>617883.9354839999</v>
      </c>
      <c r="L16" s="10">
        <f>K16*(1+L17)</f>
        <v>757349.16663610272</v>
      </c>
      <c r="M16" s="10">
        <f>L16*(1+M17)</f>
        <v>945604.53091421979</v>
      </c>
      <c r="N16" s="10">
        <f>M16*(1+N17)</f>
        <v>1202268.6178766508</v>
      </c>
      <c r="O16" s="10">
        <f>N16*(1+O17)</f>
        <v>1556079.0968517794</v>
      </c>
      <c r="P16" s="10">
        <f>O16*(1+P17)</f>
        <v>2049578.4675676294</v>
      </c>
      <c r="Q16" s="10">
        <f>P16*(1+Q17)</f>
        <v>2746435.1465406236</v>
      </c>
    </row>
    <row r="17" spans="1:17" x14ac:dyDescent="0.3">
      <c r="A17" s="20" t="s">
        <v>27</v>
      </c>
      <c r="C17" s="19"/>
      <c r="D17" s="24">
        <f>D16/C16-1</f>
        <v>6.304518199398057E-2</v>
      </c>
      <c r="E17" s="24">
        <f>E16/D16-1</f>
        <v>0.15861957650261305</v>
      </c>
      <c r="F17" s="24">
        <f>F16/E16-1</f>
        <v>-2.04107758052674E-2</v>
      </c>
      <c r="G17" s="24">
        <f>G16/F16-1</f>
        <v>5.5120803769784787E-2</v>
      </c>
      <c r="H17" s="24">
        <f>H16/G16-1</f>
        <v>0.33259384733074704</v>
      </c>
      <c r="I17" s="25">
        <f>IF(Case="A",I18, IF(Case="B",I19,I20))</f>
        <v>0.19</v>
      </c>
      <c r="J17" s="25">
        <f>IF(Case="A",J18, IF(Case="B",J19,J20))</f>
        <v>0.18</v>
      </c>
      <c r="K17" s="25">
        <f>IF(Case="A",K18, IF(Case="B",K19,K20))</f>
        <v>0.20285714285714285</v>
      </c>
      <c r="L17" s="25">
        <f>IF(Case="A",L18, IF(Case="B",L19,L20))</f>
        <v>0.2257142857142857</v>
      </c>
      <c r="M17" s="25">
        <f>IF(Case="A",M18, IF(Case="B",M19,M20))</f>
        <v>0.24857142857142855</v>
      </c>
      <c r="N17" s="25">
        <f>IF(Case="A",N18, IF(Case="B",N19,N20))</f>
        <v>0.27142857142857141</v>
      </c>
      <c r="O17" s="25">
        <f>IF(Case="A",O18, IF(Case="B",O19,O20))</f>
        <v>0.29428571428571426</v>
      </c>
      <c r="P17" s="25">
        <f>IF(Case="A",P18, IF(Case="B",P19,P20))</f>
        <v>0.31714285714285712</v>
      </c>
      <c r="Q17" s="25">
        <f>IF(Case="A",Q18, IF(Case="B",Q19,Q20))</f>
        <v>0.34</v>
      </c>
    </row>
    <row r="18" spans="1:17" x14ac:dyDescent="0.3">
      <c r="A18" s="20"/>
      <c r="C18" s="19"/>
      <c r="D18" s="21"/>
      <c r="E18" s="21"/>
      <c r="F18" s="21"/>
      <c r="G18" s="21"/>
      <c r="H18" s="21"/>
      <c r="I18" s="22">
        <v>0.19</v>
      </c>
      <c r="J18" s="22">
        <v>0.18</v>
      </c>
      <c r="K18" s="22">
        <f>J18-($J$18-$Q$18)/($Q$9-$J$9)</f>
        <v>0.20285714285714285</v>
      </c>
      <c r="L18" s="22">
        <f>K18-($J$18-$Q$18)/($Q$9-$J$9)</f>
        <v>0.2257142857142857</v>
      </c>
      <c r="M18" s="22">
        <f>L18-($J$18-$Q$18)/($Q$9-$J$9)</f>
        <v>0.24857142857142855</v>
      </c>
      <c r="N18" s="22">
        <f>M18-($J$18-$Q$18)/($Q$9-$J$9)</f>
        <v>0.27142857142857141</v>
      </c>
      <c r="O18" s="22">
        <f>N18-($J$18-$Q$18)/($Q$9-$J$9)</f>
        <v>0.29428571428571426</v>
      </c>
      <c r="P18" s="22">
        <f>O18-($J$18-$Q$18)/($Q$9-$J$9)</f>
        <v>0.31714285714285712</v>
      </c>
      <c r="Q18" s="22">
        <v>0.34</v>
      </c>
    </row>
    <row r="19" spans="1:17" x14ac:dyDescent="0.3">
      <c r="A19" s="20"/>
      <c r="C19" s="19"/>
      <c r="D19" s="21"/>
      <c r="E19" s="21"/>
      <c r="F19" s="21"/>
      <c r="G19" s="21"/>
      <c r="H19" s="21"/>
      <c r="I19" s="22">
        <v>0.19</v>
      </c>
      <c r="J19" s="22">
        <v>0.18</v>
      </c>
      <c r="K19" s="22">
        <f>J19-($J$19-$Q$19)/($Q$9-$J$9)</f>
        <v>0.17428571428571429</v>
      </c>
      <c r="L19" s="22">
        <f>K19-($J$19-$Q$19)/($Q$9-$J$9)</f>
        <v>0.16857142857142859</v>
      </c>
      <c r="M19" s="22">
        <f>L19-($J$19-$Q$19)/($Q$9-$J$9)</f>
        <v>0.16285714285714289</v>
      </c>
      <c r="N19" s="22">
        <f>M19-($J$19-$Q$19)/($Q$9-$J$9)</f>
        <v>0.1571428571428572</v>
      </c>
      <c r="O19" s="22">
        <f>N19-($J$19-$Q$19)/($Q$9-$J$9)</f>
        <v>0.1514285714285715</v>
      </c>
      <c r="P19" s="22">
        <f>O19-($J$19-$Q$19)/($Q$9-$J$9)</f>
        <v>0.1457142857142858</v>
      </c>
      <c r="Q19" s="22">
        <v>0.14000000000000001</v>
      </c>
    </row>
    <row r="20" spans="1:17" x14ac:dyDescent="0.3">
      <c r="A20" s="20"/>
      <c r="C20" s="19"/>
      <c r="D20" s="21"/>
      <c r="E20" s="21"/>
      <c r="F20" s="21"/>
      <c r="G20" s="21"/>
      <c r="H20" s="21"/>
      <c r="I20" s="22">
        <v>0.19</v>
      </c>
      <c r="J20" s="22">
        <v>0.18</v>
      </c>
      <c r="K20" s="22">
        <f>J20-($J$20-$Q$20)/($Q$9-$J$9)</f>
        <v>0.1657142857142857</v>
      </c>
      <c r="L20" s="22">
        <f>K20-($J$20-$Q$20)/($Q$9-$J$9)</f>
        <v>0.15142857142857141</v>
      </c>
      <c r="M20" s="22">
        <f>L20-($J$20-$Q$20)/($Q$9-$J$9)</f>
        <v>0.13714285714285712</v>
      </c>
      <c r="N20" s="22">
        <f>M20-($J$20-$Q$20)/($Q$9-$J$9)</f>
        <v>0.12285714285714283</v>
      </c>
      <c r="O20" s="22">
        <f>N20-($J$20-$Q$20)/($Q$9-$J$9)</f>
        <v>0.10857142857142854</v>
      </c>
      <c r="P20" s="22">
        <f>O20-($J$20-$Q$20)/($Q$9-$J$9)</f>
        <v>9.4285714285714251E-2</v>
      </c>
      <c r="Q20" s="22">
        <v>0.08</v>
      </c>
    </row>
    <row r="21" spans="1:17" x14ac:dyDescent="0.3">
      <c r="A21" s="6"/>
      <c r="C21" s="19"/>
      <c r="D21" s="19"/>
      <c r="E21" s="19"/>
      <c r="F21" s="13"/>
      <c r="G21" s="13"/>
      <c r="H21" s="13"/>
    </row>
    <row r="23" spans="1:17" x14ac:dyDescent="0.3">
      <c r="A23" s="1" t="s">
        <v>5</v>
      </c>
    </row>
    <row r="24" spans="1:17" x14ac:dyDescent="0.3">
      <c r="A24" t="s">
        <v>3</v>
      </c>
      <c r="C24" s="9"/>
      <c r="D24" s="9"/>
      <c r="E24" s="9"/>
      <c r="F24" s="18">
        <v>144996</v>
      </c>
      <c r="G24" s="18">
        <v>151286</v>
      </c>
      <c r="H24" s="18">
        <v>192266</v>
      </c>
    </row>
    <row r="25" spans="1:17" x14ac:dyDescent="0.3">
      <c r="A25" t="s">
        <v>4</v>
      </c>
      <c r="C25" s="9"/>
      <c r="D25" s="9"/>
      <c r="E25" s="9"/>
      <c r="F25" s="18">
        <v>16786</v>
      </c>
      <c r="G25" s="18">
        <v>18273</v>
      </c>
      <c r="H25" s="18">
        <v>20715</v>
      </c>
    </row>
    <row r="26" spans="1:17" x14ac:dyDescent="0.3">
      <c r="A26" t="s">
        <v>6</v>
      </c>
      <c r="C26" s="17">
        <v>-131376</v>
      </c>
      <c r="D26" s="17">
        <v>-141048</v>
      </c>
      <c r="E26" s="17">
        <v>-163756</v>
      </c>
      <c r="F26" s="15">
        <f>-(F24+F25)</f>
        <v>-161782</v>
      </c>
      <c r="G26" s="15">
        <f>-(G24+G25)</f>
        <v>-169559</v>
      </c>
      <c r="H26" s="15">
        <f>-(H24+H25)</f>
        <v>-212981</v>
      </c>
      <c r="I26" s="10">
        <f>I27*I16</f>
        <v>270693.0785315212</v>
      </c>
      <c r="J26" s="10">
        <f>J27*J16</f>
        <v>313344.94115399994</v>
      </c>
      <c r="K26" s="10">
        <f>K27*K16</f>
        <v>374455.8839833485</v>
      </c>
      <c r="L26" s="10">
        <f>L27*L16</f>
        <v>455968.86108830018</v>
      </c>
      <c r="M26" s="10">
        <f>M27*M16</f>
        <v>565555.15648082236</v>
      </c>
      <c r="N26" s="10">
        <f>N27*N16</f>
        <v>714289.36058971321</v>
      </c>
      <c r="O26" s="10">
        <f>O27*O16</f>
        <v>918316.0818270325</v>
      </c>
      <c r="P26" s="10">
        <f>P27*P16</f>
        <v>1201415.588290219</v>
      </c>
      <c r="Q26" s="10">
        <f>Q27*Q16</f>
        <v>1598992.1297954128</v>
      </c>
    </row>
    <row r="27" spans="1:17" x14ac:dyDescent="0.3">
      <c r="A27" s="20" t="s">
        <v>28</v>
      </c>
      <c r="C27" s="24">
        <f>-C26/C16</f>
        <v>0.60924044351902951</v>
      </c>
      <c r="D27" s="24">
        <f>-D26/D16</f>
        <v>0.6153013950810089</v>
      </c>
      <c r="E27" s="24">
        <f>-E26/E16</f>
        <v>0.6165628117999209</v>
      </c>
      <c r="F27" s="24">
        <f>-F26/F16</f>
        <v>0.62182231890965278</v>
      </c>
      <c r="G27" s="24">
        <f>-G26/G16</f>
        <v>0.61766752272189129</v>
      </c>
      <c r="H27" s="24">
        <f>-H26/H16</f>
        <v>0.58220640374832222</v>
      </c>
      <c r="I27" s="25">
        <f>IF(Case="A",I28, IF(Case="B",I29,I30))</f>
        <v>0.62182231890965278</v>
      </c>
      <c r="J27" s="25">
        <f>IF(Case="A",J28, IF(Case="B",J29,J30))</f>
        <v>0.61</v>
      </c>
      <c r="K27" s="25">
        <f>IF(Case="A",K28, IF(Case="B",K29,K30))</f>
        <v>0.60602948624976027</v>
      </c>
      <c r="L27" s="25">
        <f>IF(Case="A",L28, IF(Case="B",L29,L30))</f>
        <v>0.60205897249952056</v>
      </c>
      <c r="M27" s="25">
        <f>IF(Case="A",M28, IF(Case="B",M29,M30))</f>
        <v>0.59808845874928085</v>
      </c>
      <c r="N27" s="25">
        <f>IF(Case="A",N28, IF(Case="B",N29,N30))</f>
        <v>0.59411794499904114</v>
      </c>
      <c r="O27" s="25">
        <f>IF(Case="A",O28, IF(Case="B",O29,O30))</f>
        <v>0.59014743124880142</v>
      </c>
      <c r="P27" s="25">
        <f>IF(Case="A",P28, IF(Case="B",P29,P30))</f>
        <v>0.58617691749856171</v>
      </c>
      <c r="Q27" s="25">
        <f>IF(Case="A",Q28, IF(Case="B",Q29,Q30))</f>
        <v>0.58220640374832222</v>
      </c>
    </row>
    <row r="28" spans="1:17" x14ac:dyDescent="0.3">
      <c r="A28" s="20"/>
      <c r="C28" s="21"/>
      <c r="D28" s="21"/>
      <c r="E28" s="21"/>
      <c r="F28" s="21"/>
      <c r="G28" s="21"/>
      <c r="H28" s="21"/>
      <c r="I28" s="22">
        <f>MAX(C27:H27)</f>
        <v>0.62182231890965278</v>
      </c>
      <c r="J28" s="22">
        <v>0.61</v>
      </c>
      <c r="K28" s="22">
        <f>J28-($J$28-$Q$28)/($Q$9-$J$9)</f>
        <v>0.60602948624976027</v>
      </c>
      <c r="L28" s="22">
        <f>K28-($J$28-$Q$28)/($Q$9-$J$9)</f>
        <v>0.60205897249952056</v>
      </c>
      <c r="M28" s="22">
        <f>L28-($J$28-$Q$28)/($Q$9-$J$9)</f>
        <v>0.59808845874928085</v>
      </c>
      <c r="N28" s="22">
        <f>M28-($J$28-$Q$28)/($Q$9-$J$9)</f>
        <v>0.59411794499904114</v>
      </c>
      <c r="O28" s="22">
        <f>N28-($J$28-$Q$28)/($Q$9-$J$9)</f>
        <v>0.59014743124880142</v>
      </c>
      <c r="P28" s="22">
        <f>O28-($J$28-$Q$28)/($Q$9-$J$9)</f>
        <v>0.58617691749856171</v>
      </c>
      <c r="Q28" s="22">
        <f>MIN(C27:H27)</f>
        <v>0.58220640374832222</v>
      </c>
    </row>
    <row r="29" spans="1:17" x14ac:dyDescent="0.3">
      <c r="A29" s="20"/>
      <c r="C29" s="21"/>
      <c r="D29" s="21"/>
      <c r="E29" s="21"/>
      <c r="F29" s="21"/>
      <c r="G29" s="21"/>
      <c r="H29" s="21"/>
      <c r="I29" s="22">
        <f>I28</f>
        <v>0.62182231890965278</v>
      </c>
      <c r="J29" s="22">
        <v>0.6</v>
      </c>
      <c r="K29" s="22">
        <f>J29-($J$29-$Q$29)/($Q$9-$J$9)</f>
        <v>0.60149525942332915</v>
      </c>
      <c r="L29" s="22">
        <f>K29-($J$29-$Q$29)/($Q$9-$J$9)</f>
        <v>0.60299051884665833</v>
      </c>
      <c r="M29" s="22">
        <f>L29-($J$29-$Q$29)/($Q$9-$J$9)</f>
        <v>0.60448577826998751</v>
      </c>
      <c r="N29" s="22">
        <f>M29-($J$29-$Q$29)/($Q$9-$J$9)</f>
        <v>0.60598103769331668</v>
      </c>
      <c r="O29" s="22">
        <f>N29-($J$29-$Q$29)/($Q$9-$J$9)</f>
        <v>0.60747629711664586</v>
      </c>
      <c r="P29" s="22">
        <f>O29-($J$29-$Q$29)/($Q$9-$J$9)</f>
        <v>0.60897155653997503</v>
      </c>
      <c r="Q29" s="22">
        <f>AVERAGE(C27:H27)</f>
        <v>0.61046681596330421</v>
      </c>
    </row>
    <row r="30" spans="1:17" x14ac:dyDescent="0.3">
      <c r="A30" s="20"/>
      <c r="C30" s="21"/>
      <c r="D30" s="21"/>
      <c r="E30" s="21"/>
      <c r="F30" s="21"/>
      <c r="G30" s="21"/>
      <c r="H30" s="21"/>
      <c r="I30" s="22">
        <f>I29</f>
        <v>0.62182231890965278</v>
      </c>
      <c r="J30" s="22">
        <v>0.6</v>
      </c>
      <c r="K30" s="22">
        <f>J30-($J$30-$Q$30)/($Q$9-$J$9)</f>
        <v>0.61026033127280754</v>
      </c>
      <c r="L30" s="22">
        <f>K30-($J$30-$Q$30)/($Q$9-$J$9)</f>
        <v>0.62052066254561511</v>
      </c>
      <c r="M30" s="22">
        <f>L30-($J$30-$Q$30)/($Q$9-$J$9)</f>
        <v>0.63078099381842268</v>
      </c>
      <c r="N30" s="22">
        <f>M30-($J$30-$Q$30)/($Q$9-$J$9)</f>
        <v>0.64104132509123024</v>
      </c>
      <c r="O30" s="22">
        <f>N30-($J$30-$Q$30)/($Q$9-$J$9)</f>
        <v>0.65130165636403781</v>
      </c>
      <c r="P30" s="22">
        <f>O30-($J$30-$Q$30)/($Q$9-$J$9)</f>
        <v>0.66156198763684537</v>
      </c>
      <c r="Q30" s="22">
        <f>MAX(C27:H27)+0.05</f>
        <v>0.67182231890965283</v>
      </c>
    </row>
    <row r="31" spans="1:17" x14ac:dyDescent="0.3">
      <c r="A31" s="20"/>
      <c r="C31" s="21"/>
      <c r="D31" s="21"/>
      <c r="E31" s="21"/>
      <c r="F31" s="21"/>
      <c r="G31" s="21"/>
      <c r="H31" s="21"/>
    </row>
    <row r="32" spans="1:17" x14ac:dyDescent="0.3">
      <c r="C32" s="19"/>
      <c r="D32" s="19"/>
      <c r="E32" s="19"/>
      <c r="F32" s="13"/>
      <c r="G32" s="13"/>
      <c r="H32" s="13"/>
    </row>
    <row r="33" spans="1:17" x14ac:dyDescent="0.3">
      <c r="A33" s="1" t="s">
        <v>8</v>
      </c>
      <c r="C33" s="10">
        <f>C16+C26</f>
        <v>84263</v>
      </c>
      <c r="D33" s="10">
        <f>D16+D26</f>
        <v>88186</v>
      </c>
      <c r="E33" s="10">
        <f>E16+E26</f>
        <v>101839</v>
      </c>
      <c r="F33" s="10">
        <f>F16+F26</f>
        <v>98392</v>
      </c>
      <c r="G33" s="10">
        <f>G16+G26</f>
        <v>104956</v>
      </c>
      <c r="H33" s="10">
        <f>H16+H26</f>
        <v>152836</v>
      </c>
      <c r="I33" s="10">
        <f>I16-I26</f>
        <v>164629.15146847878</v>
      </c>
      <c r="J33" s="10">
        <f>J16-J26</f>
        <v>200335.29024599999</v>
      </c>
      <c r="K33" s="10">
        <f>K16-K26</f>
        <v>243428.0515006514</v>
      </c>
      <c r="L33" s="10">
        <f>L16-L26</f>
        <v>301380.30554780253</v>
      </c>
      <c r="M33" s="10">
        <f>M16-M26</f>
        <v>380049.37443339743</v>
      </c>
      <c r="N33" s="10">
        <f>N16-N26</f>
        <v>487979.25728693756</v>
      </c>
      <c r="O33" s="10">
        <f>O16-O26</f>
        <v>637763.01502474688</v>
      </c>
      <c r="P33" s="10">
        <f>P16-P26</f>
        <v>848162.87927741045</v>
      </c>
      <c r="Q33" s="10">
        <f>Q16-Q26</f>
        <v>1147443.0167452109</v>
      </c>
    </row>
    <row r="34" spans="1:17" s="5" customFormat="1" x14ac:dyDescent="0.3">
      <c r="A34" s="5" t="s">
        <v>19</v>
      </c>
      <c r="C34" s="11">
        <f>C33/C16</f>
        <v>0.39075955648097049</v>
      </c>
      <c r="D34" s="11">
        <f>D33/D16</f>
        <v>0.38469860491899105</v>
      </c>
      <c r="E34" s="11">
        <f>E33/E16</f>
        <v>0.38343718820007905</v>
      </c>
      <c r="F34" s="11">
        <f>F33/F16</f>
        <v>0.37817768109034722</v>
      </c>
      <c r="G34" s="11">
        <f>G33/G16</f>
        <v>0.38233247727810865</v>
      </c>
      <c r="H34" s="11">
        <f>H33/H16</f>
        <v>0.41779359625167778</v>
      </c>
      <c r="I34" s="11">
        <f>I33/I16</f>
        <v>0.37817768109034722</v>
      </c>
      <c r="J34" s="11">
        <f>J33/J16</f>
        <v>0.39</v>
      </c>
      <c r="K34" s="11">
        <f>K33/K16</f>
        <v>0.39397051375023973</v>
      </c>
      <c r="L34" s="11">
        <f>L33/L16</f>
        <v>0.39794102750047944</v>
      </c>
      <c r="M34" s="11">
        <f>M33/M16</f>
        <v>0.40191154125071921</v>
      </c>
      <c r="N34" s="11">
        <f>N33/N16</f>
        <v>0.40588205500095886</v>
      </c>
      <c r="O34" s="11">
        <f>O33/O16</f>
        <v>0.40985256875119858</v>
      </c>
      <c r="P34" s="11">
        <f>P33/P16</f>
        <v>0.41382308250143823</v>
      </c>
      <c r="Q34" s="11">
        <f>Q33/Q16</f>
        <v>0.41779359625167778</v>
      </c>
    </row>
    <row r="35" spans="1:17" ht="7.8" customHeight="1" x14ac:dyDescent="0.3"/>
    <row r="36" spans="1:17" x14ac:dyDescent="0.3">
      <c r="A36" s="1" t="s">
        <v>9</v>
      </c>
    </row>
    <row r="37" spans="1:17" x14ac:dyDescent="0.3">
      <c r="A37" t="s">
        <v>10</v>
      </c>
      <c r="C37" s="16">
        <v>-10045</v>
      </c>
      <c r="D37" s="16">
        <v>-11581</v>
      </c>
      <c r="E37" s="16">
        <v>-14236</v>
      </c>
      <c r="F37" s="16">
        <v>-16217</v>
      </c>
      <c r="G37" s="16">
        <v>-18752</v>
      </c>
      <c r="H37" s="16">
        <v>-21914</v>
      </c>
    </row>
    <row r="38" spans="1:17" x14ac:dyDescent="0.3">
      <c r="A38" t="s">
        <v>11</v>
      </c>
      <c r="C38" s="16">
        <v>-14194</v>
      </c>
      <c r="D38" s="16">
        <v>-15261</v>
      </c>
      <c r="E38" s="16">
        <v>-16705</v>
      </c>
      <c r="F38" s="16">
        <v>-18245</v>
      </c>
      <c r="G38" s="16">
        <v>-19916</v>
      </c>
      <c r="H38" s="16">
        <v>-21973</v>
      </c>
    </row>
    <row r="39" spans="1:17" x14ac:dyDescent="0.3">
      <c r="A39" t="s">
        <v>12</v>
      </c>
      <c r="C39" s="15">
        <f>C37+C38</f>
        <v>-24239</v>
      </c>
      <c r="D39" s="15">
        <f>D37+D38</f>
        <v>-26842</v>
      </c>
      <c r="E39" s="15">
        <f>E37+E38</f>
        <v>-30941</v>
      </c>
      <c r="F39" s="15">
        <f>F37+F38</f>
        <v>-34462</v>
      </c>
      <c r="G39" s="15">
        <f>G37+G38</f>
        <v>-38668</v>
      </c>
      <c r="H39" s="15">
        <f>H37+H38</f>
        <v>-43887</v>
      </c>
      <c r="I39" s="10">
        <f>I40*I33</f>
        <v>47273.414447493575</v>
      </c>
      <c r="J39" s="10">
        <f>J40*J33</f>
        <v>57526.465512223564</v>
      </c>
      <c r="K39" s="10">
        <f>K40*K33</f>
        <v>69900.592113174163</v>
      </c>
      <c r="L39" s="10">
        <f>L40*L33</f>
        <v>86541.635933787911</v>
      </c>
      <c r="M39" s="10">
        <f>M40*M33</f>
        <v>109131.53246459285</v>
      </c>
      <c r="N39" s="10">
        <f>N40*N33</f>
        <v>140123.69902740078</v>
      </c>
      <c r="O39" s="10">
        <f>O40*O33</f>
        <v>183134.24481399058</v>
      </c>
      <c r="P39" s="10">
        <f>P40*P33</f>
        <v>243550.76214273935</v>
      </c>
      <c r="Q39" s="10">
        <f>Q40*Q33</f>
        <v>329489.33285284269</v>
      </c>
    </row>
    <row r="40" spans="1:17" x14ac:dyDescent="0.3">
      <c r="A40" s="5" t="s">
        <v>29</v>
      </c>
      <c r="C40" s="29">
        <f>-C39/C33</f>
        <v>0.28765887756191921</v>
      </c>
      <c r="D40" s="29">
        <f>-D39/D33</f>
        <v>0.30437937994693037</v>
      </c>
      <c r="E40" s="29">
        <f>-E39/E33</f>
        <v>0.30382270053712235</v>
      </c>
      <c r="F40" s="29">
        <f>-F39/F33</f>
        <v>0.35025205301244006</v>
      </c>
      <c r="G40" s="29">
        <f>-G39/G33</f>
        <v>0.36842105263157893</v>
      </c>
      <c r="H40" s="29">
        <f>-H39/H33</f>
        <v>0.28715093302625033</v>
      </c>
      <c r="I40" s="25">
        <f>IF(Case="A",I41, IF(Case="B",I42,I43))</f>
        <v>0.28715093302625033</v>
      </c>
      <c r="J40" s="25">
        <f>IF(Case="A",J41, IF(Case="B",J42,J43))</f>
        <v>0.28715093302625033</v>
      </c>
      <c r="K40" s="25">
        <f>IF(Case="A",K41, IF(Case="B",K42,K43))</f>
        <v>0.28715093302625033</v>
      </c>
      <c r="L40" s="25">
        <f>IF(Case="A",L41, IF(Case="B",L42,L43))</f>
        <v>0.28715093302625033</v>
      </c>
      <c r="M40" s="25">
        <f>IF(Case="A",M41, IF(Case="B",M42,M43))</f>
        <v>0.28715093302625033</v>
      </c>
      <c r="N40" s="25">
        <f>IF(Case="A",N41, IF(Case="B",N42,N43))</f>
        <v>0.28715093302625033</v>
      </c>
      <c r="O40" s="25">
        <f>IF(Case="A",O41, IF(Case="B",O42,O43))</f>
        <v>0.28715093302625033</v>
      </c>
      <c r="P40" s="25">
        <f>IF(Case="A",P41, IF(Case="B",P42,P43))</f>
        <v>0.28715093302625033</v>
      </c>
      <c r="Q40" s="25">
        <f>IF(Case="A",Q41, IF(Case="B",Q42,Q43))</f>
        <v>0.28715093302625033</v>
      </c>
    </row>
    <row r="41" spans="1:17" x14ac:dyDescent="0.3">
      <c r="A41" s="5"/>
      <c r="C41" s="29"/>
      <c r="D41" s="29"/>
      <c r="E41" s="29"/>
      <c r="F41" s="29"/>
      <c r="G41" s="29"/>
      <c r="H41" s="29"/>
      <c r="I41" s="31">
        <f>MIN(C40:H40)</f>
        <v>0.28715093302625033</v>
      </c>
      <c r="J41" s="31">
        <f>I41</f>
        <v>0.28715093302625033</v>
      </c>
      <c r="K41" s="31">
        <f>J41-($J$41-$Q$41)/($Q$9-$J$9)</f>
        <v>0.28715093302625033</v>
      </c>
      <c r="L41" s="31">
        <f>K41-($J$41-$Q$41)/($Q$9-$J$9)</f>
        <v>0.28715093302625033</v>
      </c>
      <c r="M41" s="31">
        <f>L41-($J$41-$Q$41)/($Q$9-$J$9)</f>
        <v>0.28715093302625033</v>
      </c>
      <c r="N41" s="31">
        <f>M41-($J$41-$Q$41)/($Q$9-$J$9)</f>
        <v>0.28715093302625033</v>
      </c>
      <c r="O41" s="31">
        <f>N41-($J$41-$Q$41)/($Q$9-$J$9)</f>
        <v>0.28715093302625033</v>
      </c>
      <c r="P41" s="31">
        <f>O41-($J$41-$Q$41)/($Q$9-$J$9)</f>
        <v>0.28715093302625033</v>
      </c>
      <c r="Q41" s="31">
        <f>MIN(C40:H40)</f>
        <v>0.28715093302625033</v>
      </c>
    </row>
    <row r="42" spans="1:17" x14ac:dyDescent="0.3">
      <c r="A42" s="5"/>
      <c r="C42" s="29"/>
      <c r="D42" s="29"/>
      <c r="E42" s="29"/>
      <c r="F42" s="29"/>
      <c r="G42" s="29"/>
      <c r="H42" s="29"/>
      <c r="I42" s="31">
        <f>I41</f>
        <v>0.28715093302625033</v>
      </c>
      <c r="J42" s="31">
        <f>I42</f>
        <v>0.28715093302625033</v>
      </c>
      <c r="K42" s="31">
        <f>J42-($J$42-$Q$42)/($Q$9-$J$9)</f>
        <v>0.29140758537288697</v>
      </c>
      <c r="L42" s="31">
        <f>K42-($J$42-$Q$42)/($Q$9-$J$9)</f>
        <v>0.2956642377195236</v>
      </c>
      <c r="M42" s="31">
        <f>L42-($J$42-$Q$42)/($Q$9-$J$9)</f>
        <v>0.29992089006616024</v>
      </c>
      <c r="N42" s="31">
        <f>M42-($J$42-$Q$42)/($Q$9-$J$9)</f>
        <v>0.30417754241279688</v>
      </c>
      <c r="O42" s="31">
        <f>N42-($J$42-$Q$42)/($Q$9-$J$9)</f>
        <v>0.30843419475943351</v>
      </c>
      <c r="P42" s="31">
        <f>O42-($J$42-$Q$42)/($Q$9-$J$9)</f>
        <v>0.31269084710607015</v>
      </c>
      <c r="Q42" s="31">
        <f>AVERAGE(C40:H40)</f>
        <v>0.31694749945270689</v>
      </c>
    </row>
    <row r="43" spans="1:17" x14ac:dyDescent="0.3">
      <c r="A43" s="5"/>
      <c r="C43" s="29"/>
      <c r="D43" s="29"/>
      <c r="E43" s="29"/>
      <c r="F43" s="29"/>
      <c r="G43" s="29"/>
      <c r="H43" s="29"/>
      <c r="I43" s="31">
        <f>I42</f>
        <v>0.28715093302625033</v>
      </c>
      <c r="J43" s="31">
        <f>I43</f>
        <v>0.28715093302625033</v>
      </c>
      <c r="K43" s="31">
        <f>J43-($J$43-$Q$43)/($Q$9-$J$9)</f>
        <v>0.29876095011272585</v>
      </c>
      <c r="L43" s="31">
        <f>K43-($J$43-$Q$43)/($Q$9-$J$9)</f>
        <v>0.31037096719920138</v>
      </c>
      <c r="M43" s="31">
        <f>L43-($J$43-$Q$43)/($Q$9-$J$9)</f>
        <v>0.3219809842856769</v>
      </c>
      <c r="N43" s="31">
        <f>M43-($J$43-$Q$43)/($Q$9-$J$9)</f>
        <v>0.33359100137215242</v>
      </c>
      <c r="O43" s="31">
        <f>N43-($J$43-$Q$43)/($Q$9-$J$9)</f>
        <v>0.34520101845862794</v>
      </c>
      <c r="P43" s="31">
        <f>O43-($J$43-$Q$43)/($Q$9-$J$9)</f>
        <v>0.35681103554510346</v>
      </c>
      <c r="Q43" s="31">
        <f>MAX(C40:H40)</f>
        <v>0.36842105263157893</v>
      </c>
    </row>
    <row r="44" spans="1:17" ht="4.2" customHeight="1" x14ac:dyDescent="0.3">
      <c r="C44" s="13"/>
      <c r="D44" s="13"/>
      <c r="E44" s="13"/>
      <c r="F44" s="13"/>
      <c r="G44" s="13"/>
      <c r="H44" s="13"/>
    </row>
    <row r="45" spans="1:17" ht="4.2" customHeight="1" x14ac:dyDescent="0.3"/>
    <row r="46" spans="1:17" x14ac:dyDescent="0.3">
      <c r="A46" s="1" t="s">
        <v>13</v>
      </c>
      <c r="C46" s="10">
        <f>C33+C39</f>
        <v>60024</v>
      </c>
      <c r="D46" s="10">
        <f>D33+D39</f>
        <v>61344</v>
      </c>
      <c r="E46" s="10">
        <f>E33+E39</f>
        <v>70898</v>
      </c>
      <c r="F46" s="10">
        <f>F33+F39</f>
        <v>63930</v>
      </c>
      <c r="G46" s="10">
        <f>G33+G39</f>
        <v>66288</v>
      </c>
      <c r="H46" s="10">
        <f>H33+H39</f>
        <v>108949</v>
      </c>
      <c r="I46" s="10">
        <f>I33-I39</f>
        <v>117355.73702098521</v>
      </c>
      <c r="J46" s="10">
        <f>J33-J39</f>
        <v>142808.82473377642</v>
      </c>
      <c r="K46" s="10">
        <f>K33-K39</f>
        <v>173527.45938747725</v>
      </c>
      <c r="L46" s="10">
        <f>L33-L39</f>
        <v>214838.66961401462</v>
      </c>
      <c r="M46" s="10">
        <f>M33-M39</f>
        <v>270917.8419688046</v>
      </c>
      <c r="N46" s="10">
        <f>N33-N39</f>
        <v>347855.55825953675</v>
      </c>
      <c r="O46" s="10">
        <f>O33-O39</f>
        <v>454628.77021075634</v>
      </c>
      <c r="P46" s="10">
        <f>P33-P39</f>
        <v>604612.11713467108</v>
      </c>
      <c r="Q46" s="10">
        <f>Q33-Q39</f>
        <v>817953.68389236811</v>
      </c>
    </row>
    <row r="47" spans="1:17" x14ac:dyDescent="0.3">
      <c r="A47" s="5" t="s">
        <v>20</v>
      </c>
      <c r="C47" s="18">
        <v>-1456</v>
      </c>
      <c r="D47" s="18">
        <v>-2323</v>
      </c>
      <c r="E47" s="18">
        <v>-3240</v>
      </c>
      <c r="F47" s="18">
        <v>-3576</v>
      </c>
      <c r="G47" s="18">
        <v>-2873</v>
      </c>
      <c r="H47" s="18">
        <v>-2645</v>
      </c>
    </row>
    <row r="48" spans="1:17" x14ac:dyDescent="0.3">
      <c r="A48" s="5" t="s">
        <v>21</v>
      </c>
      <c r="C48" s="18">
        <v>3999</v>
      </c>
      <c r="D48" s="18">
        <v>5201</v>
      </c>
      <c r="E48" s="18">
        <v>5686</v>
      </c>
      <c r="F48" s="18">
        <v>4961</v>
      </c>
      <c r="G48" s="18">
        <v>3763</v>
      </c>
      <c r="H48" s="18">
        <v>2843</v>
      </c>
    </row>
    <row r="49" spans="1:17" x14ac:dyDescent="0.3">
      <c r="A49" s="5" t="s">
        <v>23</v>
      </c>
      <c r="C49" s="18">
        <v>-1195</v>
      </c>
      <c r="D49" s="18">
        <v>-133</v>
      </c>
      <c r="E49" s="18">
        <v>-441</v>
      </c>
      <c r="F49" s="18">
        <v>422</v>
      </c>
      <c r="G49" s="18">
        <v>-87</v>
      </c>
      <c r="H49" s="18">
        <v>60</v>
      </c>
    </row>
    <row r="50" spans="1:17" x14ac:dyDescent="0.3">
      <c r="A50" s="5" t="s">
        <v>22</v>
      </c>
      <c r="C50" s="14">
        <f>C47+C48+C49</f>
        <v>1348</v>
      </c>
      <c r="D50" s="14">
        <f>D47+D48+D49</f>
        <v>2745</v>
      </c>
      <c r="E50" s="14">
        <f>E47+E48+E49</f>
        <v>2005</v>
      </c>
      <c r="F50" s="14">
        <f>F47+F48+F49</f>
        <v>1807</v>
      </c>
      <c r="G50" s="14">
        <f>G47+G48+G49</f>
        <v>803</v>
      </c>
      <c r="H50" s="14">
        <f>H47+H48+H49</f>
        <v>258</v>
      </c>
      <c r="I50" s="10">
        <f>I46*I51</f>
        <v>277.90782982325845</v>
      </c>
      <c r="J50" s="10">
        <f>J46*J51</f>
        <v>338.18278994129656</v>
      </c>
      <c r="K50" s="10">
        <f>K46*K51</f>
        <v>1461.5011999989867</v>
      </c>
      <c r="L50" s="10">
        <f>L46*L51</f>
        <v>3110.1183707697492</v>
      </c>
      <c r="M50" s="10">
        <f>M46*M51</f>
        <v>5562.1476318631421</v>
      </c>
      <c r="N50" s="10">
        <f>N46*N51</f>
        <v>9247.7326498773036</v>
      </c>
      <c r="O50" s="10">
        <f>O46*O51</f>
        <v>14838.720906741906</v>
      </c>
      <c r="P50" s="10">
        <f>P46*P51</f>
        <v>23394.515419771375</v>
      </c>
      <c r="Q50" s="10">
        <f>Q46*Q51</f>
        <v>36601.507275113305</v>
      </c>
    </row>
    <row r="51" spans="1:17" x14ac:dyDescent="0.3">
      <c r="A51" s="5" t="s">
        <v>30</v>
      </c>
      <c r="C51" s="30">
        <f>C50/C46</f>
        <v>2.2457683593229374E-2</v>
      </c>
      <c r="D51" s="30">
        <f>D50/D46</f>
        <v>4.4747652582159625E-2</v>
      </c>
      <c r="E51" s="30">
        <f>E50/E46</f>
        <v>2.8280064317752263E-2</v>
      </c>
      <c r="F51" s="30">
        <f>F50/F46</f>
        <v>2.8265290161113718E-2</v>
      </c>
      <c r="G51" s="30">
        <f>G50/G46</f>
        <v>1.211380642046826E-2</v>
      </c>
      <c r="H51" s="30">
        <f>H50/H46</f>
        <v>2.3680804780218268E-3</v>
      </c>
      <c r="I51" s="32">
        <f>IF(Case="A",I52,IF(Case="B",I53,I54))</f>
        <v>2.3680804780218268E-3</v>
      </c>
      <c r="J51" s="32">
        <f>IF(Case="A",J52,IF(Case="B",J53,J54))</f>
        <v>2.3680804780218268E-3</v>
      </c>
      <c r="K51" s="32">
        <f>IF(Case="A",K52,IF(Case="B",K53,K54))</f>
        <v>8.4223050643272256E-3</v>
      </c>
      <c r="L51" s="32">
        <f>IF(Case="A",L52,IF(Case="B",L53,L54))</f>
        <v>1.4476529650632626E-2</v>
      </c>
      <c r="M51" s="32">
        <f>IF(Case="A",M52,IF(Case="B",M53,M54))</f>
        <v>2.0530754236938027E-2</v>
      </c>
      <c r="N51" s="32">
        <f>IF(Case="A",N52,IF(Case="B",N53,N54))</f>
        <v>2.6584978823243427E-2</v>
      </c>
      <c r="O51" s="32">
        <f>IF(Case="A",O52,IF(Case="B",O53,O54))</f>
        <v>3.2639203409548824E-2</v>
      </c>
      <c r="P51" s="32">
        <f>IF(Case="A",P52,IF(Case="B",P53,P54))</f>
        <v>3.8693427995854221E-2</v>
      </c>
      <c r="Q51" s="32">
        <f>IF(Case="A",Q52,IF(Case="B",Q53,Q54))</f>
        <v>4.4747652582159625E-2</v>
      </c>
    </row>
    <row r="52" spans="1:17" x14ac:dyDescent="0.3">
      <c r="A52" s="5"/>
      <c r="C52" s="12"/>
      <c r="D52" s="12"/>
      <c r="E52" s="12"/>
      <c r="F52" s="12"/>
      <c r="G52" s="12"/>
      <c r="H52" s="12"/>
      <c r="I52" s="31">
        <f>MIN(C51:H51)</f>
        <v>2.3680804780218268E-3</v>
      </c>
      <c r="J52" s="31">
        <f>I52</f>
        <v>2.3680804780218268E-3</v>
      </c>
      <c r="K52" s="31">
        <f>J52-($J$52-$Q$52)/($Q$9-$J$9)</f>
        <v>8.4223050643272256E-3</v>
      </c>
      <c r="L52" s="31">
        <f>K52-($J$52-$Q$52)/($Q$9-$J$9)</f>
        <v>1.4476529650632626E-2</v>
      </c>
      <c r="M52" s="31">
        <f>L52-($J$52-$Q$52)/($Q$9-$J$9)</f>
        <v>2.0530754236938027E-2</v>
      </c>
      <c r="N52" s="31">
        <f>M52-($J$52-$Q$52)/($Q$9-$J$9)</f>
        <v>2.6584978823243427E-2</v>
      </c>
      <c r="O52" s="31">
        <f>N52-($J$52-$Q$52)/($Q$9-$J$9)</f>
        <v>3.2639203409548824E-2</v>
      </c>
      <c r="P52" s="31">
        <f>O52-($J$52-$Q$52)/($Q$9-$J$9)</f>
        <v>3.8693427995854221E-2</v>
      </c>
      <c r="Q52" s="31">
        <f>MAX(C51:H51)</f>
        <v>4.4747652582159625E-2</v>
      </c>
    </row>
    <row r="53" spans="1:17" x14ac:dyDescent="0.3">
      <c r="A53" s="5"/>
      <c r="C53" s="12"/>
      <c r="D53" s="12"/>
      <c r="E53" s="12"/>
      <c r="F53" s="12"/>
      <c r="G53" s="12"/>
      <c r="H53" s="12"/>
      <c r="I53" s="31">
        <f>I52</f>
        <v>2.3680804780218268E-3</v>
      </c>
      <c r="J53" s="31">
        <f>I53</f>
        <v>2.3680804780218268E-3</v>
      </c>
      <c r="K53" s="31">
        <f>J53-($J$53-$Q$53)/($Q$9-$J$9)</f>
        <v>5.3210351133697814E-3</v>
      </c>
      <c r="L53" s="31">
        <f>K53-($J$53-$Q$53)/($Q$9-$J$9)</f>
        <v>8.2739897487177361E-3</v>
      </c>
      <c r="M53" s="31">
        <f>L53-($J$53-$Q$53)/($Q$9-$J$9)</f>
        <v>1.1226944384065692E-2</v>
      </c>
      <c r="N53" s="31">
        <f>M53-($J$53-$Q$53)/($Q$9-$J$9)</f>
        <v>1.4179899019413647E-2</v>
      </c>
      <c r="O53" s="31">
        <f>N53-($J$53-$Q$53)/($Q$9-$J$9)</f>
        <v>1.7132853654761603E-2</v>
      </c>
      <c r="P53" s="31">
        <f>O53-($J$53-$Q$53)/($Q$9-$J$9)</f>
        <v>2.0085808290109558E-2</v>
      </c>
      <c r="Q53" s="31">
        <f>AVERAGE(C51:H51)</f>
        <v>2.303876292545751E-2</v>
      </c>
    </row>
    <row r="54" spans="1:17" x14ac:dyDescent="0.3">
      <c r="A54" s="5"/>
      <c r="I54" s="31">
        <f>I53</f>
        <v>2.3680804780218268E-3</v>
      </c>
      <c r="J54" s="31">
        <f>I54</f>
        <v>2.3680804780218268E-3</v>
      </c>
      <c r="K54" s="31">
        <f>J54</f>
        <v>2.3680804780218268E-3</v>
      </c>
      <c r="L54" s="31">
        <f>K54</f>
        <v>2.3680804780218268E-3</v>
      </c>
      <c r="M54" s="31">
        <f>L54</f>
        <v>2.3680804780218268E-3</v>
      </c>
      <c r="N54" s="31">
        <f>M54</f>
        <v>2.3680804780218268E-3</v>
      </c>
      <c r="O54" s="31">
        <f>N54</f>
        <v>2.3680804780218268E-3</v>
      </c>
      <c r="P54" s="31">
        <f>O54</f>
        <v>2.3680804780218268E-3</v>
      </c>
      <c r="Q54" s="31">
        <f>P54</f>
        <v>2.3680804780218268E-3</v>
      </c>
    </row>
    <row r="55" spans="1:17" ht="7.8" customHeight="1" x14ac:dyDescent="0.3"/>
    <row r="56" spans="1:17" x14ac:dyDescent="0.3">
      <c r="A56" s="1" t="s">
        <v>14</v>
      </c>
      <c r="C56" s="10">
        <f>C46+C50</f>
        <v>61372</v>
      </c>
      <c r="D56" s="10">
        <f>D46+D50</f>
        <v>64089</v>
      </c>
      <c r="E56" s="10">
        <f>E46+E50</f>
        <v>72903</v>
      </c>
      <c r="F56" s="10">
        <f>F46+F50</f>
        <v>65737</v>
      </c>
      <c r="G56" s="10">
        <f>G46+G50</f>
        <v>67091</v>
      </c>
      <c r="H56" s="10">
        <f>H46+H50</f>
        <v>109207</v>
      </c>
      <c r="I56" s="10">
        <f>I46+I50</f>
        <v>117633.64485080847</v>
      </c>
      <c r="J56" s="10">
        <f>J46+J50</f>
        <v>143147.00752371771</v>
      </c>
      <c r="K56" s="10">
        <f>K46+K50</f>
        <v>174988.96058747623</v>
      </c>
      <c r="L56" s="10">
        <f>L46+L50</f>
        <v>217948.78798478437</v>
      </c>
      <c r="M56" s="10">
        <f>M46+M50</f>
        <v>276479.98960066773</v>
      </c>
      <c r="N56" s="10">
        <f>N46+N50</f>
        <v>357103.29090941406</v>
      </c>
      <c r="O56" s="10">
        <f>O46+O50</f>
        <v>469467.49111749826</v>
      </c>
      <c r="P56" s="10">
        <f>P46+P50</f>
        <v>628006.63255444251</v>
      </c>
      <c r="Q56" s="10">
        <f>Q46+Q50</f>
        <v>854555.19116748136</v>
      </c>
    </row>
    <row r="57" spans="1:17" x14ac:dyDescent="0.3">
      <c r="A57" t="s">
        <v>15</v>
      </c>
      <c r="C57" s="18">
        <v>-15685</v>
      </c>
      <c r="D57" s="18">
        <v>-15738</v>
      </c>
      <c r="E57" s="18">
        <v>-13372</v>
      </c>
      <c r="F57" s="18">
        <v>-10481</v>
      </c>
      <c r="G57" s="18">
        <v>-9680</v>
      </c>
      <c r="H57" s="18">
        <v>-14527</v>
      </c>
      <c r="I57" s="10">
        <f>I56*I58</f>
        <v>21983.802288752042</v>
      </c>
      <c r="J57" s="10">
        <f>J56*J58</f>
        <v>25113.062545345274</v>
      </c>
      <c r="K57" s="10">
        <f>K56*K58</f>
        <v>28653.961909546535</v>
      </c>
      <c r="L57" s="10">
        <f>L56*L58</f>
        <v>34973.841572897349</v>
      </c>
      <c r="M57" s="10">
        <f>M56*M58</f>
        <v>44413.688893958846</v>
      </c>
      <c r="N57" s="10">
        <f>N56*N58</f>
        <v>58338.590905425488</v>
      </c>
      <c r="O57" s="10">
        <f>O56*O58</f>
        <v>79069.316008815527</v>
      </c>
      <c r="P57" s="10">
        <f>P56*P58</f>
        <v>103838.82912132556</v>
      </c>
      <c r="Q57" s="10">
        <f>Q56*Q58</f>
        <v>139860.98673015827</v>
      </c>
    </row>
    <row r="58" spans="1:17" x14ac:dyDescent="0.3">
      <c r="A58" t="s">
        <v>24</v>
      </c>
      <c r="C58" s="11">
        <f>-C57/C56</f>
        <v>0.25557257381216192</v>
      </c>
      <c r="D58" s="11">
        <f>-D57/D56</f>
        <v>0.24556476150353415</v>
      </c>
      <c r="E58" s="11">
        <f>-E57/E56</f>
        <v>0.18342180705869443</v>
      </c>
      <c r="F58" s="11">
        <f>-F57/F56</f>
        <v>0.15943836804235059</v>
      </c>
      <c r="G58" s="11">
        <f>-G57/G56</f>
        <v>0.14428164731484103</v>
      </c>
      <c r="H58" s="11">
        <f>-H57/H56</f>
        <v>0.13302260844085087</v>
      </c>
      <c r="I58" s="33">
        <f>AVERAGE(C58:H58)</f>
        <v>0.18688362769540548</v>
      </c>
      <c r="J58" s="33">
        <f>AVERAGE(D58:I58)</f>
        <v>0.17543547000927942</v>
      </c>
      <c r="K58" s="33">
        <f>AVERAGE(E58:J58)</f>
        <v>0.16374725476023697</v>
      </c>
      <c r="L58" s="33">
        <f>AVERAGE(F58:K58)</f>
        <v>0.16046816271049405</v>
      </c>
      <c r="M58" s="33">
        <f>AVERAGE(G58:L58)</f>
        <v>0.16063979515518464</v>
      </c>
      <c r="N58" s="33">
        <f>AVERAGE(H58:M58)</f>
        <v>0.16336615312857525</v>
      </c>
      <c r="O58" s="33">
        <f>AVERAGE(I58:N58)</f>
        <v>0.16842341057652929</v>
      </c>
      <c r="P58" s="33">
        <f>AVERAGE(J58:O58)</f>
        <v>0.16534670772338328</v>
      </c>
      <c r="Q58" s="33">
        <f>AVERAGE(K58:P58)</f>
        <v>0.16366524734240059</v>
      </c>
    </row>
    <row r="59" spans="1:17" ht="7.8" customHeight="1" x14ac:dyDescent="0.3"/>
    <row r="60" spans="1:17" ht="10.8" customHeight="1" x14ac:dyDescent="0.3"/>
    <row r="61" spans="1:17" ht="15" thickBot="1" x14ac:dyDescent="0.35">
      <c r="A61" s="54" t="s">
        <v>16</v>
      </c>
      <c r="B61" s="54"/>
      <c r="C61" s="55">
        <f>C56+C57</f>
        <v>45687</v>
      </c>
      <c r="D61" s="55">
        <f>D56+D57</f>
        <v>48351</v>
      </c>
      <c r="E61" s="55">
        <f>E56+E57</f>
        <v>59531</v>
      </c>
      <c r="F61" s="55">
        <f>F56+F57</f>
        <v>55256</v>
      </c>
      <c r="G61" s="55">
        <f>G56+G57</f>
        <v>57411</v>
      </c>
      <c r="H61" s="55">
        <f>H56+H57</f>
        <v>94680</v>
      </c>
      <c r="I61" s="56">
        <f>I56-I57</f>
        <v>95649.842562056438</v>
      </c>
      <c r="J61" s="56">
        <f>J56-J57</f>
        <v>118033.94497837243</v>
      </c>
      <c r="K61" s="56">
        <f>K56-K57</f>
        <v>146334.99867792969</v>
      </c>
      <c r="L61" s="56">
        <f>L56-L57</f>
        <v>182974.94641188701</v>
      </c>
      <c r="M61" s="56">
        <f>M56-M57</f>
        <v>232066.30070670889</v>
      </c>
      <c r="N61" s="56">
        <f>N56-N57</f>
        <v>298764.70000398858</v>
      </c>
      <c r="O61" s="56">
        <f>O56-O57</f>
        <v>390398.17510868271</v>
      </c>
      <c r="P61" s="56">
        <f>P56-P57</f>
        <v>524167.80343311693</v>
      </c>
      <c r="Q61" s="56">
        <f>Q56-Q57</f>
        <v>714694.20443732315</v>
      </c>
    </row>
    <row r="62" spans="1:17" ht="15" thickTop="1" x14ac:dyDescent="0.3"/>
    <row r="67" spans="6:10" x14ac:dyDescent="0.3">
      <c r="F67" s="61" t="s">
        <v>66</v>
      </c>
      <c r="G67" s="61"/>
      <c r="H67" s="61"/>
      <c r="I67" s="61"/>
      <c r="J67" s="61"/>
    </row>
    <row r="68" spans="6:10" x14ac:dyDescent="0.3">
      <c r="F68" s="40"/>
      <c r="G68" s="40"/>
      <c r="H68" s="40"/>
      <c r="I68" s="40"/>
      <c r="J68" s="40"/>
    </row>
    <row r="69" spans="6:10" x14ac:dyDescent="0.3">
      <c r="F69" s="94">
        <f>'AAPL DCF Model'!C26</f>
        <v>8796019.9115518983</v>
      </c>
      <c r="G69" s="63">
        <v>7.0000000000000007E-2</v>
      </c>
      <c r="H69" s="63">
        <v>0.08</v>
      </c>
      <c r="I69" s="63">
        <v>0.09</v>
      </c>
      <c r="J69" s="63">
        <v>0.1</v>
      </c>
    </row>
    <row r="70" spans="6:10" x14ac:dyDescent="0.3">
      <c r="F70" s="64">
        <v>0.01</v>
      </c>
      <c r="G70" s="65">
        <f t="dataTable" ref="G70:J73" dt2D="1" dtr="1" r1="B5" r2="B6"/>
        <v>-11166155.578639409</v>
      </c>
      <c r="H70" s="65">
        <v>-9660439.0052848291</v>
      </c>
      <c r="I70" s="65">
        <v>-8531151.5752688944</v>
      </c>
      <c r="J70" s="65">
        <v>-7652816.9074787218</v>
      </c>
    </row>
    <row r="71" spans="6:10" x14ac:dyDescent="0.3">
      <c r="F71" s="64">
        <v>0.02</v>
      </c>
      <c r="G71" s="65">
        <v>-13399386.69436729</v>
      </c>
      <c r="H71" s="65">
        <v>-11270512.172832301</v>
      </c>
      <c r="I71" s="65">
        <v>-9749887.5145930238</v>
      </c>
      <c r="J71" s="65">
        <v>-8609419.0209135637</v>
      </c>
    </row>
    <row r="72" spans="6:10" x14ac:dyDescent="0.3">
      <c r="F72" s="64">
        <v>0.03</v>
      </c>
      <c r="G72" s="65">
        <v>-16749233.36795911</v>
      </c>
      <c r="H72" s="65">
        <v>-13524614.607398761</v>
      </c>
      <c r="I72" s="65">
        <v>-11374868.767025193</v>
      </c>
      <c r="J72" s="65">
        <v>-9839336.0239012148</v>
      </c>
    </row>
    <row r="73" spans="6:10" x14ac:dyDescent="0.3">
      <c r="F73" s="64">
        <v>0.04</v>
      </c>
      <c r="G73" s="65">
        <v>-22332311.157278813</v>
      </c>
      <c r="H73" s="65">
        <v>-16905768.25924845</v>
      </c>
      <c r="I73" s="65">
        <v>-13649842.520430233</v>
      </c>
      <c r="J73" s="65">
        <v>-11479225.361218084</v>
      </c>
    </row>
    <row r="88" s="12" customFormat="1" x14ac:dyDescent="0.3"/>
  </sheetData>
  <mergeCells count="3">
    <mergeCell ref="A3:B3"/>
    <mergeCell ref="A1:Q1"/>
    <mergeCell ref="F67:J67"/>
  </mergeCells>
  <dataValidations count="1">
    <dataValidation type="list" allowBlank="1" showInputMessage="1" showErrorMessage="1" sqref="B4" xr:uid="{D993639A-7949-40E2-A57D-8D257673142C}">
      <formula1>"A, B, C"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F02D-D463-4B0D-8839-22F028654F2A}">
  <dimension ref="B1:R19"/>
  <sheetViews>
    <sheetView workbookViewId="0">
      <selection activeCell="B1" sqref="B1:R1"/>
    </sheetView>
  </sheetViews>
  <sheetFormatPr defaultRowHeight="14.4" x14ac:dyDescent="0.3"/>
  <cols>
    <col min="1" max="1" width="3.77734375" style="40" customWidth="1"/>
    <col min="2" max="2" width="20.5546875" style="40" customWidth="1"/>
    <col min="3" max="3" width="13.6640625" style="40" bestFit="1" customWidth="1"/>
    <col min="4" max="16384" width="8.88671875" style="40"/>
  </cols>
  <sheetData>
    <row r="1" spans="2:18" ht="26.4" x14ac:dyDescent="0.3">
      <c r="B1" s="51" t="s">
        <v>91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3" spans="2:18" ht="15" thickBot="1" x14ac:dyDescent="0.35"/>
    <row r="4" spans="2:18" ht="15" x14ac:dyDescent="0.35">
      <c r="B4" s="49" t="s">
        <v>37</v>
      </c>
      <c r="C4" s="52"/>
    </row>
    <row r="5" spans="2:18" x14ac:dyDescent="0.3">
      <c r="B5" s="84" t="s">
        <v>44</v>
      </c>
      <c r="C5" s="88">
        <v>1685000</v>
      </c>
    </row>
    <row r="6" spans="2:18" x14ac:dyDescent="0.3">
      <c r="B6" s="84" t="s">
        <v>45</v>
      </c>
      <c r="C6" s="88">
        <v>21415</v>
      </c>
    </row>
    <row r="7" spans="2:18" ht="7.2" customHeight="1" x14ac:dyDescent="0.3">
      <c r="B7" s="84"/>
      <c r="C7" s="87"/>
    </row>
    <row r="8" spans="2:18" x14ac:dyDescent="0.3">
      <c r="B8" s="84" t="s">
        <v>46</v>
      </c>
      <c r="C8" s="90">
        <f>C5/(C5+C6)</f>
        <v>0.98745029784665517</v>
      </c>
    </row>
    <row r="9" spans="2:18" x14ac:dyDescent="0.3">
      <c r="B9" s="84" t="s">
        <v>47</v>
      </c>
      <c r="C9" s="90">
        <f>C6 /(C5+C6)</f>
        <v>1.2549702153344878E-2</v>
      </c>
    </row>
    <row r="10" spans="2:18" ht="4.8" customHeight="1" x14ac:dyDescent="0.3">
      <c r="B10" s="84"/>
      <c r="C10" s="87"/>
    </row>
    <row r="11" spans="2:18" ht="28.8" x14ac:dyDescent="0.3">
      <c r="B11" s="84" t="s">
        <v>38</v>
      </c>
      <c r="C11" s="92">
        <v>1.54E-2</v>
      </c>
    </row>
    <row r="12" spans="2:18" ht="28.8" x14ac:dyDescent="0.3">
      <c r="B12" s="84" t="s">
        <v>39</v>
      </c>
      <c r="C12" s="92">
        <v>0.08</v>
      </c>
    </row>
    <row r="13" spans="2:18" x14ac:dyDescent="0.3">
      <c r="B13" s="84" t="s">
        <v>40</v>
      </c>
      <c r="C13" s="91">
        <v>1.21</v>
      </c>
    </row>
    <row r="14" spans="2:18" ht="6" customHeight="1" x14ac:dyDescent="0.3">
      <c r="B14" s="84"/>
      <c r="C14" s="87"/>
    </row>
    <row r="15" spans="2:18" x14ac:dyDescent="0.3">
      <c r="B15" s="85" t="s">
        <v>41</v>
      </c>
      <c r="C15" s="93">
        <f>C11+(C13*(C12-C11))</f>
        <v>9.3565999999999996E-2</v>
      </c>
    </row>
    <row r="16" spans="2:18" x14ac:dyDescent="0.3">
      <c r="B16" s="85" t="s">
        <v>48</v>
      </c>
      <c r="C16" s="93">
        <v>2.12E-2</v>
      </c>
    </row>
    <row r="17" spans="2:3" x14ac:dyDescent="0.3">
      <c r="B17" s="84" t="s">
        <v>42</v>
      </c>
      <c r="C17" s="89">
        <f>AVERAGE('AAPL Income Statement'!C58:H58)</f>
        <v>0.18688362769540548</v>
      </c>
    </row>
    <row r="18" spans="2:3" ht="4.8" customHeight="1" x14ac:dyDescent="0.3">
      <c r="B18" s="84"/>
      <c r="C18" s="53"/>
    </row>
    <row r="19" spans="2:3" ht="15" thickBot="1" x14ac:dyDescent="0.35">
      <c r="B19" s="86" t="s">
        <v>1</v>
      </c>
      <c r="C19" s="80">
        <f>C15*C8+C16*C9*(1-C17)</f>
        <v>9.2608107176034876E-2</v>
      </c>
    </row>
  </sheetData>
  <mergeCells count="2">
    <mergeCell ref="B4:C4"/>
    <mergeCell ref="B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ABA0-AB29-4785-BBF4-58D5EBDA4641}">
  <dimension ref="B1:R57"/>
  <sheetViews>
    <sheetView tabSelected="1" topLeftCell="A16" zoomScale="85" zoomScaleNormal="85" workbookViewId="0">
      <selection activeCell="R35" sqref="R35"/>
    </sheetView>
  </sheetViews>
  <sheetFormatPr defaultRowHeight="14.4" x14ac:dyDescent="0.3"/>
  <cols>
    <col min="1" max="1" width="4" style="40" customWidth="1"/>
    <col min="2" max="2" width="24.33203125" style="40" bestFit="1" customWidth="1"/>
    <col min="3" max="3" width="13.109375" style="40" customWidth="1"/>
    <col min="4" max="5" width="8.88671875" style="40"/>
    <col min="6" max="6" width="11.6640625" style="40" customWidth="1"/>
    <col min="7" max="7" width="13.33203125" style="40" bestFit="1" customWidth="1"/>
    <col min="8" max="10" width="12.21875" style="40" bestFit="1" customWidth="1"/>
    <col min="11" max="13" width="8.88671875" style="40"/>
    <col min="14" max="14" width="11.109375" style="40" customWidth="1"/>
    <col min="15" max="16" width="8.88671875" style="40"/>
    <col min="17" max="18" width="9.44140625" style="40" bestFit="1" customWidth="1"/>
    <col min="19" max="16384" width="8.88671875" style="40"/>
  </cols>
  <sheetData>
    <row r="1" spans="2:18" ht="26.4" x14ac:dyDescent="0.3">
      <c r="B1" s="51" t="s">
        <v>92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3" spans="2:18" x14ac:dyDescent="0.3">
      <c r="B3"/>
      <c r="C3"/>
      <c r="D3"/>
      <c r="E3"/>
      <c r="F3"/>
      <c r="G3"/>
      <c r="H3"/>
      <c r="I3"/>
      <c r="J3" s="37">
        <v>1</v>
      </c>
      <c r="K3" s="37">
        <f>J3+1</f>
        <v>2</v>
      </c>
      <c r="L3" s="37">
        <f>K3+1</f>
        <v>3</v>
      </c>
      <c r="M3" s="37">
        <f>L3+1</f>
        <v>4</v>
      </c>
      <c r="N3" s="37">
        <f>M3+1</f>
        <v>5</v>
      </c>
      <c r="O3" s="37">
        <f>N3+1</f>
        <v>6</v>
      </c>
      <c r="P3" s="37">
        <f>O3+1</f>
        <v>7</v>
      </c>
      <c r="Q3" s="37">
        <f>P3+1</f>
        <v>8</v>
      </c>
      <c r="R3" s="37">
        <f>Q3+1</f>
        <v>9</v>
      </c>
    </row>
    <row r="4" spans="2:18" x14ac:dyDescent="0.3">
      <c r="B4" s="38" t="s">
        <v>25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39"/>
    </row>
    <row r="6" spans="2:18" x14ac:dyDescent="0.3">
      <c r="B6" s="57" t="s">
        <v>31</v>
      </c>
      <c r="D6" s="58">
        <f>'AAPL Income Statement'!C61-'AAPL Income Statement'!C50</f>
        <v>44339</v>
      </c>
      <c r="E6" s="58">
        <f>'AAPL Income Statement'!D61-'AAPL Income Statement'!D50</f>
        <v>45606</v>
      </c>
      <c r="F6" s="58">
        <f>'AAPL Income Statement'!E61-'AAPL Income Statement'!E50</f>
        <v>57526</v>
      </c>
      <c r="G6" s="58">
        <f>'AAPL Income Statement'!F61-'AAPL Income Statement'!F50</f>
        <v>53449</v>
      </c>
      <c r="H6" s="58">
        <f>'AAPL Income Statement'!G61-'AAPL Income Statement'!G50</f>
        <v>56608</v>
      </c>
      <c r="I6" s="58">
        <f>'AAPL Income Statement'!H61-'AAPL Income Statement'!H50</f>
        <v>94422</v>
      </c>
      <c r="J6" s="58">
        <f>'AAPL Income Statement'!I61-'AAPL Income Statement'!I50</f>
        <v>95371.934732233174</v>
      </c>
      <c r="K6" s="58">
        <f>'AAPL Income Statement'!J61-'AAPL Income Statement'!J50</f>
        <v>117695.76218843112</v>
      </c>
      <c r="L6" s="58">
        <f>'AAPL Income Statement'!K61-'AAPL Income Statement'!K50</f>
        <v>144873.49747793071</v>
      </c>
      <c r="M6" s="58">
        <f>'AAPL Income Statement'!L61-'AAPL Income Statement'!L50</f>
        <v>179864.82804111726</v>
      </c>
      <c r="N6" s="58">
        <f>'AAPL Income Statement'!M61-'AAPL Income Statement'!M50</f>
        <v>226504.15307484576</v>
      </c>
      <c r="O6" s="58">
        <f>'AAPL Income Statement'!N61-'AAPL Income Statement'!N50</f>
        <v>289516.96735411126</v>
      </c>
      <c r="P6" s="58">
        <f>'AAPL Income Statement'!O61-'AAPL Income Statement'!O50</f>
        <v>375559.4542019408</v>
      </c>
      <c r="Q6" s="58">
        <f>'AAPL Income Statement'!P61-'AAPL Income Statement'!P50</f>
        <v>500773.28801334556</v>
      </c>
      <c r="R6" s="58">
        <f>'AAPL Income Statement'!Q61-'AAPL Income Statement'!Q50</f>
        <v>678092.69716220989</v>
      </c>
    </row>
    <row r="8" spans="2:18" x14ac:dyDescent="0.3">
      <c r="B8" s="57" t="s">
        <v>32</v>
      </c>
      <c r="D8" s="59">
        <v>10505</v>
      </c>
      <c r="E8" s="59">
        <v>10157</v>
      </c>
      <c r="F8" s="59">
        <v>10903</v>
      </c>
      <c r="G8" s="59">
        <v>12547</v>
      </c>
      <c r="H8" s="59">
        <v>11056</v>
      </c>
      <c r="I8" s="59">
        <v>11284</v>
      </c>
      <c r="J8" s="58">
        <f>J6*J9</f>
        <v>19054.191790300047</v>
      </c>
      <c r="K8" s="58">
        <f>K6*K9</f>
        <v>22172.696074264721</v>
      </c>
      <c r="L8" s="58">
        <f>L6*L9</f>
        <v>25641.392989392447</v>
      </c>
      <c r="M8" s="58">
        <f>M6*M9</f>
        <v>29784.407699225627</v>
      </c>
      <c r="N8" s="58">
        <f>N6*N9</f>
        <v>34925.799642317455</v>
      </c>
      <c r="O8" s="58">
        <f>O6*O9</f>
        <v>41342.050859144249</v>
      </c>
      <c r="P8" s="58">
        <f>P6*P9</f>
        <v>49347.881794964291</v>
      </c>
      <c r="Q8" s="58">
        <f>Q6*Q9</f>
        <v>60092.794561601499</v>
      </c>
      <c r="R8" s="58">
        <f>R6*R9</f>
        <v>81371.123659465185</v>
      </c>
    </row>
    <row r="9" spans="2:18" x14ac:dyDescent="0.3">
      <c r="B9" s="34" t="s">
        <v>36</v>
      </c>
      <c r="C9" s="12"/>
      <c r="D9" s="21">
        <f>D8/D6</f>
        <v>0.23692460362209342</v>
      </c>
      <c r="E9" s="21">
        <f>E8/E6</f>
        <v>0.22271192386966626</v>
      </c>
      <c r="F9" s="21">
        <f>F8/F6</f>
        <v>0.18953169001842646</v>
      </c>
      <c r="G9" s="21">
        <f>G8/G6</f>
        <v>0.23474714213549364</v>
      </c>
      <c r="H9" s="21">
        <f>H8/H6</f>
        <v>0.1953080836630865</v>
      </c>
      <c r="I9" s="21">
        <f>I8/I6</f>
        <v>0.11950604731948063</v>
      </c>
      <c r="J9" s="33">
        <f>AVERAGE(D9:I9)</f>
        <v>0.19978824843804113</v>
      </c>
      <c r="K9" s="33">
        <f>J9-($J$9-$R$9)/('AAPL Income Statement'!$Q$9-'AAPL Income Statement'!$J$9)</f>
        <v>0.1883899272326067</v>
      </c>
      <c r="L9" s="33">
        <f>K9-($J$9-$R$9)/('AAPL Income Statement'!$Q$9-'AAPL Income Statement'!$J$9)</f>
        <v>0.17699160602717226</v>
      </c>
      <c r="M9" s="33">
        <f>L9-($J$9-$R$9)/('AAPL Income Statement'!$Q$9-'AAPL Income Statement'!$J$9)</f>
        <v>0.16559328482173782</v>
      </c>
      <c r="N9" s="33">
        <f>M9-($J$9-$R$9)/('AAPL Income Statement'!$Q$9-'AAPL Income Statement'!$J$9)</f>
        <v>0.15419496361630339</v>
      </c>
      <c r="O9" s="33">
        <f>N9-($J$9-$R$9)/('AAPL Income Statement'!$Q$9-'AAPL Income Statement'!$J$9)</f>
        <v>0.14279664241086895</v>
      </c>
      <c r="P9" s="33">
        <f>O9-($J$9-$R$9)/('AAPL Income Statement'!$Q$9-'AAPL Income Statement'!$J$9)</f>
        <v>0.13139832120543452</v>
      </c>
      <c r="Q9" s="33">
        <f>P9-($J$9-$R$9)/('AAPL Income Statement'!$Q$9-'AAPL Income Statement'!$J$9)</f>
        <v>0.12000000000000006</v>
      </c>
      <c r="R9" s="33">
        <v>0.12</v>
      </c>
    </row>
    <row r="11" spans="2:18" x14ac:dyDescent="0.3">
      <c r="B11" s="1" t="s">
        <v>33</v>
      </c>
      <c r="C11"/>
      <c r="D11" s="16">
        <v>-12734</v>
      </c>
      <c r="E11" s="16">
        <v>-12451</v>
      </c>
      <c r="F11" s="16">
        <v>-13313</v>
      </c>
      <c r="G11" s="16">
        <v>-10495</v>
      </c>
      <c r="H11" s="16">
        <v>-7309</v>
      </c>
      <c r="I11" s="16">
        <v>-11085</v>
      </c>
      <c r="J11" s="10">
        <f>-(J6*J12)</f>
        <v>-19622.845578519762</v>
      </c>
      <c r="K11" s="10">
        <f>-(K6*K12)</f>
        <v>-24215.989464343023</v>
      </c>
      <c r="L11" s="10">
        <f>-(L6*L12)</f>
        <v>-29807.828449858484</v>
      </c>
      <c r="M11" s="10">
        <f>-(M6*M12)</f>
        <v>-37007.320398471391</v>
      </c>
      <c r="N11" s="10">
        <f>-(N6*N12)</f>
        <v>-46603.395759559076</v>
      </c>
      <c r="O11" s="10">
        <f>-(O6*O12)</f>
        <v>-59568.328551806087</v>
      </c>
      <c r="P11" s="10">
        <f>-(P6*P12)</f>
        <v>-77271.63337986829</v>
      </c>
      <c r="Q11" s="10">
        <f>-(Q6*Q12)</f>
        <v>-103034.47159924662</v>
      </c>
      <c r="R11" s="10">
        <f>-(R6*R12)</f>
        <v>-139518.07019218308</v>
      </c>
    </row>
    <row r="12" spans="2:18" x14ac:dyDescent="0.3">
      <c r="B12" s="34" t="s">
        <v>36</v>
      </c>
      <c r="C12"/>
      <c r="D12" s="35">
        <f>-D11/D6</f>
        <v>0.28719637339588172</v>
      </c>
      <c r="E12" s="35">
        <f>-E11/E6</f>
        <v>0.27301232293996403</v>
      </c>
      <c r="F12" s="35">
        <f>-F11/F6</f>
        <v>0.23142579007753017</v>
      </c>
      <c r="G12" s="35">
        <f>-G11/G6</f>
        <v>0.19635540421710415</v>
      </c>
      <c r="H12" s="35">
        <f>-H11/H6</f>
        <v>0.12911602600339175</v>
      </c>
      <c r="I12" s="35">
        <f>-I11/I6</f>
        <v>0.11739848764059224</v>
      </c>
      <c r="J12" s="33">
        <f>AVERAGE(D12:I12)</f>
        <v>0.20575073404574398</v>
      </c>
      <c r="K12" s="33">
        <f>J12</f>
        <v>0.20575073404574398</v>
      </c>
      <c r="L12" s="33">
        <f>K12</f>
        <v>0.20575073404574398</v>
      </c>
      <c r="M12" s="33">
        <f>L12</f>
        <v>0.20575073404574398</v>
      </c>
      <c r="N12" s="33">
        <f>M12</f>
        <v>0.20575073404574398</v>
      </c>
      <c r="O12" s="33">
        <f>N12</f>
        <v>0.20575073404574398</v>
      </c>
      <c r="P12" s="33">
        <f>O12</f>
        <v>0.20575073404574398</v>
      </c>
      <c r="Q12" s="33">
        <f>P12</f>
        <v>0.20575073404574398</v>
      </c>
      <c r="R12" s="33">
        <f>Q12</f>
        <v>0.20575073404574398</v>
      </c>
    </row>
    <row r="14" spans="2:18" x14ac:dyDescent="0.3">
      <c r="B14" s="1" t="s">
        <v>34</v>
      </c>
      <c r="C14"/>
      <c r="D14" s="16">
        <v>405</v>
      </c>
      <c r="E14" s="16">
        <v>-4923</v>
      </c>
      <c r="F14" s="16">
        <v>34694</v>
      </c>
      <c r="G14" s="16">
        <v>-3488</v>
      </c>
      <c r="H14" s="16">
        <v>5690</v>
      </c>
      <c r="I14" s="16">
        <v>-4911</v>
      </c>
      <c r="J14" s="10">
        <f>J15*J6</f>
        <v>871.14354330396338</v>
      </c>
      <c r="K14" s="10">
        <f>K15*K6</f>
        <v>1075.0531966511335</v>
      </c>
      <c r="L14" s="10">
        <f>L15*L6</f>
        <v>1323.2992732935325</v>
      </c>
      <c r="M14" s="10">
        <f>M15*M6</f>
        <v>1642.9160638862511</v>
      </c>
      <c r="N14" s="10">
        <f>N15*N6</f>
        <v>2068.9276256864732</v>
      </c>
      <c r="O14" s="10">
        <f>O15*O6</f>
        <v>2644.4974351793016</v>
      </c>
      <c r="P14" s="10">
        <f>P15*P6</f>
        <v>3430.4242078483053</v>
      </c>
      <c r="Q14" s="10">
        <f>Q15*Q6</f>
        <v>4574.1487549427129</v>
      </c>
      <c r="R14" s="10">
        <f>R15*R6</f>
        <v>6193.8145278579805</v>
      </c>
    </row>
    <row r="15" spans="2:18" x14ac:dyDescent="0.3">
      <c r="B15" s="34" t="s">
        <v>36</v>
      </c>
      <c r="C15"/>
      <c r="D15" s="36">
        <f>D14/D6</f>
        <v>9.1341708202710929E-3</v>
      </c>
      <c r="E15" s="36">
        <f>E14/E6</f>
        <v>-0.10794632285225628</v>
      </c>
      <c r="F15" s="36">
        <f>F14/F6</f>
        <v>0.60310120641101417</v>
      </c>
      <c r="G15" s="36">
        <f>G14/G6</f>
        <v>-6.5258470691687401E-2</v>
      </c>
      <c r="H15" s="36">
        <f>H14/H6</f>
        <v>0.10051582815149802</v>
      </c>
      <c r="I15" s="36">
        <f>I14/I6</f>
        <v>-5.2011183834275908E-2</v>
      </c>
      <c r="J15" s="33">
        <f>D15</f>
        <v>9.1341708202710929E-3</v>
      </c>
      <c r="K15" s="33">
        <f>J15</f>
        <v>9.1341708202710929E-3</v>
      </c>
      <c r="L15" s="33">
        <f>K15</f>
        <v>9.1341708202710929E-3</v>
      </c>
      <c r="M15" s="33">
        <f>L15</f>
        <v>9.1341708202710929E-3</v>
      </c>
      <c r="N15" s="33">
        <f>M15</f>
        <v>9.1341708202710929E-3</v>
      </c>
      <c r="O15" s="33">
        <f>N15</f>
        <v>9.1341708202710929E-3</v>
      </c>
      <c r="P15" s="33">
        <f>O15</f>
        <v>9.1341708202710929E-3</v>
      </c>
      <c r="Q15" s="33">
        <f>P15</f>
        <v>9.1341708202710929E-3</v>
      </c>
      <c r="R15" s="33">
        <f>Q15</f>
        <v>9.1341708202710929E-3</v>
      </c>
    </row>
    <row r="18" spans="2:18" x14ac:dyDescent="0.3">
      <c r="B18" s="1" t="s">
        <v>35</v>
      </c>
      <c r="C18"/>
      <c r="D18" s="15">
        <f>D6+D8+D11+D14</f>
        <v>42515</v>
      </c>
      <c r="E18" s="15">
        <f>E6+E8+E11+E14</f>
        <v>38389</v>
      </c>
      <c r="F18" s="15">
        <f>F6+F8+F11+F14</f>
        <v>89810</v>
      </c>
      <c r="G18" s="15">
        <f>G6+G8+G11+G14</f>
        <v>52013</v>
      </c>
      <c r="H18" s="15">
        <f>H6+H8+H11+H14</f>
        <v>66045</v>
      </c>
      <c r="I18" s="15">
        <f>I6+I8+I11+I14</f>
        <v>89710</v>
      </c>
      <c r="J18" s="15">
        <f>J6+J8+J11+J14</f>
        <v>95674.424487317418</v>
      </c>
      <c r="K18" s="15">
        <f>K6+K8+K11+K14</f>
        <v>116727.52199500395</v>
      </c>
      <c r="L18" s="15">
        <f>L6+L8+L11+L14</f>
        <v>142030.36129075818</v>
      </c>
      <c r="M18" s="15">
        <f>M6+M8+M11+M14</f>
        <v>174284.83140575775</v>
      </c>
      <c r="N18" s="15">
        <f>N6+N8+N11+N14</f>
        <v>216895.48458329061</v>
      </c>
      <c r="O18" s="15">
        <f>O6+O8+O11+O14</f>
        <v>273935.18709662871</v>
      </c>
      <c r="P18" s="15">
        <f>P6+P8+P11+P14</f>
        <v>351066.12682488514</v>
      </c>
      <c r="Q18" s="15">
        <f>Q6+Q8+Q11+Q14</f>
        <v>462405.75973064313</v>
      </c>
      <c r="R18" s="15">
        <f>R6+R8+R11+R14</f>
        <v>626139.56515735004</v>
      </c>
    </row>
    <row r="19" spans="2:18" x14ac:dyDescent="0.3">
      <c r="B19" s="60" t="s">
        <v>49</v>
      </c>
      <c r="J19" s="58">
        <f>J18/(1+'AAPL WACC'!$C$19)^J3</f>
        <v>87565.179005122365</v>
      </c>
      <c r="K19" s="58">
        <f>K18/(1+'AAPL WACC'!$C$19)^K3</f>
        <v>97778.738226884481</v>
      </c>
      <c r="L19" s="58">
        <f>L18/(1+'AAPL WACC'!$C$19)^L3</f>
        <v>108889.98445148232</v>
      </c>
      <c r="M19" s="58">
        <f>M18/(1+'AAPL WACC'!$C$19)^M3</f>
        <v>122293.08928470088</v>
      </c>
      <c r="N19" s="58">
        <f>N18/(1+'AAPL WACC'!$C$19)^N3</f>
        <v>139292.71949754146</v>
      </c>
      <c r="O19" s="58">
        <f>O18/(1+'AAPL WACC'!$C$19)^O3</f>
        <v>161013.13617273865</v>
      </c>
      <c r="P19" s="58">
        <f>P18/(1+'AAPL WACC'!$C$19)^P3</f>
        <v>188859.13543813812</v>
      </c>
      <c r="Q19" s="58">
        <f>Q18/(1+'AAPL WACC'!$C$19)^Q3</f>
        <v>227671.08943329693</v>
      </c>
      <c r="R19" s="58">
        <f>R18/(1+'AAPL WACC'!$C$19)^R3</f>
        <v>282157.35747086088</v>
      </c>
    </row>
    <row r="22" spans="2:18" x14ac:dyDescent="0.3">
      <c r="B22" s="38" t="s">
        <v>50</v>
      </c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39"/>
    </row>
    <row r="23" spans="2:18" ht="15" thickBot="1" x14ac:dyDescent="0.35"/>
    <row r="24" spans="2:18" ht="15" x14ac:dyDescent="0.35">
      <c r="B24" s="49" t="s">
        <v>25</v>
      </c>
      <c r="C24" s="52"/>
    </row>
    <row r="25" spans="2:18" x14ac:dyDescent="0.3">
      <c r="B25" s="66"/>
      <c r="C25" s="53"/>
    </row>
    <row r="26" spans="2:18" x14ac:dyDescent="0.3">
      <c r="B26" s="67" t="s">
        <v>51</v>
      </c>
      <c r="C26" s="68">
        <f>$R$18*(1+TGR)/(WACC-TGR)</f>
        <v>8796019.9115518983</v>
      </c>
    </row>
    <row r="27" spans="2:18" x14ac:dyDescent="0.3">
      <c r="B27" s="69" t="s">
        <v>52</v>
      </c>
      <c r="C27" s="68">
        <f>C26/(1+'AAPL Income Statement'!B6)^R3</f>
        <v>3963751.6499709818</v>
      </c>
    </row>
    <row r="28" spans="2:18" x14ac:dyDescent="0.3">
      <c r="B28" s="69"/>
      <c r="C28" s="68"/>
    </row>
    <row r="29" spans="2:18" x14ac:dyDescent="0.3">
      <c r="B29" s="67" t="s">
        <v>53</v>
      </c>
      <c r="C29" s="68">
        <f>SUM(J19:R19,C27)</f>
        <v>5379272.0789517481</v>
      </c>
    </row>
    <row r="30" spans="2:18" x14ac:dyDescent="0.3">
      <c r="B30" s="70" t="s">
        <v>54</v>
      </c>
      <c r="C30" s="53">
        <f>'AAPL WACC'!C6</f>
        <v>21415</v>
      </c>
    </row>
    <row r="31" spans="2:18" x14ac:dyDescent="0.3">
      <c r="B31" s="70" t="s">
        <v>55</v>
      </c>
      <c r="C31" s="53">
        <v>34940</v>
      </c>
    </row>
    <row r="32" spans="2:18" x14ac:dyDescent="0.3">
      <c r="B32" s="70" t="s">
        <v>43</v>
      </c>
      <c r="C32" s="68">
        <f>C29-C30+C31</f>
        <v>5392797.0789517481</v>
      </c>
    </row>
    <row r="33" spans="2:10" x14ac:dyDescent="0.3">
      <c r="B33" s="70" t="s">
        <v>56</v>
      </c>
      <c r="C33" s="53">
        <v>16635</v>
      </c>
      <c r="F33" s="61" t="s">
        <v>69</v>
      </c>
      <c r="G33" s="61"/>
      <c r="H33" s="61"/>
      <c r="I33" s="61"/>
      <c r="J33" s="61"/>
    </row>
    <row r="34" spans="2:10" x14ac:dyDescent="0.3">
      <c r="B34" s="67" t="s">
        <v>57</v>
      </c>
      <c r="C34" s="71">
        <f>C32/C33</f>
        <v>324.1837739075292</v>
      </c>
      <c r="G34" s="40" t="s">
        <v>70</v>
      </c>
      <c r="H34" s="40" t="s">
        <v>75</v>
      </c>
      <c r="I34" s="40" t="s">
        <v>71</v>
      </c>
    </row>
    <row r="35" spans="2:10" x14ac:dyDescent="0.3">
      <c r="B35" s="70"/>
      <c r="C35" s="53"/>
      <c r="F35" s="40" t="s">
        <v>25</v>
      </c>
      <c r="G35" s="40">
        <v>122.57</v>
      </c>
      <c r="H35" s="62">
        <f>I35-G35</f>
        <v>51.010000000000019</v>
      </c>
      <c r="I35" s="40">
        <v>173.58</v>
      </c>
    </row>
    <row r="36" spans="2:10" x14ac:dyDescent="0.3">
      <c r="B36" s="66" t="s">
        <v>64</v>
      </c>
      <c r="C36" s="53"/>
      <c r="F36" s="40" t="s">
        <v>72</v>
      </c>
      <c r="G36" s="40">
        <v>153.32</v>
      </c>
      <c r="H36" s="62">
        <f>I36-G36</f>
        <v>28.680000000000007</v>
      </c>
      <c r="I36" s="40">
        <v>182</v>
      </c>
    </row>
    <row r="37" spans="2:10" x14ac:dyDescent="0.3">
      <c r="B37" s="70" t="s">
        <v>60</v>
      </c>
      <c r="C37" s="72">
        <v>21.1</v>
      </c>
      <c r="F37" s="40" t="s">
        <v>73</v>
      </c>
      <c r="G37" s="40">
        <v>81.349999999999994</v>
      </c>
      <c r="H37" s="62">
        <f>I37-G37</f>
        <v>80.84</v>
      </c>
      <c r="I37" s="40">
        <v>162.19</v>
      </c>
    </row>
    <row r="38" spans="2:10" x14ac:dyDescent="0.3">
      <c r="B38" s="70" t="s">
        <v>58</v>
      </c>
      <c r="C38" s="68">
        <v>120233</v>
      </c>
      <c r="F38" s="40" t="s">
        <v>74</v>
      </c>
      <c r="G38" s="58">
        <f>C53</f>
        <v>112.59</v>
      </c>
      <c r="H38" s="62">
        <f>I38-G38</f>
        <v>53.109999999999985</v>
      </c>
      <c r="I38" s="58">
        <f>C54</f>
        <v>165.7</v>
      </c>
    </row>
    <row r="39" spans="2:10" x14ac:dyDescent="0.3">
      <c r="B39" s="70" t="s">
        <v>53</v>
      </c>
      <c r="C39" s="73">
        <f>C38*C37</f>
        <v>2536916.3000000003</v>
      </c>
    </row>
    <row r="40" spans="2:10" x14ac:dyDescent="0.3">
      <c r="B40" s="70" t="s">
        <v>54</v>
      </c>
      <c r="C40" s="74">
        <f>'AAPL WACC'!C6</f>
        <v>21415</v>
      </c>
    </row>
    <row r="41" spans="2:10" x14ac:dyDescent="0.3">
      <c r="B41" s="70" t="s">
        <v>55</v>
      </c>
      <c r="C41" s="75">
        <v>34940</v>
      </c>
    </row>
    <row r="42" spans="2:10" x14ac:dyDescent="0.3">
      <c r="B42" s="70" t="s">
        <v>43</v>
      </c>
      <c r="C42" s="68">
        <f>C39-C40+C41</f>
        <v>2550441.3000000003</v>
      </c>
    </row>
    <row r="43" spans="2:10" x14ac:dyDescent="0.3">
      <c r="B43" s="70" t="s">
        <v>56</v>
      </c>
      <c r="C43" s="53">
        <v>16635</v>
      </c>
    </row>
    <row r="44" spans="2:10" x14ac:dyDescent="0.3">
      <c r="B44" s="67" t="s">
        <v>57</v>
      </c>
      <c r="C44" s="71">
        <f>C42/C43</f>
        <v>153.31778178539227</v>
      </c>
    </row>
    <row r="45" spans="2:10" x14ac:dyDescent="0.3">
      <c r="B45" s="67"/>
      <c r="C45" s="71"/>
    </row>
    <row r="46" spans="2:10" x14ac:dyDescent="0.3">
      <c r="B46" s="66" t="s">
        <v>65</v>
      </c>
      <c r="C46" s="71"/>
    </row>
    <row r="47" spans="2:10" x14ac:dyDescent="0.3">
      <c r="B47" s="76" t="s">
        <v>67</v>
      </c>
      <c r="C47" s="77">
        <v>28.91</v>
      </c>
    </row>
    <row r="48" spans="2:10" x14ac:dyDescent="0.3">
      <c r="B48" s="76" t="s">
        <v>68</v>
      </c>
      <c r="C48" s="71">
        <v>5.61</v>
      </c>
    </row>
    <row r="49" spans="2:3" x14ac:dyDescent="0.3">
      <c r="B49" s="67" t="s">
        <v>57</v>
      </c>
      <c r="C49" s="71">
        <f>C47*C48</f>
        <v>162.18510000000001</v>
      </c>
    </row>
    <row r="50" spans="2:3" x14ac:dyDescent="0.3">
      <c r="B50" s="76"/>
      <c r="C50" s="71"/>
    </row>
    <row r="51" spans="2:3" x14ac:dyDescent="0.3">
      <c r="B51" s="70"/>
      <c r="C51" s="53"/>
    </row>
    <row r="52" spans="2:3" x14ac:dyDescent="0.3">
      <c r="B52" s="66" t="s">
        <v>59</v>
      </c>
      <c r="C52" s="53"/>
    </row>
    <row r="53" spans="2:3" x14ac:dyDescent="0.3">
      <c r="B53" s="70" t="s">
        <v>61</v>
      </c>
      <c r="C53" s="68">
        <v>112.59</v>
      </c>
    </row>
    <row r="54" spans="2:3" x14ac:dyDescent="0.3">
      <c r="B54" s="70" t="s">
        <v>62</v>
      </c>
      <c r="C54" s="68">
        <v>165.7</v>
      </c>
    </row>
    <row r="55" spans="2:3" x14ac:dyDescent="0.3">
      <c r="B55" s="67" t="s">
        <v>63</v>
      </c>
      <c r="C55" s="68">
        <f>AVERAGE(C53:C54)</f>
        <v>139.14499999999998</v>
      </c>
    </row>
    <row r="56" spans="2:3" x14ac:dyDescent="0.3">
      <c r="B56" s="70"/>
      <c r="C56" s="53"/>
    </row>
    <row r="57" spans="2:3" ht="15" thickBot="1" x14ac:dyDescent="0.35">
      <c r="B57" s="78" t="s">
        <v>76</v>
      </c>
      <c r="C57" s="79">
        <f>AVERAGE(C34,C44,C49,C55)</f>
        <v>194.70791392323036</v>
      </c>
    </row>
  </sheetData>
  <mergeCells count="5">
    <mergeCell ref="B24:C24"/>
    <mergeCell ref="B22:R22"/>
    <mergeCell ref="B4:R4"/>
    <mergeCell ref="B1:R1"/>
    <mergeCell ref="F33:J3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Overview</vt:lpstr>
      <vt:lpstr>AAPL Income Statement</vt:lpstr>
      <vt:lpstr>AAPL WACC</vt:lpstr>
      <vt:lpstr>AAPL DCF Model</vt:lpstr>
      <vt:lpstr>Case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Driss Baraket</dc:creator>
  <cp:lastModifiedBy>Driss Baraket</cp:lastModifiedBy>
  <dcterms:created xsi:type="dcterms:W3CDTF">2021-11-21T23:38:18Z</dcterms:created>
  <dcterms:modified xsi:type="dcterms:W3CDTF">2022-01-13T08:53:59Z</dcterms:modified>
</cp:coreProperties>
</file>