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anced spreadsheets - Group project\"/>
    </mc:Choice>
  </mc:AlternateContent>
  <xr:revisionPtr revIDLastSave="0" documentId="13_ncr:1_{CAB80166-BDA7-46F0-B09B-AA70A00A52CA}" xr6:coauthVersionLast="47" xr6:coauthVersionMax="47" xr10:uidLastSave="{00000000-0000-0000-0000-000000000000}"/>
  <bookViews>
    <workbookView xWindow="-120" yWindow="-120" windowWidth="20730" windowHeight="11040" tabRatio="844" firstSheet="1" activeTab="4" xr2:uid="{00000000-000D-0000-FFFF-FFFF00000000}"/>
  </bookViews>
  <sheets>
    <sheet name="Index" sheetId="15" r:id="rId1"/>
    <sheet name="Master sheet - Forecasting" sheetId="1" r:id="rId2"/>
    <sheet name="Double exp.smoothening" sheetId="3" r:id="rId3"/>
    <sheet name="Project managemet-Master" sheetId="10" r:id="rId4"/>
    <sheet name="Project management" sheetId="18" r:id="rId5"/>
    <sheet name="Project managemet-Node model" sheetId="11" state="hidden" r:id="rId6"/>
    <sheet name="Project managemet-project crash" sheetId="12" state="hidden" r:id="rId7"/>
    <sheet name="Project managemet-project c (2)" sheetId="19" r:id="rId8"/>
    <sheet name="Construction cost" sheetId="7" r:id="rId9"/>
    <sheet name="Logistic Optimization - Master" sheetId="4" r:id="rId10"/>
    <sheet name="Logistic Optimization-2023" sheetId="5" r:id="rId11"/>
    <sheet name="Logistic Optimization-2040" sheetId="6" r:id="rId12"/>
    <sheet name="Summary sheet" sheetId="17" r:id="rId13"/>
  </sheets>
  <externalReferences>
    <externalReference r:id="rId14"/>
  </externalReferences>
  <definedNames>
    <definedName name="Alpha" localSheetId="7">'[1]Double exp.smoothening'!$B$1</definedName>
    <definedName name="Alpha">'Double exp.smoothening'!$B$1</definedName>
    <definedName name="Buffer_percent" localSheetId="7">'[1]Construction cost'!$B$10</definedName>
    <definedName name="Buffer_percent">'Construction cost'!$B$10</definedName>
    <definedName name="D" localSheetId="7">'Project managemet-project c (2)'!$P$8</definedName>
    <definedName name="D" localSheetId="6">'Project managemet-project crash'!$P$8</definedName>
    <definedName name="D">'Project managemet-Node model'!$P$8</definedName>
    <definedName name="F">'[1]Project managemet-Node model'!$P$8</definedName>
    <definedName name="fixed_order_cost_23" localSheetId="11">'Logistic Optimization-2040'!$B$5</definedName>
    <definedName name="fixed_order_cost_23" localSheetId="7">'[1]Logistic Optimization-2023'!$B$5</definedName>
    <definedName name="fixed_order_cost_23">'Logistic Optimization-2023'!$B$5</definedName>
    <definedName name="MMR_data">'Master sheet - Forecasting'!$A$1:$B$32</definedName>
    <definedName name="Monthly_dist_rate">'Construction cost'!$B$5</definedName>
    <definedName name="n" localSheetId="7">'[1]Logistic Optimization - Master'!$B$13</definedName>
    <definedName name="n">'Logistic Optimization - Master'!$B$13</definedName>
    <definedName name="solver_adj" localSheetId="10" hidden="1">'Logistic Optimization-2023'!$A$13</definedName>
    <definedName name="solver_adj" localSheetId="11" hidden="1">'Logistic Optimization-2040'!$A$13</definedName>
    <definedName name="solver_cvg" localSheetId="10" hidden="1">0.0001</definedName>
    <definedName name="solver_cvg" localSheetId="11" hidden="1">0.0001</definedName>
    <definedName name="solver_drv" localSheetId="10" hidden="1">1</definedName>
    <definedName name="solver_drv" localSheetId="11" hidden="1">1</definedName>
    <definedName name="solver_eng" localSheetId="10" hidden="1">1</definedName>
    <definedName name="solver_eng" localSheetId="11" hidden="1">1</definedName>
    <definedName name="solver_est" localSheetId="10" hidden="1">1</definedName>
    <definedName name="solver_est" localSheetId="11" hidden="1">1</definedName>
    <definedName name="solver_itr" localSheetId="10" hidden="1">2147483647</definedName>
    <definedName name="solver_itr" localSheetId="11" hidden="1">2147483647</definedName>
    <definedName name="solver_lhs1" localSheetId="10" hidden="1">'Logistic Optimization-2023'!$A$13</definedName>
    <definedName name="solver_lhs1" localSheetId="11" hidden="1">'Logistic Optimization-2040'!$A$13</definedName>
    <definedName name="solver_mip" localSheetId="10" hidden="1">2147483647</definedName>
    <definedName name="solver_mip" localSheetId="11" hidden="1">2147483647</definedName>
    <definedName name="solver_mni" localSheetId="10" hidden="1">30</definedName>
    <definedName name="solver_mni" localSheetId="11" hidden="1">30</definedName>
    <definedName name="solver_mrt" localSheetId="10" hidden="1">0.075</definedName>
    <definedName name="solver_mrt" localSheetId="11" hidden="1">0.075</definedName>
    <definedName name="solver_msl" localSheetId="10" hidden="1">2</definedName>
    <definedName name="solver_msl" localSheetId="11" hidden="1">2</definedName>
    <definedName name="solver_neg" localSheetId="10" hidden="1">1</definedName>
    <definedName name="solver_neg" localSheetId="11" hidden="1">1</definedName>
    <definedName name="solver_nod" localSheetId="10" hidden="1">2147483647</definedName>
    <definedName name="solver_nod" localSheetId="11" hidden="1">2147483647</definedName>
    <definedName name="solver_num" localSheetId="10" hidden="1">0</definedName>
    <definedName name="solver_num" localSheetId="11" hidden="1">0</definedName>
    <definedName name="solver_nwt" localSheetId="10" hidden="1">1</definedName>
    <definedName name="solver_nwt" localSheetId="11" hidden="1">1</definedName>
    <definedName name="solver_opt" localSheetId="10" hidden="1">'Logistic Optimization-2023'!$H$13</definedName>
    <definedName name="solver_opt" localSheetId="11" hidden="1">'Logistic Optimization-2040'!$H$13</definedName>
    <definedName name="solver_pre" localSheetId="10" hidden="1">0.000001</definedName>
    <definedName name="solver_pre" localSheetId="11" hidden="1">0.000001</definedName>
    <definedName name="solver_rbv" localSheetId="10" hidden="1">1</definedName>
    <definedName name="solver_rbv" localSheetId="11" hidden="1">1</definedName>
    <definedName name="solver_rel1" localSheetId="10" hidden="1">3</definedName>
    <definedName name="solver_rel1" localSheetId="11" hidden="1">3</definedName>
    <definedName name="solver_rhs1" localSheetId="10" hidden="1">0</definedName>
    <definedName name="solver_rhs1" localSheetId="11" hidden="1">0</definedName>
    <definedName name="solver_rlx" localSheetId="10" hidden="1">2</definedName>
    <definedName name="solver_rlx" localSheetId="11" hidden="1">2</definedName>
    <definedName name="solver_rsd" localSheetId="10" hidden="1">0</definedName>
    <definedName name="solver_rsd" localSheetId="11" hidden="1">0</definedName>
    <definedName name="solver_scl" localSheetId="10" hidden="1">1</definedName>
    <definedName name="solver_scl" localSheetId="11" hidden="1">1</definedName>
    <definedName name="solver_sho" localSheetId="10" hidden="1">2</definedName>
    <definedName name="solver_sho" localSheetId="11" hidden="1">2</definedName>
    <definedName name="solver_ssz" localSheetId="10" hidden="1">100</definedName>
    <definedName name="solver_ssz" localSheetId="11" hidden="1">100</definedName>
    <definedName name="solver_tim" localSheetId="10" hidden="1">2147483647</definedName>
    <definedName name="solver_tim" localSheetId="11" hidden="1">2147483647</definedName>
    <definedName name="solver_tol" localSheetId="10" hidden="1">0.01</definedName>
    <definedName name="solver_tol" localSheetId="11" hidden="1">0.01</definedName>
    <definedName name="solver_typ" localSheetId="10" hidden="1">2</definedName>
    <definedName name="solver_typ" localSheetId="11" hidden="1">2</definedName>
    <definedName name="solver_val" localSheetId="10" hidden="1">0</definedName>
    <definedName name="solver_val" localSheetId="11" hidden="1">0</definedName>
    <definedName name="solver_ver" localSheetId="10" hidden="1">3</definedName>
    <definedName name="solver_ver" localSheetId="1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/>
  <c r="K21" i="19"/>
  <c r="T15" i="19"/>
  <c r="I8" i="19"/>
  <c r="G7" i="19" a="1"/>
  <c r="U12" i="19" s="1"/>
  <c r="F7" i="19" a="1"/>
  <c r="I15" i="19" s="1"/>
  <c r="E7" i="19" a="1"/>
  <c r="H13" i="19" s="1"/>
  <c r="V24" i="19" s="1"/>
  <c r="D7" i="19" a="1"/>
  <c r="C7" i="19" a="1"/>
  <c r="C7" i="19" s="1"/>
  <c r="B7" i="19" a="1"/>
  <c r="M32" i="19" s="1"/>
  <c r="D3" i="19"/>
  <c r="P8" i="19" s="1"/>
  <c r="I11" i="19" l="1"/>
  <c r="I12" i="19"/>
  <c r="G7" i="19"/>
  <c r="E7" i="19"/>
  <c r="I9" i="19"/>
  <c r="H14" i="19"/>
  <c r="V35" i="19" s="1"/>
  <c r="I10" i="19"/>
  <c r="I14" i="19"/>
  <c r="D35" i="19"/>
  <c r="I13" i="19"/>
  <c r="U14" i="19"/>
  <c r="H16" i="19"/>
  <c r="Q27" i="19"/>
  <c r="AD28" i="19"/>
  <c r="H32" i="19"/>
  <c r="B7" i="19"/>
  <c r="D29" i="19" s="1"/>
  <c r="D7" i="19"/>
  <c r="F7" i="19"/>
  <c r="I7" i="19" s="1"/>
  <c r="U8" i="19"/>
  <c r="U9" i="19"/>
  <c r="U10" i="19"/>
  <c r="U11" i="19"/>
  <c r="U13" i="19"/>
  <c r="H15" i="19"/>
  <c r="Z29" i="19" s="1"/>
  <c r="I16" i="19"/>
  <c r="V23" i="19"/>
  <c r="V34" i="19"/>
  <c r="Q37" i="19"/>
  <c r="H8" i="19"/>
  <c r="D36" i="19" s="1"/>
  <c r="E34" i="19" s="1"/>
  <c r="H9" i="19"/>
  <c r="H33" i="19" s="1"/>
  <c r="H10" i="19"/>
  <c r="M33" i="19" s="1"/>
  <c r="H11" i="19"/>
  <c r="Q28" i="19" s="1"/>
  <c r="H12" i="19"/>
  <c r="Q38" i="19" s="1"/>
  <c r="Z28" i="19"/>
  <c r="H7" i="19" l="1"/>
  <c r="D30" i="19" s="1"/>
  <c r="E28" i="19" s="1"/>
  <c r="T16" i="19"/>
  <c r="G31" i="19"/>
  <c r="I31" i="19" s="1"/>
  <c r="L31" i="19" s="1"/>
  <c r="N31" i="19" s="1"/>
  <c r="P36" i="19" l="1"/>
  <c r="R36" i="19" s="1"/>
  <c r="P26" i="19"/>
  <c r="R26" i="19" s="1"/>
  <c r="U22" i="19" l="1"/>
  <c r="W22" i="19" s="1"/>
  <c r="U33" i="19"/>
  <c r="W33" i="19" s="1"/>
  <c r="Y27" i="19" l="1"/>
  <c r="AA27" i="19" s="1"/>
  <c r="AC27" i="19" s="1"/>
  <c r="AE27" i="19" s="1"/>
  <c r="AE29" i="19" s="1"/>
  <c r="AC29" i="19" s="1"/>
  <c r="AA29" i="19" s="1"/>
  <c r="Y29" i="19" s="1"/>
  <c r="AC28" i="19"/>
  <c r="J16" i="19" s="1"/>
  <c r="K16" i="19" s="1"/>
  <c r="W35" i="19" l="1"/>
  <c r="U35" i="19" s="1"/>
  <c r="U34" i="19" s="1"/>
  <c r="J14" i="19" s="1"/>
  <c r="K14" i="19" s="1"/>
  <c r="Y28" i="19"/>
  <c r="J15" i="19" s="1"/>
  <c r="K15" i="19" s="1"/>
  <c r="W24" i="19"/>
  <c r="U24" i="19" s="1"/>
  <c r="M16" i="19"/>
  <c r="L16" i="19"/>
  <c r="R38" i="19" l="1"/>
  <c r="P38" i="19" s="1"/>
  <c r="P37" i="19" s="1"/>
  <c r="J12" i="19" s="1"/>
  <c r="K12" i="19" s="1"/>
  <c r="R28" i="19"/>
  <c r="P28" i="19" s="1"/>
  <c r="U23" i="19"/>
  <c r="J13" i="19" s="1"/>
  <c r="K13" i="19" s="1"/>
  <c r="M15" i="19"/>
  <c r="L15" i="19"/>
  <c r="L14" i="19"/>
  <c r="M14" i="19"/>
  <c r="M13" i="19" l="1"/>
  <c r="L13" i="19"/>
  <c r="N33" i="19"/>
  <c r="L33" i="19" s="1"/>
  <c r="P27" i="19"/>
  <c r="J11" i="19" s="1"/>
  <c r="K11" i="19" s="1"/>
  <c r="L12" i="19"/>
  <c r="M12" i="19"/>
  <c r="L11" i="19" l="1"/>
  <c r="M11" i="19"/>
  <c r="I33" i="19"/>
  <c r="G33" i="19" s="1"/>
  <c r="L32" i="19"/>
  <c r="J10" i="19" s="1"/>
  <c r="K10" i="19" s="1"/>
  <c r="L10" i="19" l="1"/>
  <c r="M10" i="19"/>
  <c r="E30" i="19"/>
  <c r="C30" i="19" s="1"/>
  <c r="C29" i="19" s="1"/>
  <c r="J7" i="19" s="1"/>
  <c r="K7" i="19" s="1"/>
  <c r="E36" i="19"/>
  <c r="C36" i="19" s="1"/>
  <c r="C35" i="19" s="1"/>
  <c r="J8" i="19" s="1"/>
  <c r="K8" i="19" s="1"/>
  <c r="G32" i="19"/>
  <c r="J9" i="19" s="1"/>
  <c r="K9" i="19" s="1"/>
  <c r="M7" i="19" l="1"/>
  <c r="L7" i="19"/>
  <c r="L8" i="19"/>
  <c r="M8" i="19"/>
  <c r="L9" i="19"/>
  <c r="M9" i="19"/>
  <c r="L17" i="19" l="1"/>
  <c r="P9" i="19" s="1"/>
  <c r="P11" i="19" s="1"/>
  <c r="P12" i="19" s="1"/>
  <c r="Q12" i="19" s="1"/>
  <c r="M17" i="19"/>
  <c r="P10" i="19" s="1"/>
  <c r="G13" i="6" l="1"/>
  <c r="A15" i="4"/>
  <c r="K69" i="18"/>
  <c r="L68" i="18"/>
  <c r="L67" i="18"/>
  <c r="L66" i="18"/>
  <c r="L65" i="18"/>
  <c r="L64" i="18"/>
  <c r="L63" i="18"/>
  <c r="L62" i="18"/>
  <c r="L70" i="18" s="1"/>
  <c r="Y51" i="18"/>
  <c r="O46" i="18"/>
  <c r="T35" i="18"/>
  <c r="S35" i="18"/>
  <c r="U19" i="18"/>
  <c r="K12" i="18"/>
  <c r="J12" i="18"/>
  <c r="AC51" i="18" s="1"/>
  <c r="K11" i="18"/>
  <c r="J11" i="18"/>
  <c r="Y24" i="18" s="1"/>
  <c r="K10" i="18"/>
  <c r="J10" i="18"/>
  <c r="U56" i="18" s="1"/>
  <c r="K9" i="18"/>
  <c r="J9" i="18"/>
  <c r="U46" i="18" s="1"/>
  <c r="K8" i="18"/>
  <c r="J8" i="18"/>
  <c r="O29" i="18" s="1"/>
  <c r="K7" i="18"/>
  <c r="J7" i="18"/>
  <c r="O19" i="18" s="1"/>
  <c r="K6" i="18"/>
  <c r="J6" i="18"/>
  <c r="K24" i="18" s="1"/>
  <c r="R5" i="18"/>
  <c r="K5" i="18"/>
  <c r="J5" i="18"/>
  <c r="G24" i="18" s="1"/>
  <c r="K4" i="18"/>
  <c r="J4" i="18"/>
  <c r="C29" i="18" s="1"/>
  <c r="D27" i="18" s="1"/>
  <c r="K3" i="18"/>
  <c r="J3" i="18"/>
  <c r="C19" i="18" s="1"/>
  <c r="D17" i="18" s="1"/>
  <c r="F22" i="18" l="1"/>
  <c r="H22" i="18" s="1"/>
  <c r="J22" i="18" s="1"/>
  <c r="L22" i="18" s="1"/>
  <c r="U29" i="18"/>
  <c r="C46" i="18"/>
  <c r="D44" i="18" s="1"/>
  <c r="K51" i="18"/>
  <c r="O56" i="18"/>
  <c r="G51" i="18"/>
  <c r="C56" i="18"/>
  <c r="D54" i="18" s="1"/>
  <c r="AC24" i="18"/>
  <c r="F49" i="18" l="1"/>
  <c r="H49" i="18" s="1"/>
  <c r="J49" i="18" s="1"/>
  <c r="L49" i="18" s="1"/>
  <c r="N27" i="18"/>
  <c r="P27" i="18" s="1"/>
  <c r="T27" i="18" s="1"/>
  <c r="V27" i="18" s="1"/>
  <c r="N17" i="18"/>
  <c r="P17" i="18" s="1"/>
  <c r="T17" i="18" l="1"/>
  <c r="V17" i="18" s="1"/>
  <c r="X22" i="18" s="1"/>
  <c r="Z22" i="18" s="1"/>
  <c r="AB22" i="18" s="1"/>
  <c r="AD22" i="18" s="1"/>
  <c r="AD24" i="18" s="1"/>
  <c r="N54" i="18"/>
  <c r="P54" i="18" s="1"/>
  <c r="T54" i="18" s="1"/>
  <c r="V54" i="18" s="1"/>
  <c r="N44" i="18"/>
  <c r="P44" i="18" s="1"/>
  <c r="T44" i="18" s="1"/>
  <c r="V44" i="18" s="1"/>
  <c r="X49" i="18" s="1"/>
  <c r="Z49" i="18" s="1"/>
  <c r="AB49" i="18" s="1"/>
  <c r="AD49" i="18" s="1"/>
  <c r="AD51" i="18" s="1"/>
  <c r="AB51" i="18" s="1"/>
  <c r="AB50" i="18" l="1"/>
  <c r="Z51" i="18"/>
  <c r="X51" i="18" s="1"/>
  <c r="K71" i="18"/>
  <c r="AB24" i="18"/>
  <c r="Z24" i="18" l="1"/>
  <c r="X24" i="18" s="1"/>
  <c r="AB23" i="18"/>
  <c r="L12" i="18" s="1"/>
  <c r="X50" i="18"/>
  <c r="V46" i="18"/>
  <c r="T46" i="18" s="1"/>
  <c r="V56" i="18"/>
  <c r="T56" i="18" s="1"/>
  <c r="T55" i="18" s="1"/>
  <c r="X23" i="18" l="1"/>
  <c r="L11" i="18" s="1"/>
  <c r="V29" i="18"/>
  <c r="T29" i="18" s="1"/>
  <c r="T28" i="18" s="1"/>
  <c r="L10" i="18" s="1"/>
  <c r="V19" i="18"/>
  <c r="T19" i="18" s="1"/>
  <c r="T45" i="18"/>
  <c r="P56" i="18"/>
  <c r="N56" i="18" s="1"/>
  <c r="N55" i="18" s="1"/>
  <c r="P46" i="18"/>
  <c r="N46" i="18" s="1"/>
  <c r="M12" i="18"/>
  <c r="O12" i="18"/>
  <c r="N12" i="18"/>
  <c r="P29" i="18" l="1"/>
  <c r="N29" i="18" s="1"/>
  <c r="N28" i="18" s="1"/>
  <c r="L8" i="18" s="1"/>
  <c r="T18" i="18"/>
  <c r="L9" i="18" s="1"/>
  <c r="P19" i="18"/>
  <c r="N19" i="18" s="1"/>
  <c r="L51" i="18"/>
  <c r="J51" i="18" s="1"/>
  <c r="N45" i="18"/>
  <c r="M10" i="18"/>
  <c r="O10" i="18"/>
  <c r="N10" i="18"/>
  <c r="O11" i="18"/>
  <c r="N11" i="18"/>
  <c r="M11" i="18"/>
  <c r="H51" i="18" l="1"/>
  <c r="F51" i="18" s="1"/>
  <c r="J50" i="18"/>
  <c r="L24" i="18"/>
  <c r="J24" i="18" s="1"/>
  <c r="N18" i="18"/>
  <c r="L7" i="18" s="1"/>
  <c r="O9" i="18"/>
  <c r="M9" i="18"/>
  <c r="N9" i="18"/>
  <c r="O8" i="18"/>
  <c r="N8" i="18"/>
  <c r="M8" i="18"/>
  <c r="N7" i="18" l="1"/>
  <c r="M7" i="18"/>
  <c r="O7" i="18"/>
  <c r="J23" i="18"/>
  <c r="L6" i="18" s="1"/>
  <c r="H24" i="18"/>
  <c r="F24" i="18" s="1"/>
  <c r="D56" i="18"/>
  <c r="B56" i="18" s="1"/>
  <c r="B55" i="18" s="1"/>
  <c r="D46" i="18"/>
  <c r="B46" i="18" s="1"/>
  <c r="B45" i="18" s="1"/>
  <c r="F50" i="18"/>
  <c r="D19" i="18" l="1"/>
  <c r="B19" i="18" s="1"/>
  <c r="B18" i="18" s="1"/>
  <c r="L3" i="18" s="1"/>
  <c r="F23" i="18"/>
  <c r="L5" i="18" s="1"/>
  <c r="D29" i="18"/>
  <c r="B29" i="18" s="1"/>
  <c r="B28" i="18" s="1"/>
  <c r="L4" i="18" s="1"/>
  <c r="O6" i="18"/>
  <c r="M6" i="18"/>
  <c r="N6" i="18"/>
  <c r="M4" i="18" l="1"/>
  <c r="N4" i="18"/>
  <c r="O4" i="18"/>
  <c r="O5" i="18"/>
  <c r="N5" i="18"/>
  <c r="M5" i="18"/>
  <c r="O3" i="18"/>
  <c r="N3" i="18"/>
  <c r="M3" i="18"/>
  <c r="N13" i="18" l="1"/>
  <c r="O13" i="18"/>
  <c r="O14" i="18" s="1"/>
  <c r="S32" i="18" l="1"/>
  <c r="S33" i="18" s="1"/>
  <c r="Q13" i="18"/>
  <c r="R13" i="18"/>
  <c r="R7" i="18"/>
  <c r="R8" i="18" s="1"/>
  <c r="R9" i="18" s="1"/>
  <c r="S39" i="18" s="1"/>
  <c r="T36" i="18" l="1"/>
  <c r="R14" i="18"/>
  <c r="T37" i="18" s="1"/>
  <c r="S36" i="18"/>
  <c r="Q14" i="18"/>
  <c r="S37" i="18" s="1"/>
  <c r="H9" i="12"/>
  <c r="H8" i="12"/>
  <c r="H10" i="12"/>
  <c r="H13" i="12"/>
  <c r="H11" i="12"/>
  <c r="H15" i="12"/>
  <c r="H16" i="12"/>
  <c r="H7" i="12"/>
  <c r="U14" i="12"/>
  <c r="U13" i="12"/>
  <c r="U12" i="12"/>
  <c r="T15" i="12"/>
  <c r="U11" i="12"/>
  <c r="U10" i="12"/>
  <c r="P16" i="11" a="1"/>
  <c r="P16" i="11" s="1"/>
  <c r="P15" i="11"/>
  <c r="K16" i="5"/>
  <c r="K16" i="6"/>
  <c r="U9" i="12"/>
  <c r="U8" i="12"/>
  <c r="T16" i="12" s="1"/>
  <c r="C16" i="7"/>
  <c r="K22" i="11"/>
  <c r="L17" i="11"/>
  <c r="P9" i="11"/>
  <c r="E13" i="4"/>
  <c r="B13" i="4"/>
  <c r="N13" i="3"/>
  <c r="N14" i="3" s="1"/>
  <c r="N15" i="3" s="1" a="1"/>
  <c r="N15" i="3" s="1"/>
  <c r="B1" i="3" s="1"/>
  <c r="L3" i="3" l="1"/>
  <c r="H9" i="17" s="1"/>
  <c r="P8" i="11"/>
  <c r="E16" i="4"/>
  <c r="B16" i="4"/>
  <c r="B16" i="7"/>
  <c r="B18" i="7" s="1"/>
  <c r="G21" i="7"/>
  <c r="C20" i="7"/>
  <c r="H12" i="12"/>
  <c r="Z29" i="12"/>
  <c r="Q37" i="12"/>
  <c r="V34" i="12"/>
  <c r="Z28" i="12"/>
  <c r="V23" i="12"/>
  <c r="I16" i="12"/>
  <c r="I14" i="12"/>
  <c r="I13" i="12"/>
  <c r="I12" i="12"/>
  <c r="I9" i="12"/>
  <c r="I8" i="12"/>
  <c r="G7" i="12" a="1"/>
  <c r="G7" i="12" s="1"/>
  <c r="F7" i="12" a="1"/>
  <c r="I15" i="12" s="1"/>
  <c r="E7" i="12" a="1"/>
  <c r="D7" i="12" a="1"/>
  <c r="H14" i="12" s="1"/>
  <c r="V35" i="12" s="1"/>
  <c r="C7" i="12" a="1"/>
  <c r="C7" i="12" s="1"/>
  <c r="B7" i="12" a="1"/>
  <c r="H32" i="12" s="1"/>
  <c r="D3" i="12"/>
  <c r="P14" i="11"/>
  <c r="P13" i="11"/>
  <c r="P11" i="11"/>
  <c r="P12" i="11" s="1"/>
  <c r="Q12" i="11" s="1"/>
  <c r="P10" i="11"/>
  <c r="D3" i="11"/>
  <c r="K26" i="11"/>
  <c r="K25" i="11"/>
  <c r="K19" i="11"/>
  <c r="K24" i="11"/>
  <c r="K23" i="11"/>
  <c r="K21" i="11"/>
  <c r="I7" i="11"/>
  <c r="M8" i="11"/>
  <c r="H8" i="11"/>
  <c r="H9" i="11"/>
  <c r="H10" i="11"/>
  <c r="H11" i="11"/>
  <c r="H12" i="11"/>
  <c r="H13" i="11"/>
  <c r="H14" i="11"/>
  <c r="H15" i="11"/>
  <c r="H16" i="11"/>
  <c r="H7" i="11"/>
  <c r="D35" i="11"/>
  <c r="V34" i="11"/>
  <c r="H32" i="11"/>
  <c r="G7" i="11" a="1"/>
  <c r="G7" i="11" s="1"/>
  <c r="F7" i="11" a="1"/>
  <c r="F7" i="11" s="1"/>
  <c r="E7" i="11" a="1"/>
  <c r="E7" i="11" s="1"/>
  <c r="D7" i="11" a="1"/>
  <c r="D7" i="11" s="1"/>
  <c r="D30" i="11" s="1"/>
  <c r="E28" i="11" s="1"/>
  <c r="C7" i="11" a="1"/>
  <c r="C7" i="11" s="1"/>
  <c r="B7" i="11" a="1"/>
  <c r="B7" i="11" s="1"/>
  <c r="D29" i="11" s="1"/>
  <c r="Q28" i="12" l="1"/>
  <c r="E7" i="12"/>
  <c r="V24" i="12"/>
  <c r="Q38" i="12"/>
  <c r="D36" i="12"/>
  <c r="E34" i="12" s="1"/>
  <c r="M33" i="12"/>
  <c r="I11" i="12"/>
  <c r="Q27" i="12"/>
  <c r="AD28" i="12"/>
  <c r="D35" i="12"/>
  <c r="M32" i="12"/>
  <c r="B7" i="12"/>
  <c r="D29" i="12" s="1"/>
  <c r="D7" i="12"/>
  <c r="F7" i="12"/>
  <c r="I7" i="12" s="1"/>
  <c r="H33" i="12"/>
  <c r="I10" i="12"/>
  <c r="M32" i="11"/>
  <c r="V23" i="11"/>
  <c r="H33" i="11"/>
  <c r="I15" i="11"/>
  <c r="AD29" i="11"/>
  <c r="I14" i="11"/>
  <c r="Q27" i="11"/>
  <c r="Z28" i="11"/>
  <c r="Z29" i="11"/>
  <c r="Q28" i="11"/>
  <c r="I13" i="11"/>
  <c r="I9" i="11"/>
  <c r="V24" i="11"/>
  <c r="I11" i="11"/>
  <c r="Q38" i="11"/>
  <c r="D36" i="11"/>
  <c r="E34" i="11" s="1"/>
  <c r="G31" i="11" s="1"/>
  <c r="I10" i="11"/>
  <c r="Q37" i="11"/>
  <c r="AD28" i="11"/>
  <c r="V35" i="11"/>
  <c r="M33" i="11"/>
  <c r="I16" i="11"/>
  <c r="I12" i="11"/>
  <c r="I8" i="11"/>
  <c r="D30" i="12" l="1"/>
  <c r="E28" i="12" s="1"/>
  <c r="I31" i="11"/>
  <c r="L31" i="11" s="1"/>
  <c r="N31" i="11" s="1"/>
  <c r="P36" i="11" s="1"/>
  <c r="R36" i="11" s="1"/>
  <c r="G31" i="12" l="1"/>
  <c r="I31" i="12" s="1"/>
  <c r="L31" i="12" s="1"/>
  <c r="N31" i="12" s="1"/>
  <c r="P26" i="11"/>
  <c r="R26" i="11" s="1"/>
  <c r="U22" i="11" s="1"/>
  <c r="W22" i="11" s="1"/>
  <c r="Y27" i="11" s="1"/>
  <c r="AA27" i="11" s="1"/>
  <c r="AC27" i="11" s="1"/>
  <c r="AE27" i="11" s="1"/>
  <c r="AE29" i="11" s="1"/>
  <c r="AC29" i="11" s="1"/>
  <c r="U33" i="11"/>
  <c r="W33" i="11" s="1"/>
  <c r="P26" i="12" l="1"/>
  <c r="R26" i="12" s="1"/>
  <c r="P36" i="12"/>
  <c r="R36" i="12" s="1"/>
  <c r="AC28" i="11"/>
  <c r="J16" i="11" s="1"/>
  <c r="K16" i="11" s="1"/>
  <c r="AA29" i="11"/>
  <c r="Y29" i="11" s="1"/>
  <c r="U22" i="12" l="1"/>
  <c r="W22" i="12" s="1"/>
  <c r="U33" i="12"/>
  <c r="W33" i="12" s="1"/>
  <c r="W24" i="11"/>
  <c r="U24" i="11" s="1"/>
  <c r="W35" i="11"/>
  <c r="U35" i="11" s="1"/>
  <c r="U34" i="11" s="1"/>
  <c r="J14" i="11" s="1"/>
  <c r="K14" i="11" s="1"/>
  <c r="Y28" i="11"/>
  <c r="J15" i="11" s="1"/>
  <c r="K15" i="11" s="1"/>
  <c r="M16" i="11"/>
  <c r="L16" i="11"/>
  <c r="Y27" i="12" l="1"/>
  <c r="AA27" i="12" s="1"/>
  <c r="AC27" i="12" s="1"/>
  <c r="AE27" i="12" s="1"/>
  <c r="L15" i="11"/>
  <c r="M15" i="11"/>
  <c r="M14" i="11"/>
  <c r="L14" i="11"/>
  <c r="R28" i="11"/>
  <c r="P28" i="11" s="1"/>
  <c r="U23" i="11"/>
  <c r="J13" i="11" s="1"/>
  <c r="K13" i="11" s="1"/>
  <c r="R38" i="11"/>
  <c r="P38" i="11" s="1"/>
  <c r="P37" i="11" s="1"/>
  <c r="J12" i="11" s="1"/>
  <c r="K12" i="11" s="1"/>
  <c r="AE29" i="12" l="1"/>
  <c r="M12" i="11"/>
  <c r="L12" i="11"/>
  <c r="L13" i="11"/>
  <c r="M13" i="11"/>
  <c r="N33" i="11"/>
  <c r="L33" i="11" s="1"/>
  <c r="P27" i="11"/>
  <c r="J11" i="11" s="1"/>
  <c r="K11" i="11" s="1"/>
  <c r="AC29" i="12" l="1"/>
  <c r="L11" i="11"/>
  <c r="M11" i="11"/>
  <c r="I33" i="11"/>
  <c r="G33" i="11" s="1"/>
  <c r="L32" i="11"/>
  <c r="J10" i="11" s="1"/>
  <c r="K10" i="11" s="1"/>
  <c r="AA29" i="12" l="1"/>
  <c r="Y29" i="12" s="1"/>
  <c r="AC28" i="12"/>
  <c r="J16" i="12" s="1"/>
  <c r="K16" i="12" s="1"/>
  <c r="L10" i="11"/>
  <c r="M10" i="11"/>
  <c r="E36" i="11"/>
  <c r="C36" i="11" s="1"/>
  <c r="C35" i="11" s="1"/>
  <c r="J8" i="11" s="1"/>
  <c r="K8" i="11" s="1"/>
  <c r="E30" i="11"/>
  <c r="C30" i="11" s="1"/>
  <c r="C29" i="11" s="1"/>
  <c r="J7" i="11" s="1"/>
  <c r="K7" i="11" s="1"/>
  <c r="G32" i="11"/>
  <c r="J9" i="11" s="1"/>
  <c r="K9" i="11" s="1"/>
  <c r="M16" i="12" l="1"/>
  <c r="L16" i="12"/>
  <c r="Y28" i="12"/>
  <c r="J15" i="12" s="1"/>
  <c r="K15" i="12" s="1"/>
  <c r="W35" i="12"/>
  <c r="U35" i="12" s="1"/>
  <c r="U34" i="12" s="1"/>
  <c r="J14" i="12" s="1"/>
  <c r="K14" i="12" s="1"/>
  <c r="W24" i="12"/>
  <c r="U24" i="12" s="1"/>
  <c r="L7" i="11"/>
  <c r="M7" i="11"/>
  <c r="L8" i="11"/>
  <c r="L9" i="11"/>
  <c r="M9" i="11"/>
  <c r="M15" i="12" l="1"/>
  <c r="L15" i="12"/>
  <c r="L14" i="12"/>
  <c r="M14" i="12"/>
  <c r="R38" i="12"/>
  <c r="P38" i="12" s="1"/>
  <c r="P37" i="12" s="1"/>
  <c r="J12" i="12" s="1"/>
  <c r="K12" i="12" s="1"/>
  <c r="U23" i="12"/>
  <c r="J13" i="12" s="1"/>
  <c r="K13" i="12" s="1"/>
  <c r="R28" i="12"/>
  <c r="P28" i="12" s="1"/>
  <c r="M17" i="11"/>
  <c r="K20" i="11" s="1"/>
  <c r="M13" i="12" l="1"/>
  <c r="L13" i="12"/>
  <c r="N33" i="12"/>
  <c r="L33" i="12" s="1"/>
  <c r="P27" i="12"/>
  <c r="J11" i="12" s="1"/>
  <c r="K11" i="12" s="1"/>
  <c r="L12" i="12"/>
  <c r="M12" i="12"/>
  <c r="B21" i="7"/>
  <c r="G22" i="7" l="1"/>
  <c r="G23" i="7" s="1"/>
  <c r="H21" i="7"/>
  <c r="H22" i="7"/>
  <c r="M11" i="12"/>
  <c r="L11" i="12"/>
  <c r="I33" i="12"/>
  <c r="G33" i="12" s="1"/>
  <c r="L32" i="12"/>
  <c r="J10" i="12" s="1"/>
  <c r="K10" i="12" s="1"/>
  <c r="B23" i="7"/>
  <c r="B21" i="4"/>
  <c r="H23" i="7" l="1"/>
  <c r="M10" i="12"/>
  <c r="L10" i="12"/>
  <c r="E30" i="12"/>
  <c r="C30" i="12" s="1"/>
  <c r="C29" i="12" s="1"/>
  <c r="J7" i="12" s="1"/>
  <c r="K7" i="12" s="1"/>
  <c r="E36" i="12"/>
  <c r="C36" i="12" s="1"/>
  <c r="C35" i="12" s="1"/>
  <c r="J8" i="12" s="1"/>
  <c r="K8" i="12" s="1"/>
  <c r="G32" i="12"/>
  <c r="J9" i="12" s="1"/>
  <c r="K9" i="12" s="1"/>
  <c r="M7" i="12" l="1"/>
  <c r="L7" i="12"/>
  <c r="M8" i="12"/>
  <c r="L8" i="12"/>
  <c r="L9" i="12"/>
  <c r="M9" i="12"/>
  <c r="B4" i="6"/>
  <c r="C99" i="6" s="1"/>
  <c r="L17" i="12" l="1"/>
  <c r="M17" i="12"/>
  <c r="C16" i="6"/>
  <c r="C43" i="6"/>
  <c r="C42" i="6"/>
  <c r="C29" i="6"/>
  <c r="C32" i="6"/>
  <c r="C87" i="6"/>
  <c r="C15" i="6"/>
  <c r="C13" i="6"/>
  <c r="C51" i="6"/>
  <c r="C47" i="6"/>
  <c r="C62" i="6"/>
  <c r="C30" i="6"/>
  <c r="C46" i="6"/>
  <c r="C90" i="6"/>
  <c r="C33" i="6"/>
  <c r="C49" i="6"/>
  <c r="C20" i="6"/>
  <c r="C36" i="6"/>
  <c r="C52" i="6"/>
  <c r="C98" i="6"/>
  <c r="C73" i="6"/>
  <c r="C89" i="6"/>
  <c r="C60" i="6"/>
  <c r="C76" i="6"/>
  <c r="C92" i="6"/>
  <c r="C59" i="6"/>
  <c r="C75" i="6"/>
  <c r="C91" i="6"/>
  <c r="C39" i="6"/>
  <c r="C31" i="6"/>
  <c r="C74" i="6"/>
  <c r="C86" i="6"/>
  <c r="C48" i="6"/>
  <c r="C82" i="6"/>
  <c r="C69" i="6"/>
  <c r="C56" i="6"/>
  <c r="C72" i="6"/>
  <c r="C88" i="6"/>
  <c r="C55" i="6"/>
  <c r="C71" i="6"/>
  <c r="C23" i="6"/>
  <c r="C17" i="6"/>
  <c r="C54" i="6"/>
  <c r="C78" i="6"/>
  <c r="C18" i="6"/>
  <c r="C34" i="6"/>
  <c r="C50" i="6"/>
  <c r="C21" i="6"/>
  <c r="C37" i="6"/>
  <c r="C58" i="6"/>
  <c r="C24" i="6"/>
  <c r="C40" i="6"/>
  <c r="C57" i="6"/>
  <c r="C61" i="6"/>
  <c r="C77" i="6"/>
  <c r="C93" i="6"/>
  <c r="C64" i="6"/>
  <c r="C80" i="6"/>
  <c r="C96" i="6"/>
  <c r="C63" i="6"/>
  <c r="C79" i="6"/>
  <c r="C95" i="6"/>
  <c r="C35" i="6"/>
  <c r="C26" i="6"/>
  <c r="C45" i="6"/>
  <c r="C85" i="6"/>
  <c r="C14" i="6"/>
  <c r="C19" i="6"/>
  <c r="C94" i="6"/>
  <c r="C27" i="6"/>
  <c r="C22" i="6"/>
  <c r="C38" i="6"/>
  <c r="C53" i="6"/>
  <c r="C25" i="6"/>
  <c r="C41" i="6"/>
  <c r="C70" i="6"/>
  <c r="C28" i="6"/>
  <c r="C44" i="6"/>
  <c r="C66" i="6"/>
  <c r="C65" i="6"/>
  <c r="C81" i="6"/>
  <c r="C97" i="6"/>
  <c r="C68" i="6"/>
  <c r="C84" i="6"/>
  <c r="C100" i="6"/>
  <c r="C67" i="6"/>
  <c r="C83" i="6"/>
  <c r="B15" i="4"/>
  <c r="B22" i="4" s="1"/>
  <c r="E15" i="4"/>
  <c r="E19" i="4" s="1"/>
  <c r="B7" i="6" s="1"/>
  <c r="B20" i="4"/>
  <c r="B4" i="3" a="1"/>
  <c r="B4" i="3" s="1"/>
  <c r="A4" i="3" a="1"/>
  <c r="A4" i="3" s="1"/>
  <c r="E22" i="4" l="1"/>
  <c r="E21" i="4"/>
  <c r="B9" i="6" s="1"/>
  <c r="B10" i="6" s="1"/>
  <c r="E20" i="4"/>
  <c r="B8" i="6" s="1"/>
  <c r="E17" i="4"/>
  <c r="B5" i="6" s="1"/>
  <c r="E18" i="4"/>
  <c r="B6" i="6" s="1"/>
  <c r="B19" i="4"/>
  <c r="B18" i="4"/>
  <c r="B17" i="4"/>
  <c r="C4" i="3"/>
  <c r="C5" i="3" s="1"/>
  <c r="C3" i="3"/>
  <c r="D3" i="3"/>
  <c r="F3" i="3" s="1"/>
  <c r="G4" i="3" s="1"/>
  <c r="H4" i="3" s="1"/>
  <c r="E3" i="3"/>
  <c r="B4" i="5" l="1" a="1"/>
  <c r="G15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8" i="6"/>
  <c r="G26" i="6"/>
  <c r="G34" i="6"/>
  <c r="G42" i="6"/>
  <c r="G46" i="6"/>
  <c r="G54" i="6"/>
  <c r="G62" i="6"/>
  <c r="G70" i="6"/>
  <c r="G78" i="6"/>
  <c r="G86" i="6"/>
  <c r="G94" i="6"/>
  <c r="G19" i="6"/>
  <c r="G27" i="6"/>
  <c r="G35" i="6"/>
  <c r="G43" i="6"/>
  <c r="G51" i="6"/>
  <c r="G59" i="6"/>
  <c r="G67" i="6"/>
  <c r="G75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22" i="6"/>
  <c r="G30" i="6"/>
  <c r="G38" i="6"/>
  <c r="G50" i="6"/>
  <c r="G58" i="6"/>
  <c r="G66" i="6"/>
  <c r="G74" i="6"/>
  <c r="G82" i="6"/>
  <c r="G90" i="6"/>
  <c r="G98" i="6"/>
  <c r="G23" i="6"/>
  <c r="G31" i="6"/>
  <c r="G39" i="6"/>
  <c r="G47" i="6"/>
  <c r="G55" i="6"/>
  <c r="G63" i="6"/>
  <c r="G71" i="6"/>
  <c r="G79" i="6"/>
  <c r="G83" i="6"/>
  <c r="G87" i="6"/>
  <c r="G91" i="6"/>
  <c r="G95" i="6"/>
  <c r="G99" i="6"/>
  <c r="G14" i="6"/>
  <c r="D4" i="3"/>
  <c r="D5" i="3" s="1"/>
  <c r="F5" i="3" s="1"/>
  <c r="C6" i="3"/>
  <c r="B4" i="5" l="1"/>
  <c r="C14" i="5" s="1"/>
  <c r="B10" i="5"/>
  <c r="G30" i="5" s="1"/>
  <c r="F4" i="3"/>
  <c r="E4" i="3"/>
  <c r="E5" i="3"/>
  <c r="C7" i="3"/>
  <c r="D6" i="3"/>
  <c r="G100" i="5" l="1"/>
  <c r="G52" i="5"/>
  <c r="G81" i="5"/>
  <c r="G17" i="5"/>
  <c r="G78" i="5"/>
  <c r="G14" i="5"/>
  <c r="G69" i="5"/>
  <c r="G37" i="5"/>
  <c r="G96" i="5"/>
  <c r="G80" i="5"/>
  <c r="G64" i="5"/>
  <c r="G48" i="5"/>
  <c r="G32" i="5"/>
  <c r="G16" i="5"/>
  <c r="G73" i="5"/>
  <c r="G41" i="5"/>
  <c r="G99" i="5"/>
  <c r="G83" i="5"/>
  <c r="G67" i="5"/>
  <c r="G51" i="5"/>
  <c r="G35" i="5"/>
  <c r="G19" i="5"/>
  <c r="G90" i="5"/>
  <c r="G74" i="5"/>
  <c r="G58" i="5"/>
  <c r="G42" i="5"/>
  <c r="G26" i="5"/>
  <c r="G45" i="5"/>
  <c r="G20" i="5"/>
  <c r="G87" i="5"/>
  <c r="G93" i="5"/>
  <c r="G61" i="5"/>
  <c r="G29" i="5"/>
  <c r="G92" i="5"/>
  <c r="G76" i="5"/>
  <c r="G60" i="5"/>
  <c r="G44" i="5"/>
  <c r="G28" i="5"/>
  <c r="G97" i="5"/>
  <c r="G65" i="5"/>
  <c r="G33" i="5"/>
  <c r="G95" i="5"/>
  <c r="G79" i="5"/>
  <c r="G63" i="5"/>
  <c r="G47" i="5"/>
  <c r="G31" i="5"/>
  <c r="G15" i="5"/>
  <c r="G86" i="5"/>
  <c r="G70" i="5"/>
  <c r="G54" i="5"/>
  <c r="G38" i="5"/>
  <c r="G22" i="5"/>
  <c r="G77" i="5"/>
  <c r="G68" i="5"/>
  <c r="G55" i="5"/>
  <c r="G85" i="5"/>
  <c r="G53" i="5"/>
  <c r="G21" i="5"/>
  <c r="G88" i="5"/>
  <c r="G72" i="5"/>
  <c r="G56" i="5"/>
  <c r="G40" i="5"/>
  <c r="G24" i="5"/>
  <c r="G89" i="5"/>
  <c r="G57" i="5"/>
  <c r="G25" i="5"/>
  <c r="G91" i="5"/>
  <c r="G75" i="5"/>
  <c r="G59" i="5"/>
  <c r="G43" i="5"/>
  <c r="G27" i="5"/>
  <c r="G98" i="5"/>
  <c r="G82" i="5"/>
  <c r="G66" i="5"/>
  <c r="G50" i="5"/>
  <c r="G34" i="5"/>
  <c r="G18" i="5"/>
  <c r="G84" i="5"/>
  <c r="G36" i="5"/>
  <c r="G49" i="5"/>
  <c r="G71" i="5"/>
  <c r="G39" i="5"/>
  <c r="G23" i="5"/>
  <c r="G94" i="5"/>
  <c r="G62" i="5"/>
  <c r="G46" i="5"/>
  <c r="C13" i="5"/>
  <c r="C95" i="5"/>
  <c r="C96" i="5"/>
  <c r="C97" i="5"/>
  <c r="C98" i="5"/>
  <c r="C93" i="5"/>
  <c r="C99" i="5"/>
  <c r="C100" i="5"/>
  <c r="C94" i="5"/>
  <c r="C18" i="5"/>
  <c r="C22" i="5"/>
  <c r="C26" i="5"/>
  <c r="C30" i="5"/>
  <c r="C34" i="5"/>
  <c r="C38" i="5"/>
  <c r="C42" i="5"/>
  <c r="C46" i="5"/>
  <c r="C50" i="5"/>
  <c r="C54" i="5"/>
  <c r="C58" i="5"/>
  <c r="C62" i="5"/>
  <c r="C66" i="5"/>
  <c r="C70" i="5"/>
  <c r="C74" i="5"/>
  <c r="C78" i="5"/>
  <c r="C82" i="5"/>
  <c r="C86" i="5"/>
  <c r="C90" i="5"/>
  <c r="C17" i="5"/>
  <c r="C37" i="5"/>
  <c r="C53" i="5"/>
  <c r="C65" i="5"/>
  <c r="C77" i="5"/>
  <c r="C85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25" i="5"/>
  <c r="C33" i="5"/>
  <c r="C45" i="5"/>
  <c r="C57" i="5"/>
  <c r="C69" i="5"/>
  <c r="C81" i="5"/>
  <c r="C89" i="5"/>
  <c r="C16" i="5"/>
  <c r="C20" i="5"/>
  <c r="C24" i="5"/>
  <c r="C28" i="5"/>
  <c r="C32" i="5"/>
  <c r="C36" i="5"/>
  <c r="C40" i="5"/>
  <c r="C44" i="5"/>
  <c r="C48" i="5"/>
  <c r="C52" i="5"/>
  <c r="C56" i="5"/>
  <c r="C60" i="5"/>
  <c r="C64" i="5"/>
  <c r="C68" i="5"/>
  <c r="C72" i="5"/>
  <c r="C76" i="5"/>
  <c r="C80" i="5"/>
  <c r="C84" i="5"/>
  <c r="C88" i="5"/>
  <c r="C92" i="5"/>
  <c r="C21" i="5"/>
  <c r="C29" i="5"/>
  <c r="C41" i="5"/>
  <c r="C49" i="5"/>
  <c r="C61" i="5"/>
  <c r="C73" i="5"/>
  <c r="G13" i="5"/>
  <c r="G5" i="3"/>
  <c r="H5" i="3" s="1"/>
  <c r="G6" i="3"/>
  <c r="D7" i="3"/>
  <c r="E7" i="3" s="1"/>
  <c r="F6" i="3"/>
  <c r="C8" i="3"/>
  <c r="E6" i="3"/>
  <c r="H6" i="3" l="1"/>
  <c r="G7" i="3"/>
  <c r="F7" i="3"/>
  <c r="G8" i="3" s="1"/>
  <c r="C9" i="3"/>
  <c r="D8" i="3"/>
  <c r="F8" i="3" s="1"/>
  <c r="H7" i="3" l="1"/>
  <c r="E8" i="3"/>
  <c r="C10" i="3"/>
  <c r="D9" i="3"/>
  <c r="E9" i="3" s="1"/>
  <c r="H8" i="3" l="1"/>
  <c r="G9" i="3"/>
  <c r="F9" i="3"/>
  <c r="C11" i="3"/>
  <c r="D10" i="3"/>
  <c r="E10" i="3" s="1"/>
  <c r="H9" i="3" l="1"/>
  <c r="G10" i="3"/>
  <c r="F10" i="3"/>
  <c r="G11" i="3" s="1"/>
  <c r="C12" i="3"/>
  <c r="D11" i="3"/>
  <c r="E11" i="3" s="1"/>
  <c r="H10" i="3" l="1"/>
  <c r="F11" i="3"/>
  <c r="H11" i="3" s="1"/>
  <c r="C13" i="3"/>
  <c r="D12" i="3"/>
  <c r="F12" i="3" s="1"/>
  <c r="G12" i="3" l="1"/>
  <c r="E12" i="3"/>
  <c r="C14" i="3"/>
  <c r="D13" i="3"/>
  <c r="H12" i="3" l="1"/>
  <c r="G13" i="3"/>
  <c r="D14" i="3"/>
  <c r="F14" i="3" s="1"/>
  <c r="F13" i="3"/>
  <c r="E13" i="3"/>
  <c r="C15" i="3"/>
  <c r="G14" i="3" l="1"/>
  <c r="E14" i="3"/>
  <c r="H13" i="3"/>
  <c r="C16" i="3"/>
  <c r="D15" i="3"/>
  <c r="H14" i="3" l="1"/>
  <c r="G15" i="3"/>
  <c r="D16" i="3"/>
  <c r="E16" i="3" s="1"/>
  <c r="F15" i="3"/>
  <c r="E15" i="3"/>
  <c r="C17" i="3"/>
  <c r="G16" i="3" l="1"/>
  <c r="F16" i="3"/>
  <c r="H15" i="3"/>
  <c r="C18" i="3"/>
  <c r="D17" i="3"/>
  <c r="H16" i="3" l="1"/>
  <c r="G17" i="3"/>
  <c r="D18" i="3"/>
  <c r="F18" i="3" s="1"/>
  <c r="E17" i="3"/>
  <c r="F17" i="3"/>
  <c r="C19" i="3"/>
  <c r="G18" i="3" l="1"/>
  <c r="E18" i="3"/>
  <c r="C20" i="3"/>
  <c r="H17" i="3"/>
  <c r="D19" i="3"/>
  <c r="H18" i="3" l="1"/>
  <c r="G19" i="3"/>
  <c r="D20" i="3"/>
  <c r="F20" i="3" s="1"/>
  <c r="F19" i="3"/>
  <c r="E19" i="3"/>
  <c r="C21" i="3"/>
  <c r="G20" i="3" l="1"/>
  <c r="E20" i="3"/>
  <c r="C22" i="3"/>
  <c r="D21" i="3"/>
  <c r="H19" i="3"/>
  <c r="H20" i="3" l="1"/>
  <c r="G21" i="3"/>
  <c r="D22" i="3"/>
  <c r="E22" i="3" s="1"/>
  <c r="F21" i="3"/>
  <c r="E21" i="3"/>
  <c r="C23" i="3"/>
  <c r="F22" i="3" l="1"/>
  <c r="G23" i="3" s="1"/>
  <c r="G22" i="3"/>
  <c r="H22" i="3" s="1"/>
  <c r="C24" i="3"/>
  <c r="H21" i="3"/>
  <c r="D23" i="3"/>
  <c r="D24" i="3" l="1"/>
  <c r="F24" i="3" s="1"/>
  <c r="F23" i="3"/>
  <c r="E23" i="3"/>
  <c r="C25" i="3"/>
  <c r="G24" i="3" l="1"/>
  <c r="D25" i="3"/>
  <c r="F25" i="3" s="1"/>
  <c r="E24" i="3"/>
  <c r="C26" i="3"/>
  <c r="H23" i="3"/>
  <c r="H24" i="3" l="1"/>
  <c r="G25" i="3"/>
  <c r="E25" i="3"/>
  <c r="C27" i="3"/>
  <c r="D26" i="3"/>
  <c r="H25" i="3" l="1"/>
  <c r="G26" i="3"/>
  <c r="D27" i="3"/>
  <c r="F27" i="3" s="1"/>
  <c r="F26" i="3"/>
  <c r="E26" i="3"/>
  <c r="C28" i="3"/>
  <c r="G27" i="3" l="1"/>
  <c r="E27" i="3"/>
  <c r="H26" i="3"/>
  <c r="C29" i="3"/>
  <c r="D28" i="3"/>
  <c r="H27" i="3" l="1"/>
  <c r="G28" i="3"/>
  <c r="D29" i="3"/>
  <c r="F29" i="3" s="1"/>
  <c r="E28" i="3"/>
  <c r="F28" i="3"/>
  <c r="C30" i="3"/>
  <c r="G29" i="3" l="1"/>
  <c r="H29" i="3" s="1"/>
  <c r="E29" i="3"/>
  <c r="G30" i="3" s="1"/>
  <c r="C31" i="3"/>
  <c r="D30" i="3"/>
  <c r="H28" i="3"/>
  <c r="D31" i="3" l="1"/>
  <c r="F31" i="3" s="1"/>
  <c r="F30" i="3"/>
  <c r="E30" i="3"/>
  <c r="C32" i="3"/>
  <c r="G31" i="3" l="1"/>
  <c r="E31" i="3"/>
  <c r="D32" i="3"/>
  <c r="E32" i="3" s="1"/>
  <c r="H30" i="3"/>
  <c r="C33" i="3"/>
  <c r="H31" i="3" l="1"/>
  <c r="G32" i="3"/>
  <c r="F32" i="3"/>
  <c r="G33" i="3" s="1"/>
  <c r="C34" i="3"/>
  <c r="D33" i="3"/>
  <c r="F33" i="3" s="1"/>
  <c r="H32" i="3" l="1"/>
  <c r="E33" i="3"/>
  <c r="D34" i="3"/>
  <c r="F34" i="3" s="1"/>
  <c r="H33" i="3" l="1"/>
  <c r="G34" i="3"/>
  <c r="E34" i="3"/>
  <c r="G38" i="3" l="1"/>
  <c r="G42" i="3"/>
  <c r="G47" i="3"/>
  <c r="G51" i="3"/>
  <c r="G36" i="3"/>
  <c r="G39" i="3"/>
  <c r="G43" i="3"/>
  <c r="G48" i="3"/>
  <c r="G52" i="3"/>
  <c r="G35" i="3"/>
  <c r="G44" i="3"/>
  <c r="G40" i="3"/>
  <c r="G45" i="3"/>
  <c r="G49" i="3"/>
  <c r="G53" i="3"/>
  <c r="G37" i="3"/>
  <c r="B3" i="5" s="1"/>
  <c r="K17" i="5" s="1"/>
  <c r="K18" i="5" s="1"/>
  <c r="G41" i="3"/>
  <c r="G46" i="3"/>
  <c r="G50" i="3"/>
  <c r="G54" i="3"/>
  <c r="L5" i="3" s="1"/>
  <c r="H8" i="17" s="1"/>
  <c r="H34" i="3"/>
  <c r="L4" i="3" s="1"/>
  <c r="B22" i="5" l="1"/>
  <c r="B14" i="5"/>
  <c r="B3" i="6"/>
  <c r="B13" i="5"/>
  <c r="D13" i="5" s="1"/>
  <c r="L7" i="3"/>
  <c r="L10" i="3"/>
  <c r="L12" i="3" s="1"/>
  <c r="L8" i="3"/>
  <c r="B94" i="5"/>
  <c r="B30" i="5"/>
  <c r="B38" i="5"/>
  <c r="B46" i="5"/>
  <c r="B54" i="5"/>
  <c r="B62" i="5"/>
  <c r="B70" i="5"/>
  <c r="B78" i="5"/>
  <c r="B86" i="5"/>
  <c r="B15" i="5"/>
  <c r="B23" i="5"/>
  <c r="B31" i="5"/>
  <c r="B39" i="5"/>
  <c r="B47" i="5"/>
  <c r="B55" i="5"/>
  <c r="B63" i="5"/>
  <c r="B71" i="5"/>
  <c r="B79" i="5"/>
  <c r="B87" i="5"/>
  <c r="B61" i="5"/>
  <c r="B81" i="5"/>
  <c r="B16" i="5"/>
  <c r="B24" i="5"/>
  <c r="B32" i="5"/>
  <c r="B40" i="5"/>
  <c r="B48" i="5"/>
  <c r="B56" i="5"/>
  <c r="B64" i="5"/>
  <c r="B72" i="5"/>
  <c r="B80" i="5"/>
  <c r="B88" i="5"/>
  <c r="B17" i="5"/>
  <c r="B25" i="5"/>
  <c r="B33" i="5"/>
  <c r="B41" i="5"/>
  <c r="B49" i="5"/>
  <c r="B57" i="5"/>
  <c r="B73" i="5"/>
  <c r="B85" i="5"/>
  <c r="B90" i="6" l="1"/>
  <c r="K17" i="6"/>
  <c r="K18" i="6" s="1"/>
  <c r="B30" i="6"/>
  <c r="E30" i="6" s="1"/>
  <c r="B69" i="6"/>
  <c r="E69" i="6" s="1"/>
  <c r="B81" i="6"/>
  <c r="B25" i="6"/>
  <c r="B44" i="6"/>
  <c r="E44" i="6" s="1"/>
  <c r="B56" i="6"/>
  <c r="D56" i="6" s="1"/>
  <c r="B23" i="6"/>
  <c r="B80" i="6"/>
  <c r="B63" i="6"/>
  <c r="D63" i="6" s="1"/>
  <c r="E14" i="5"/>
  <c r="D14" i="5"/>
  <c r="B65" i="5"/>
  <c r="B45" i="5"/>
  <c r="E45" i="5" s="1"/>
  <c r="B29" i="5"/>
  <c r="E29" i="5" s="1"/>
  <c r="B92" i="5"/>
  <c r="E92" i="5" s="1"/>
  <c r="B76" i="5"/>
  <c r="B60" i="5"/>
  <c r="B44" i="5"/>
  <c r="E44" i="5" s="1"/>
  <c r="B28" i="5"/>
  <c r="E28" i="5" s="1"/>
  <c r="B89" i="5"/>
  <c r="B91" i="5"/>
  <c r="D91" i="5" s="1"/>
  <c r="B75" i="5"/>
  <c r="D75" i="5" s="1"/>
  <c r="B59" i="5"/>
  <c r="D59" i="5" s="1"/>
  <c r="B43" i="5"/>
  <c r="B27" i="5"/>
  <c r="B90" i="5"/>
  <c r="E90" i="5" s="1"/>
  <c r="B74" i="5"/>
  <c r="E74" i="5" s="1"/>
  <c r="B58" i="5"/>
  <c r="B42" i="5"/>
  <c r="E42" i="5" s="1"/>
  <c r="B26" i="5"/>
  <c r="E26" i="5" s="1"/>
  <c r="B100" i="5"/>
  <c r="E100" i="5" s="1"/>
  <c r="B42" i="6"/>
  <c r="B41" i="6"/>
  <c r="E41" i="6" s="1"/>
  <c r="B61" i="6"/>
  <c r="D61" i="6" s="1"/>
  <c r="B64" i="6"/>
  <c r="E64" i="6" s="1"/>
  <c r="B79" i="6"/>
  <c r="B77" i="5"/>
  <c r="E77" i="5" s="1"/>
  <c r="B53" i="5"/>
  <c r="D53" i="5" s="1"/>
  <c r="B37" i="5"/>
  <c r="D37" i="5" s="1"/>
  <c r="B21" i="5"/>
  <c r="B84" i="5"/>
  <c r="D84" i="5" s="1"/>
  <c r="B68" i="5"/>
  <c r="E68" i="5" s="1"/>
  <c r="B52" i="5"/>
  <c r="D52" i="5" s="1"/>
  <c r="B36" i="5"/>
  <c r="B20" i="5"/>
  <c r="E20" i="5" s="1"/>
  <c r="B69" i="5"/>
  <c r="E69" i="5" s="1"/>
  <c r="B83" i="5"/>
  <c r="E83" i="5" s="1"/>
  <c r="B67" i="5"/>
  <c r="B51" i="5"/>
  <c r="B35" i="5"/>
  <c r="D35" i="5" s="1"/>
  <c r="B19" i="5"/>
  <c r="B13" i="7" s="1"/>
  <c r="B82" i="5"/>
  <c r="B66" i="5"/>
  <c r="D66" i="5" s="1"/>
  <c r="B50" i="5"/>
  <c r="E50" i="5" s="1"/>
  <c r="B34" i="5"/>
  <c r="D34" i="5" s="1"/>
  <c r="B18" i="5"/>
  <c r="B97" i="5"/>
  <c r="E97" i="5" s="1"/>
  <c r="B18" i="6"/>
  <c r="E18" i="6" s="1"/>
  <c r="B28" i="6"/>
  <c r="E28" i="6" s="1"/>
  <c r="B39" i="6"/>
  <c r="B96" i="6"/>
  <c r="E96" i="6" s="1"/>
  <c r="B95" i="6"/>
  <c r="D95" i="6" s="1"/>
  <c r="B62" i="6"/>
  <c r="E62" i="6" s="1"/>
  <c r="B78" i="6"/>
  <c r="B94" i="6"/>
  <c r="B53" i="6"/>
  <c r="E53" i="6" s="1"/>
  <c r="B85" i="6"/>
  <c r="D85" i="6" s="1"/>
  <c r="B14" i="6"/>
  <c r="E14" i="6" s="1"/>
  <c r="B34" i="6"/>
  <c r="D34" i="6" s="1"/>
  <c r="B29" i="6"/>
  <c r="E29" i="6" s="1"/>
  <c r="B45" i="6"/>
  <c r="D45" i="6" s="1"/>
  <c r="B97" i="6"/>
  <c r="E97" i="6" s="1"/>
  <c r="B32" i="6"/>
  <c r="D32" i="6" s="1"/>
  <c r="B48" i="6"/>
  <c r="E48" i="6" s="1"/>
  <c r="B77" i="6"/>
  <c r="D77" i="6" s="1"/>
  <c r="B27" i="6"/>
  <c r="E27" i="6" s="1"/>
  <c r="B43" i="6"/>
  <c r="E43" i="6" s="1"/>
  <c r="B73" i="6"/>
  <c r="E73" i="6" s="1"/>
  <c r="B68" i="6"/>
  <c r="D68" i="6" s="1"/>
  <c r="B84" i="6"/>
  <c r="E84" i="6" s="1"/>
  <c r="B100" i="6"/>
  <c r="E100" i="6" s="1"/>
  <c r="B67" i="6"/>
  <c r="E67" i="6" s="1"/>
  <c r="B83" i="6"/>
  <c r="D83" i="6" s="1"/>
  <c r="B99" i="6"/>
  <c r="E99" i="6" s="1"/>
  <c r="B66" i="6"/>
  <c r="E66" i="6" s="1"/>
  <c r="B82" i="6"/>
  <c r="E82" i="6" s="1"/>
  <c r="B98" i="6"/>
  <c r="D98" i="6" s="1"/>
  <c r="B13" i="6"/>
  <c r="E13" i="6" s="1"/>
  <c r="B46" i="6"/>
  <c r="B22" i="6"/>
  <c r="E22" i="6" s="1"/>
  <c r="B15" i="6"/>
  <c r="E15" i="6" s="1"/>
  <c r="B50" i="6"/>
  <c r="E50" i="6" s="1"/>
  <c r="B33" i="6"/>
  <c r="E33" i="6" s="1"/>
  <c r="B49" i="6"/>
  <c r="D49" i="6" s="1"/>
  <c r="B20" i="6"/>
  <c r="E20" i="6" s="1"/>
  <c r="B36" i="6"/>
  <c r="D36" i="6" s="1"/>
  <c r="B52" i="6"/>
  <c r="B93" i="6"/>
  <c r="D93" i="6" s="1"/>
  <c r="B31" i="6"/>
  <c r="E31" i="6" s="1"/>
  <c r="B47" i="6"/>
  <c r="B89" i="6"/>
  <c r="E89" i="6" s="1"/>
  <c r="B72" i="6"/>
  <c r="D72" i="6" s="1"/>
  <c r="B88" i="6"/>
  <c r="E88" i="6" s="1"/>
  <c r="B55" i="6"/>
  <c r="E55" i="6" s="1"/>
  <c r="B71" i="6"/>
  <c r="D71" i="6" s="1"/>
  <c r="B87" i="6"/>
  <c r="D87" i="6" s="1"/>
  <c r="B54" i="6"/>
  <c r="E54" i="6" s="1"/>
  <c r="B70" i="6"/>
  <c r="E70" i="6" s="1"/>
  <c r="B86" i="6"/>
  <c r="D86" i="6" s="1"/>
  <c r="E13" i="5"/>
  <c r="B17" i="6"/>
  <c r="D17" i="6" s="1"/>
  <c r="B26" i="6"/>
  <c r="E26" i="6" s="1"/>
  <c r="B38" i="6"/>
  <c r="E38" i="6" s="1"/>
  <c r="B16" i="6"/>
  <c r="E16" i="6" s="1"/>
  <c r="B21" i="6"/>
  <c r="D21" i="6" s="1"/>
  <c r="B37" i="6"/>
  <c r="E37" i="6" s="1"/>
  <c r="B65" i="6"/>
  <c r="E65" i="6" s="1"/>
  <c r="B24" i="6"/>
  <c r="E24" i="6" s="1"/>
  <c r="B40" i="6"/>
  <c r="D40" i="6" s="1"/>
  <c r="B57" i="6"/>
  <c r="D57" i="6" s="1"/>
  <c r="B19" i="6"/>
  <c r="E19" i="6" s="1"/>
  <c r="B35" i="6"/>
  <c r="E35" i="6" s="1"/>
  <c r="B51" i="6"/>
  <c r="D51" i="6" s="1"/>
  <c r="B60" i="6"/>
  <c r="D60" i="6" s="1"/>
  <c r="B76" i="6"/>
  <c r="E76" i="6" s="1"/>
  <c r="B92" i="6"/>
  <c r="E92" i="6" s="1"/>
  <c r="B59" i="6"/>
  <c r="D59" i="6" s="1"/>
  <c r="B75" i="6"/>
  <c r="D75" i="6" s="1"/>
  <c r="B91" i="6"/>
  <c r="B58" i="6"/>
  <c r="E58" i="6" s="1"/>
  <c r="B74" i="6"/>
  <c r="E74" i="6" s="1"/>
  <c r="E41" i="5"/>
  <c r="D41" i="5"/>
  <c r="E72" i="5"/>
  <c r="D72" i="5"/>
  <c r="E24" i="5"/>
  <c r="D24" i="5"/>
  <c r="D87" i="5"/>
  <c r="E87" i="5"/>
  <c r="D39" i="5"/>
  <c r="E39" i="5"/>
  <c r="E86" i="5"/>
  <c r="D86" i="5"/>
  <c r="E70" i="5"/>
  <c r="D70" i="5"/>
  <c r="E54" i="5"/>
  <c r="D54" i="5"/>
  <c r="E22" i="5"/>
  <c r="D22" i="5"/>
  <c r="E94" i="5"/>
  <c r="D94" i="5"/>
  <c r="E52" i="6"/>
  <c r="D52" i="6"/>
  <c r="D65" i="6"/>
  <c r="E57" i="6"/>
  <c r="E91" i="6"/>
  <c r="D91" i="6"/>
  <c r="E90" i="6"/>
  <c r="D90" i="6"/>
  <c r="E85" i="5"/>
  <c r="D85" i="5"/>
  <c r="E25" i="5"/>
  <c r="D25" i="5"/>
  <c r="E56" i="5"/>
  <c r="D56" i="5"/>
  <c r="D71" i="5"/>
  <c r="E71" i="5"/>
  <c r="E46" i="6"/>
  <c r="D46" i="6"/>
  <c r="E47" i="6"/>
  <c r="D47" i="6"/>
  <c r="E72" i="6"/>
  <c r="D55" i="6"/>
  <c r="E86" i="6"/>
  <c r="D77" i="5"/>
  <c r="E21" i="5"/>
  <c r="D21" i="5"/>
  <c r="E84" i="5"/>
  <c r="E36" i="5"/>
  <c r="D36" i="5"/>
  <c r="D20" i="5"/>
  <c r="D69" i="5"/>
  <c r="D67" i="5"/>
  <c r="E67" i="5"/>
  <c r="D51" i="5"/>
  <c r="E51" i="5"/>
  <c r="E82" i="5"/>
  <c r="D82" i="5"/>
  <c r="E66" i="5"/>
  <c r="E18" i="5"/>
  <c r="D18" i="5"/>
  <c r="E73" i="5"/>
  <c r="D73" i="5"/>
  <c r="E49" i="5"/>
  <c r="D49" i="5"/>
  <c r="E33" i="5"/>
  <c r="D33" i="5"/>
  <c r="E17" i="5"/>
  <c r="D17" i="5"/>
  <c r="E80" i="5"/>
  <c r="D80" i="5"/>
  <c r="E64" i="5"/>
  <c r="D64" i="5"/>
  <c r="E48" i="5"/>
  <c r="D48" i="5"/>
  <c r="E32" i="5"/>
  <c r="D32" i="5"/>
  <c r="E16" i="5"/>
  <c r="D16" i="5"/>
  <c r="E61" i="5"/>
  <c r="D61" i="5"/>
  <c r="D79" i="5"/>
  <c r="E79" i="5"/>
  <c r="D63" i="5"/>
  <c r="E63" i="5"/>
  <c r="D47" i="5"/>
  <c r="E47" i="5"/>
  <c r="D31" i="5"/>
  <c r="E31" i="5"/>
  <c r="D15" i="5"/>
  <c r="E15" i="5"/>
  <c r="E78" i="5"/>
  <c r="D78" i="5"/>
  <c r="E62" i="5"/>
  <c r="D62" i="5"/>
  <c r="E46" i="5"/>
  <c r="D46" i="5"/>
  <c r="E30" i="5"/>
  <c r="D30" i="5"/>
  <c r="B93" i="5"/>
  <c r="D30" i="6"/>
  <c r="E42" i="6"/>
  <c r="D42" i="6"/>
  <c r="E25" i="6"/>
  <c r="D25" i="6"/>
  <c r="D41" i="6"/>
  <c r="E81" i="6"/>
  <c r="D81" i="6"/>
  <c r="D44" i="6"/>
  <c r="E23" i="6"/>
  <c r="D23" i="6"/>
  <c r="E39" i="6"/>
  <c r="D39" i="6"/>
  <c r="E80" i="6"/>
  <c r="D80" i="6"/>
  <c r="D96" i="6"/>
  <c r="E63" i="6"/>
  <c r="E79" i="6"/>
  <c r="D79" i="6"/>
  <c r="E78" i="6"/>
  <c r="D78" i="6"/>
  <c r="E94" i="6"/>
  <c r="D94" i="6"/>
  <c r="E57" i="5"/>
  <c r="D57" i="5"/>
  <c r="E88" i="5"/>
  <c r="D88" i="5"/>
  <c r="E40" i="5"/>
  <c r="D40" i="5"/>
  <c r="E81" i="5"/>
  <c r="D81" i="5"/>
  <c r="D55" i="5"/>
  <c r="E55" i="5"/>
  <c r="D23" i="5"/>
  <c r="E23" i="5"/>
  <c r="E38" i="5"/>
  <c r="D38" i="5"/>
  <c r="E65" i="5"/>
  <c r="D65" i="5"/>
  <c r="D29" i="5"/>
  <c r="E76" i="5"/>
  <c r="D76" i="5"/>
  <c r="E60" i="5"/>
  <c r="D60" i="5"/>
  <c r="E89" i="5"/>
  <c r="D89" i="5"/>
  <c r="E75" i="5"/>
  <c r="D43" i="5"/>
  <c r="E43" i="5"/>
  <c r="D27" i="5"/>
  <c r="E27" i="5"/>
  <c r="E58" i="5"/>
  <c r="D58" i="5"/>
  <c r="D26" i="5"/>
  <c r="D14" i="6"/>
  <c r="E34" i="6"/>
  <c r="D97" i="6"/>
  <c r="E32" i="6"/>
  <c r="D27" i="6"/>
  <c r="D84" i="6"/>
  <c r="D99" i="6"/>
  <c r="D66" i="6"/>
  <c r="B96" i="5"/>
  <c r="B98" i="5"/>
  <c r="B99" i="5"/>
  <c r="B95" i="5"/>
  <c r="E36" i="6" l="1"/>
  <c r="D19" i="6"/>
  <c r="E71" i="6"/>
  <c r="E60" i="6"/>
  <c r="D67" i="6"/>
  <c r="D82" i="6"/>
  <c r="F82" i="6" s="1"/>
  <c r="H82" i="6" s="1"/>
  <c r="E61" i="6"/>
  <c r="E95" i="6"/>
  <c r="E53" i="5"/>
  <c r="F53" i="5" s="1"/>
  <c r="H53" i="5" s="1"/>
  <c r="D73" i="6"/>
  <c r="F73" i="6" s="1"/>
  <c r="H73" i="6" s="1"/>
  <c r="D68" i="5"/>
  <c r="D48" i="6"/>
  <c r="F48" i="6" s="1"/>
  <c r="H48" i="6" s="1"/>
  <c r="D69" i="6"/>
  <c r="F69" i="6" s="1"/>
  <c r="H69" i="6" s="1"/>
  <c r="E87" i="6"/>
  <c r="D100" i="6"/>
  <c r="D43" i="6"/>
  <c r="F43" i="6" s="1"/>
  <c r="H43" i="6" s="1"/>
  <c r="D29" i="6"/>
  <c r="F29" i="6" s="1"/>
  <c r="H29" i="6" s="1"/>
  <c r="D53" i="6"/>
  <c r="F53" i="6" s="1"/>
  <c r="H53" i="6" s="1"/>
  <c r="D42" i="5"/>
  <c r="D90" i="5"/>
  <c r="F90" i="5" s="1"/>
  <c r="H90" i="5" s="1"/>
  <c r="E91" i="5"/>
  <c r="F91" i="5" s="1"/>
  <c r="H91" i="5" s="1"/>
  <c r="D44" i="5"/>
  <c r="F44" i="5" s="1"/>
  <c r="H44" i="5" s="1"/>
  <c r="D45" i="5"/>
  <c r="E56" i="6"/>
  <c r="F56" i="6" s="1"/>
  <c r="H56" i="6" s="1"/>
  <c r="D97" i="5"/>
  <c r="F97" i="5" s="1"/>
  <c r="H97" i="5" s="1"/>
  <c r="D50" i="5"/>
  <c r="F50" i="5" s="1"/>
  <c r="H50" i="5" s="1"/>
  <c r="D33" i="6"/>
  <c r="D76" i="6"/>
  <c r="D38" i="6"/>
  <c r="F38" i="6" s="1"/>
  <c r="H38" i="6" s="1"/>
  <c r="D89" i="6"/>
  <c r="F89" i="6" s="1"/>
  <c r="H89" i="6" s="1"/>
  <c r="E49" i="6"/>
  <c r="E35" i="5"/>
  <c r="F35" i="5" s="1"/>
  <c r="H35" i="5" s="1"/>
  <c r="E93" i="6"/>
  <c r="F93" i="6" s="1"/>
  <c r="H93" i="6" s="1"/>
  <c r="E75" i="6"/>
  <c r="F75" i="6" s="1"/>
  <c r="H75" i="6" s="1"/>
  <c r="D37" i="6"/>
  <c r="D88" i="6"/>
  <c r="D26" i="6"/>
  <c r="F26" i="6" s="1"/>
  <c r="H26" i="6" s="1"/>
  <c r="E40" i="6"/>
  <c r="F40" i="6" s="1"/>
  <c r="H40" i="6" s="1"/>
  <c r="E34" i="5"/>
  <c r="D83" i="5"/>
  <c r="D54" i="6"/>
  <c r="F54" i="6" s="1"/>
  <c r="H54" i="6" s="1"/>
  <c r="D62" i="6"/>
  <c r="F62" i="6" s="1"/>
  <c r="H62" i="6" s="1"/>
  <c r="E37" i="5"/>
  <c r="D19" i="5"/>
  <c r="E52" i="5"/>
  <c r="F52" i="5" s="1"/>
  <c r="H52" i="5" s="1"/>
  <c r="D31" i="6"/>
  <c r="F31" i="6" s="1"/>
  <c r="H31" i="6" s="1"/>
  <c r="F14" i="5"/>
  <c r="E59" i="6"/>
  <c r="F59" i="6" s="1"/>
  <c r="H59" i="6" s="1"/>
  <c r="E98" i="6"/>
  <c r="F98" i="6" s="1"/>
  <c r="H98" i="6" s="1"/>
  <c r="E68" i="6"/>
  <c r="F68" i="6" s="1"/>
  <c r="H68" i="6" s="1"/>
  <c r="E45" i="6"/>
  <c r="D74" i="6"/>
  <c r="F74" i="6" s="1"/>
  <c r="H74" i="6" s="1"/>
  <c r="D74" i="5"/>
  <c r="F74" i="5" s="1"/>
  <c r="H74" i="5" s="1"/>
  <c r="D64" i="6"/>
  <c r="F64" i="6" s="1"/>
  <c r="H64" i="6" s="1"/>
  <c r="D28" i="6"/>
  <c r="F28" i="6" s="1"/>
  <c r="H28" i="6" s="1"/>
  <c r="D18" i="6"/>
  <c r="F18" i="6" s="1"/>
  <c r="H18" i="6" s="1"/>
  <c r="E51" i="6"/>
  <c r="E21" i="6"/>
  <c r="F21" i="6" s="1"/>
  <c r="H21" i="6" s="1"/>
  <c r="D22" i="6"/>
  <c r="F22" i="6" s="1"/>
  <c r="H22" i="6" s="1"/>
  <c r="B14" i="7"/>
  <c r="B15" i="7" s="1"/>
  <c r="C21" i="7" s="1"/>
  <c r="D100" i="5"/>
  <c r="F100" i="5" s="1"/>
  <c r="H100" i="5" s="1"/>
  <c r="E59" i="5"/>
  <c r="F59" i="5" s="1"/>
  <c r="H59" i="5" s="1"/>
  <c r="D28" i="5"/>
  <c r="F28" i="5" s="1"/>
  <c r="H28" i="5" s="1"/>
  <c r="D92" i="5"/>
  <c r="F92" i="5" s="1"/>
  <c r="H92" i="5" s="1"/>
  <c r="E83" i="6"/>
  <c r="F83" i="6" s="1"/>
  <c r="H83" i="6" s="1"/>
  <c r="E77" i="6"/>
  <c r="F77" i="6" s="1"/>
  <c r="H77" i="6" s="1"/>
  <c r="E85" i="6"/>
  <c r="F85" i="6" s="1"/>
  <c r="H85" i="6" s="1"/>
  <c r="E19" i="5"/>
  <c r="F19" i="5" s="1"/>
  <c r="H19" i="5" s="1"/>
  <c r="E17" i="6"/>
  <c r="F17" i="6" s="1"/>
  <c r="H17" i="6" s="1"/>
  <c r="F13" i="5"/>
  <c r="H13" i="5" s="1"/>
  <c r="K14" i="5" s="1"/>
  <c r="D20" i="6"/>
  <c r="F20" i="6" s="1"/>
  <c r="H20" i="6" s="1"/>
  <c r="D15" i="6"/>
  <c r="F15" i="6" s="1"/>
  <c r="H15" i="6" s="1"/>
  <c r="D58" i="6"/>
  <c r="F58" i="6" s="1"/>
  <c r="H58" i="6" s="1"/>
  <c r="D92" i="6"/>
  <c r="F92" i="6" s="1"/>
  <c r="H92" i="6" s="1"/>
  <c r="D35" i="6"/>
  <c r="F35" i="6" s="1"/>
  <c r="H35" i="6" s="1"/>
  <c r="D24" i="6"/>
  <c r="F24" i="6" s="1"/>
  <c r="H24" i="6" s="1"/>
  <c r="D16" i="6"/>
  <c r="F16" i="6" s="1"/>
  <c r="H16" i="6" s="1"/>
  <c r="D70" i="6"/>
  <c r="F70" i="6" s="1"/>
  <c r="H70" i="6" s="1"/>
  <c r="D50" i="6"/>
  <c r="F50" i="6" s="1"/>
  <c r="H50" i="6" s="1"/>
  <c r="D13" i="6"/>
  <c r="F13" i="6" s="1"/>
  <c r="H13" i="6" s="1"/>
  <c r="K14" i="6" s="1"/>
  <c r="F86" i="6"/>
  <c r="H86" i="6" s="1"/>
  <c r="F55" i="6"/>
  <c r="H55" i="6" s="1"/>
  <c r="F47" i="6"/>
  <c r="H47" i="6" s="1"/>
  <c r="F36" i="6"/>
  <c r="H36" i="6" s="1"/>
  <c r="F33" i="6"/>
  <c r="H33" i="6" s="1"/>
  <c r="F46" i="6"/>
  <c r="H46" i="6" s="1"/>
  <c r="F91" i="6"/>
  <c r="H91" i="6" s="1"/>
  <c r="F76" i="6"/>
  <c r="H76" i="6" s="1"/>
  <c r="F51" i="6"/>
  <c r="H51" i="6" s="1"/>
  <c r="F19" i="6"/>
  <c r="H19" i="6" s="1"/>
  <c r="F65" i="6"/>
  <c r="H65" i="6" s="1"/>
  <c r="F88" i="6"/>
  <c r="H88" i="6" s="1"/>
  <c r="F49" i="6"/>
  <c r="H49" i="6" s="1"/>
  <c r="F87" i="6"/>
  <c r="H87" i="6" s="1"/>
  <c r="F72" i="6"/>
  <c r="H72" i="6" s="1"/>
  <c r="F90" i="6"/>
  <c r="H90" i="6" s="1"/>
  <c r="F60" i="6"/>
  <c r="H60" i="6" s="1"/>
  <c r="F57" i="6"/>
  <c r="H57" i="6" s="1"/>
  <c r="F37" i="6"/>
  <c r="H37" i="6" s="1"/>
  <c r="F71" i="6"/>
  <c r="H71" i="6" s="1"/>
  <c r="F52" i="6"/>
  <c r="H52" i="6" s="1"/>
  <c r="F27" i="5"/>
  <c r="H27" i="5" s="1"/>
  <c r="F55" i="5"/>
  <c r="H55" i="5" s="1"/>
  <c r="F30" i="5"/>
  <c r="H30" i="5" s="1"/>
  <c r="F62" i="5"/>
  <c r="H62" i="5" s="1"/>
  <c r="F16" i="5"/>
  <c r="H16" i="5" s="1"/>
  <c r="F48" i="5"/>
  <c r="H48" i="5" s="1"/>
  <c r="F80" i="5"/>
  <c r="H80" i="5" s="1"/>
  <c r="F33" i="5"/>
  <c r="H33" i="5" s="1"/>
  <c r="F73" i="5"/>
  <c r="H73" i="5" s="1"/>
  <c r="F18" i="5"/>
  <c r="H18" i="5" s="1"/>
  <c r="F82" i="5"/>
  <c r="H82" i="5" s="1"/>
  <c r="F69" i="5"/>
  <c r="H69" i="5" s="1"/>
  <c r="F36" i="5"/>
  <c r="H36" i="5" s="1"/>
  <c r="F68" i="5"/>
  <c r="H68" i="5" s="1"/>
  <c r="F21" i="5"/>
  <c r="H21" i="5" s="1"/>
  <c r="F56" i="5"/>
  <c r="H56" i="5" s="1"/>
  <c r="F85" i="5"/>
  <c r="H85" i="5" s="1"/>
  <c r="F94" i="5"/>
  <c r="H94" i="5" s="1"/>
  <c r="F54" i="5"/>
  <c r="H54" i="5" s="1"/>
  <c r="F86" i="5"/>
  <c r="H86" i="5" s="1"/>
  <c r="H14" i="5"/>
  <c r="F46" i="5"/>
  <c r="H46" i="5" s="1"/>
  <c r="F78" i="5"/>
  <c r="H78" i="5" s="1"/>
  <c r="F61" i="5"/>
  <c r="H61" i="5" s="1"/>
  <c r="F32" i="5"/>
  <c r="H32" i="5" s="1"/>
  <c r="F64" i="5"/>
  <c r="H64" i="5" s="1"/>
  <c r="F49" i="5"/>
  <c r="H49" i="5" s="1"/>
  <c r="F34" i="5"/>
  <c r="H34" i="5" s="1"/>
  <c r="F66" i="5"/>
  <c r="H66" i="5" s="1"/>
  <c r="F20" i="5"/>
  <c r="H20" i="5" s="1"/>
  <c r="F84" i="5"/>
  <c r="H84" i="5" s="1"/>
  <c r="F37" i="5"/>
  <c r="H37" i="5" s="1"/>
  <c r="F77" i="5"/>
  <c r="H77" i="5" s="1"/>
  <c r="F25" i="5"/>
  <c r="H25" i="5" s="1"/>
  <c r="F22" i="5"/>
  <c r="H22" i="5" s="1"/>
  <c r="F70" i="5"/>
  <c r="H70" i="5" s="1"/>
  <c r="F24" i="5"/>
  <c r="H24" i="5" s="1"/>
  <c r="F41" i="5"/>
  <c r="H41" i="5" s="1"/>
  <c r="F75" i="5"/>
  <c r="H75" i="5" s="1"/>
  <c r="F43" i="5"/>
  <c r="H43" i="5" s="1"/>
  <c r="F23" i="5"/>
  <c r="H23" i="5" s="1"/>
  <c r="F72" i="5"/>
  <c r="H72" i="5" s="1"/>
  <c r="E96" i="5"/>
  <c r="D96" i="5"/>
  <c r="D95" i="5"/>
  <c r="E95" i="5"/>
  <c r="F66" i="6"/>
  <c r="H66" i="6" s="1"/>
  <c r="F100" i="6"/>
  <c r="H100" i="6" s="1"/>
  <c r="F32" i="6"/>
  <c r="H32" i="6" s="1"/>
  <c r="F45" i="6"/>
  <c r="H45" i="6" s="1"/>
  <c r="F34" i="6"/>
  <c r="H34" i="6" s="1"/>
  <c r="F26" i="5"/>
  <c r="H26" i="5" s="1"/>
  <c r="F58" i="5"/>
  <c r="H58" i="5" s="1"/>
  <c r="F89" i="5"/>
  <c r="H89" i="5" s="1"/>
  <c r="F76" i="5"/>
  <c r="H76" i="5" s="1"/>
  <c r="F29" i="5"/>
  <c r="H29" i="5" s="1"/>
  <c r="F65" i="5"/>
  <c r="H65" i="5" s="1"/>
  <c r="F81" i="5"/>
  <c r="H81" i="5" s="1"/>
  <c r="F88" i="5"/>
  <c r="H88" i="5" s="1"/>
  <c r="F94" i="6"/>
  <c r="H94" i="6" s="1"/>
  <c r="F79" i="6"/>
  <c r="H79" i="6" s="1"/>
  <c r="F96" i="6"/>
  <c r="H96" i="6" s="1"/>
  <c r="F39" i="6"/>
  <c r="H39" i="6" s="1"/>
  <c r="F61" i="6"/>
  <c r="H61" i="6" s="1"/>
  <c r="F41" i="6"/>
  <c r="H41" i="6" s="1"/>
  <c r="F42" i="6"/>
  <c r="H42" i="6" s="1"/>
  <c r="E93" i="5"/>
  <c r="D93" i="5"/>
  <c r="F15" i="5"/>
  <c r="H15" i="5" s="1"/>
  <c r="F47" i="5"/>
  <c r="H47" i="5" s="1"/>
  <c r="F79" i="5"/>
  <c r="H79" i="5" s="1"/>
  <c r="F67" i="5"/>
  <c r="H67" i="5" s="1"/>
  <c r="F87" i="5"/>
  <c r="H87" i="5" s="1"/>
  <c r="D99" i="5"/>
  <c r="E99" i="5"/>
  <c r="E98" i="5"/>
  <c r="D98" i="5"/>
  <c r="F99" i="6"/>
  <c r="H99" i="6" s="1"/>
  <c r="F67" i="6"/>
  <c r="H67" i="6" s="1"/>
  <c r="F84" i="6"/>
  <c r="H84" i="6" s="1"/>
  <c r="F27" i="6"/>
  <c r="H27" i="6" s="1"/>
  <c r="F97" i="6"/>
  <c r="H97" i="6" s="1"/>
  <c r="F14" i="6"/>
  <c r="H14" i="6" s="1"/>
  <c r="F42" i="5"/>
  <c r="H42" i="5" s="1"/>
  <c r="F60" i="5"/>
  <c r="H60" i="5" s="1"/>
  <c r="F45" i="5"/>
  <c r="H45" i="5" s="1"/>
  <c r="F38" i="5"/>
  <c r="H38" i="5" s="1"/>
  <c r="F40" i="5"/>
  <c r="H40" i="5" s="1"/>
  <c r="F57" i="5"/>
  <c r="H57" i="5" s="1"/>
  <c r="F78" i="6"/>
  <c r="H78" i="6" s="1"/>
  <c r="F95" i="6"/>
  <c r="H95" i="6" s="1"/>
  <c r="F63" i="6"/>
  <c r="H63" i="6" s="1"/>
  <c r="F80" i="6"/>
  <c r="H80" i="6" s="1"/>
  <c r="F23" i="6"/>
  <c r="H23" i="6" s="1"/>
  <c r="F44" i="6"/>
  <c r="H44" i="6" s="1"/>
  <c r="F81" i="6"/>
  <c r="H81" i="6" s="1"/>
  <c r="F25" i="6"/>
  <c r="H25" i="6" s="1"/>
  <c r="F30" i="6"/>
  <c r="H30" i="6" s="1"/>
  <c r="F31" i="5"/>
  <c r="H31" i="5" s="1"/>
  <c r="F63" i="5"/>
  <c r="H63" i="5" s="1"/>
  <c r="F17" i="5"/>
  <c r="H17" i="5" s="1"/>
  <c r="F51" i="5"/>
  <c r="H51" i="5" s="1"/>
  <c r="F83" i="5"/>
  <c r="H83" i="5" s="1"/>
  <c r="F71" i="5"/>
  <c r="H71" i="5" s="1"/>
  <c r="F39" i="5"/>
  <c r="H39" i="5" s="1"/>
  <c r="C23" i="7" l="1"/>
  <c r="D21" i="7"/>
  <c r="F21" i="7"/>
  <c r="F23" i="7" s="1"/>
  <c r="J14" i="6"/>
  <c r="J15" i="6" s="1"/>
  <c r="J16" i="6" s="1" a="1"/>
  <c r="J16" i="6" s="1"/>
  <c r="J17" i="6" s="1"/>
  <c r="J18" i="6" s="1"/>
  <c r="F99" i="5"/>
  <c r="H99" i="5" s="1"/>
  <c r="F93" i="5"/>
  <c r="H93" i="5" s="1"/>
  <c r="F95" i="5"/>
  <c r="H95" i="5" s="1"/>
  <c r="F98" i="5"/>
  <c r="H98" i="5" s="1"/>
  <c r="F96" i="5"/>
  <c r="H96" i="5" s="1"/>
  <c r="J14" i="5" l="1"/>
  <c r="J15" i="5" s="1"/>
  <c r="J16" i="5" s="1" a="1"/>
  <c r="J16" i="5" s="1"/>
  <c r="J17" i="5" s="1"/>
  <c r="J18" i="5" s="1"/>
  <c r="E21" i="7"/>
  <c r="E23" i="7" s="1"/>
  <c r="D23" i="7"/>
  <c r="B25" i="7" l="1"/>
  <c r="B28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Aravind kumar Baskaran</author>
  </authors>
  <commentList>
    <comment ref="A3" authorId="0" shapeId="0" xr:uid="{B604EB90-464C-4FBB-8226-B2796B4F51FE}">
      <text>
        <r>
          <rPr>
            <b/>
            <sz val="9"/>
            <color indexed="81"/>
            <rFont val="Tahoma"/>
            <family val="2"/>
          </rPr>
          <t xml:space="preserve">Assumption:
Assume for 1989 the number of doses equal to 1990 for compuatation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Aravind kumar Baskaran</author>
  </authors>
  <commentList>
    <comment ref="P12" authorId="0" shapeId="0" xr:uid="{A9AFD894-3D5E-4125-8660-9E5CC2703767}">
      <text>
        <r>
          <rPr>
            <b/>
            <sz val="16"/>
            <color indexed="81"/>
            <rFont val="Tahoma"/>
            <family val="2"/>
          </rPr>
          <t xml:space="preserve">By setting probability to 95%, we compute the activities to crash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Aravind kumar Baskaran</author>
  </authors>
  <commentList>
    <comment ref="B16" authorId="0" shapeId="0" xr:uid="{AF3A5432-44F1-478A-8D3F-8A0F9BC92B94}">
      <text>
        <r>
          <rPr>
            <b/>
            <sz val="9"/>
            <color indexed="81"/>
            <rFont val="Tahoma"/>
            <family val="2"/>
          </rPr>
          <t>Latest finish date from PERT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Aravind kumar Baskaran</author>
  </authors>
  <commentList>
    <comment ref="B3" authorId="0" shapeId="0" xr:uid="{5936884D-B1EC-438B-969A-F1DD4106D924}">
      <text>
        <r>
          <rPr>
            <b/>
            <sz val="9"/>
            <color indexed="81"/>
            <rFont val="Tahoma"/>
            <family val="2"/>
          </rPr>
          <t>FROM THE FOREAST - 2040 VACCINES.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 shapeId="0" xr:uid="{C8D7662C-D82F-4B86-86B9-BACFAEBB8101}">
      <text>
        <r>
          <rPr>
            <b/>
            <sz val="9"/>
            <color indexed="81"/>
            <rFont val="Tahoma"/>
            <family val="2"/>
          </rPr>
          <t xml:space="preserve">Future value based on 2.5% increase per annum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Aravind kumar Baskaran</author>
  </authors>
  <commentList>
    <comment ref="A13" authorId="0" shapeId="0" xr:uid="{59974392-0223-4585-8F6C-55084DA97A73}">
      <text>
        <r>
          <rPr>
            <b/>
            <sz val="9"/>
            <color indexed="81"/>
            <rFont val="Tahoma"/>
            <family val="2"/>
          </rPr>
          <t>Solver solution for EOQ</t>
        </r>
      </text>
    </comment>
    <comment ref="H13" authorId="0" shapeId="0" xr:uid="{46469880-9A0C-4655-AF8A-04A3C118A663}">
      <text>
        <r>
          <rPr>
            <sz val="9"/>
            <color indexed="81"/>
            <rFont val="Tahoma"/>
            <family val="2"/>
          </rPr>
          <t xml:space="preserve">
Solver solution - GRR Non - linear solver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<sst xmlns="http://schemas.openxmlformats.org/spreadsheetml/2006/main" count="449" uniqueCount="200">
  <si>
    <t>Year</t>
  </si>
  <si>
    <t>MMR Doses</t>
  </si>
  <si>
    <t>α</t>
  </si>
  <si>
    <t>Y1</t>
  </si>
  <si>
    <t>Y2</t>
  </si>
  <si>
    <t>a</t>
  </si>
  <si>
    <t>b</t>
  </si>
  <si>
    <t>Forecast</t>
  </si>
  <si>
    <t>Mean Absolute error in the forecast</t>
  </si>
  <si>
    <t>Forecasted MMR doses in 2040</t>
  </si>
  <si>
    <t>Adjusted forecast for 2040</t>
  </si>
  <si>
    <t>Abs.Error in forecast</t>
  </si>
  <si>
    <t>Upper limit forecast</t>
  </si>
  <si>
    <t>Lower limit forecast</t>
  </si>
  <si>
    <t>MAE</t>
  </si>
  <si>
    <t>Alpha Vs MAE</t>
  </si>
  <si>
    <t>Optimal α value</t>
  </si>
  <si>
    <t>Capacity  of each lorry</t>
  </si>
  <si>
    <t>Cost per truck</t>
  </si>
  <si>
    <t>Cost per truck above 5 trucks</t>
  </si>
  <si>
    <t>San Jose
Production facility</t>
  </si>
  <si>
    <t xml:space="preserve">Warehouse
</t>
  </si>
  <si>
    <t>Rate of increase/annum</t>
  </si>
  <si>
    <t>Demand - D</t>
  </si>
  <si>
    <t>Q</t>
  </si>
  <si>
    <t>number of deliveries/year</t>
  </si>
  <si>
    <t>Number of trucks</t>
  </si>
  <si>
    <t>Holding cost</t>
  </si>
  <si>
    <t>Total cost</t>
  </si>
  <si>
    <t>Fixed-Delivery cost</t>
  </si>
  <si>
    <t>Variable-Delivery cost</t>
  </si>
  <si>
    <t>Total Delivery cost</t>
  </si>
  <si>
    <t>Min. Inventory cost</t>
  </si>
  <si>
    <t>Q*</t>
  </si>
  <si>
    <t>Inventory optimization - 2023</t>
  </si>
  <si>
    <t>Inventory optimization - 2040</t>
  </si>
  <si>
    <t>Fixed cost for warehouse</t>
  </si>
  <si>
    <t>Variable cost per 10,000 doses</t>
  </si>
  <si>
    <t>Buffer in demand</t>
  </si>
  <si>
    <t>Max. monthly demand</t>
  </si>
  <si>
    <t>Max. monthly demand after buffer</t>
  </si>
  <si>
    <t>Variable cost based on Max. demand</t>
  </si>
  <si>
    <t>Intial payment %</t>
  </si>
  <si>
    <t>Final payment%</t>
  </si>
  <si>
    <t>Month</t>
  </si>
  <si>
    <t>Discount rate/Yr</t>
  </si>
  <si>
    <t>Discount rate/Month</t>
  </si>
  <si>
    <t xml:space="preserve">Weekly penalty for delay </t>
  </si>
  <si>
    <t>Additional cost incurred by CDPH/Week</t>
  </si>
  <si>
    <t>Net cash flow</t>
  </si>
  <si>
    <t>Project completion date - Estimated</t>
  </si>
  <si>
    <t>Project completion date - Required</t>
  </si>
  <si>
    <t>Delay in weeks</t>
  </si>
  <si>
    <t>Net Present Value(NPV)</t>
  </si>
  <si>
    <t>Construction Cost - Discounted Cash Flow</t>
  </si>
  <si>
    <t xml:space="preserve">Future value </t>
  </si>
  <si>
    <t>Data Table</t>
  </si>
  <si>
    <t>DATA TABLE</t>
  </si>
  <si>
    <t>Activity</t>
  </si>
  <si>
    <t>Code</t>
  </si>
  <si>
    <t>Predecessor</t>
  </si>
  <si>
    <t>Time Estimate (days)</t>
  </si>
  <si>
    <t>Crash Cost</t>
  </si>
  <si>
    <t>$/day</t>
  </si>
  <si>
    <t>Optimistic</t>
  </si>
  <si>
    <t>Most Likely</t>
  </si>
  <si>
    <t>Pessimistic</t>
  </si>
  <si>
    <t>Building Design</t>
  </si>
  <si>
    <t>A</t>
  </si>
  <si>
    <t>---</t>
  </si>
  <si>
    <t>Site Preparation</t>
  </si>
  <si>
    <t>B</t>
  </si>
  <si>
    <t>Lay Foundation</t>
  </si>
  <si>
    <t>C</t>
  </si>
  <si>
    <t>A, B</t>
  </si>
  <si>
    <t>Build Frame</t>
  </si>
  <si>
    <t>D</t>
  </si>
  <si>
    <t>Install Siding</t>
  </si>
  <si>
    <t>E</t>
  </si>
  <si>
    <t>Install Roof</t>
  </si>
  <si>
    <t>F</t>
  </si>
  <si>
    <t>Electrical</t>
  </si>
  <si>
    <t>G</t>
  </si>
  <si>
    <t>E, F</t>
  </si>
  <si>
    <t>Plumbing</t>
  </si>
  <si>
    <t>H</t>
  </si>
  <si>
    <t>Finish Interior</t>
  </si>
  <si>
    <t>I</t>
  </si>
  <si>
    <t>G, H</t>
  </si>
  <si>
    <t>Furnishings</t>
  </si>
  <si>
    <t>J</t>
  </si>
  <si>
    <t>PROJECT MANAGEMENT</t>
  </si>
  <si>
    <t>Time Estimated</t>
  </si>
  <si>
    <t>Crash cost/day
$/day</t>
  </si>
  <si>
    <t>Mean Time
(Days)</t>
  </si>
  <si>
    <t>Variance in duration
(Days)</t>
  </si>
  <si>
    <t>Slack</t>
  </si>
  <si>
    <t>Critical activity
(Yes/No)</t>
  </si>
  <si>
    <t>Critical path mean time</t>
  </si>
  <si>
    <t>Critical path variance in duration
(Days)</t>
  </si>
  <si>
    <t>Days</t>
  </si>
  <si>
    <t>PERT - Construction activity</t>
  </si>
  <si>
    <t>Mean time</t>
  </si>
  <si>
    <t>Variance</t>
  </si>
  <si>
    <t>Start date</t>
  </si>
  <si>
    <t>End date</t>
  </si>
  <si>
    <t>Early start</t>
  </si>
  <si>
    <t>Late start</t>
  </si>
  <si>
    <t>Early finish</t>
  </si>
  <si>
    <t>Late finish</t>
  </si>
  <si>
    <t xml:space="preserve">Summary </t>
  </si>
  <si>
    <t>Expected date of completion</t>
  </si>
  <si>
    <t>days</t>
  </si>
  <si>
    <t>Z</t>
  </si>
  <si>
    <t>Std dev.</t>
  </si>
  <si>
    <t>P(completing within deadline)</t>
  </si>
  <si>
    <t>Upper bound time</t>
  </si>
  <si>
    <t>Lower bound time</t>
  </si>
  <si>
    <t>Cash inflow</t>
  </si>
  <si>
    <t>Cash outflow</t>
  </si>
  <si>
    <t>Time period</t>
  </si>
  <si>
    <t>Total Holding cost</t>
  </si>
  <si>
    <t>Optimal time bet deliveries</t>
  </si>
  <si>
    <t>Optimal days between deliveries</t>
  </si>
  <si>
    <t>Doses</t>
  </si>
  <si>
    <t>Least MAE value</t>
  </si>
  <si>
    <t>Optimal α</t>
  </si>
  <si>
    <t>T</t>
  </si>
  <si>
    <t>Future value</t>
  </si>
  <si>
    <t>Trucks</t>
  </si>
  <si>
    <t>no. of deliveries</t>
  </si>
  <si>
    <t>Logistic Optimization - Master</t>
  </si>
  <si>
    <t>Furnishing</t>
  </si>
  <si>
    <t>Crashing days</t>
  </si>
  <si>
    <t>CRASHING THE PROJECT</t>
  </si>
  <si>
    <t>Install Sliding</t>
  </si>
  <si>
    <t>Build frame</t>
  </si>
  <si>
    <t>Site preparation</t>
  </si>
  <si>
    <t>PERT - Construction activity - Crashing</t>
  </si>
  <si>
    <t>GRR Solver</t>
  </si>
  <si>
    <t>Discount rates/Month</t>
  </si>
  <si>
    <t>Activity with max. time</t>
  </si>
  <si>
    <t>D(Expected duration)</t>
  </si>
  <si>
    <t>Max. activity  time</t>
  </si>
  <si>
    <t>Lay founation</t>
  </si>
  <si>
    <t>No. of days cashed</t>
  </si>
  <si>
    <t>Total cost for crashing</t>
  </si>
  <si>
    <t>Corrected Mean Time
(Days)</t>
  </si>
  <si>
    <t>Crashing cost</t>
  </si>
  <si>
    <t>P.V*(1+r)^T</t>
  </si>
  <si>
    <t>Table of Contents</t>
  </si>
  <si>
    <t>Master Sheet - Forecasting</t>
  </si>
  <si>
    <t>Double exp. Smoothening</t>
  </si>
  <si>
    <t>Project management - Master</t>
  </si>
  <si>
    <t>Project management - Node model</t>
  </si>
  <si>
    <t>Project management - Project crash</t>
  </si>
  <si>
    <t>Construction cost</t>
  </si>
  <si>
    <t>Logistic Optimization - 2023</t>
  </si>
  <si>
    <t>Logistic Optimization - 2040</t>
  </si>
  <si>
    <r>
      <t>C</t>
    </r>
    <r>
      <rPr>
        <vertAlign val="subscript"/>
        <sz val="16"/>
        <color theme="1"/>
        <rFont val="Calibri"/>
        <family val="2"/>
        <scheme val="minor"/>
      </rPr>
      <t>0</t>
    </r>
  </si>
  <si>
    <r>
      <t>C</t>
    </r>
    <r>
      <rPr>
        <vertAlign val="subscript"/>
        <sz val="16"/>
        <color theme="1"/>
        <rFont val="Calibri"/>
        <family val="2"/>
        <scheme val="minor"/>
      </rPr>
      <t xml:space="preserve">h </t>
    </r>
    <r>
      <rPr>
        <sz val="16"/>
        <color theme="1"/>
        <rFont val="Calibri"/>
        <family val="2"/>
        <scheme val="minor"/>
      </rPr>
      <t>- Fixed</t>
    </r>
  </si>
  <si>
    <r>
      <t>C</t>
    </r>
    <r>
      <rPr>
        <vertAlign val="subscript"/>
        <sz val="16"/>
        <color theme="1"/>
        <rFont val="Calibri"/>
        <family val="2"/>
        <scheme val="minor"/>
      </rPr>
      <t xml:space="preserve">h </t>
    </r>
    <r>
      <rPr>
        <sz val="16"/>
        <color theme="1"/>
        <rFont val="Calibri"/>
        <family val="2"/>
        <scheme val="minor"/>
      </rPr>
      <t>- variable per 10,000doses/month</t>
    </r>
  </si>
  <si>
    <r>
      <t>C</t>
    </r>
    <r>
      <rPr>
        <vertAlign val="subscript"/>
        <sz val="16"/>
        <color theme="1"/>
        <rFont val="Calibri"/>
        <family val="2"/>
        <scheme val="minor"/>
      </rPr>
      <t xml:space="preserve">h </t>
    </r>
    <r>
      <rPr>
        <sz val="16"/>
        <color theme="1"/>
        <rFont val="Calibri"/>
        <family val="2"/>
        <scheme val="minor"/>
      </rPr>
      <t>- variable per 10,000doses/year</t>
    </r>
  </si>
  <si>
    <t>SUMMARY</t>
  </si>
  <si>
    <t>Demand forecasting for MMR vaccine doses</t>
  </si>
  <si>
    <t>Demand forecasted for 2040</t>
  </si>
  <si>
    <t>doses</t>
  </si>
  <si>
    <t>Mean</t>
  </si>
  <si>
    <t>Critical</t>
  </si>
  <si>
    <t>CP Mean</t>
  </si>
  <si>
    <t>CP Variance</t>
  </si>
  <si>
    <t>Start Date</t>
  </si>
  <si>
    <t xml:space="preserve">Deadline Date </t>
  </si>
  <si>
    <t>No of Days for deadline</t>
  </si>
  <si>
    <t>Std Normal Variance (Z)</t>
  </si>
  <si>
    <t>Probability</t>
  </si>
  <si>
    <t>95% Confidence level</t>
  </si>
  <si>
    <t>Lower Bound</t>
  </si>
  <si>
    <t>Upper Bound</t>
  </si>
  <si>
    <t/>
  </si>
  <si>
    <t>a. The expected duration of the completion of the project is</t>
  </si>
  <si>
    <t>The expected completion date is</t>
  </si>
  <si>
    <t xml:space="preserve">b. 95% confidence interval </t>
  </si>
  <si>
    <t>date</t>
  </si>
  <si>
    <t>c. The probabilty that the project will be completed at the given deadline</t>
  </si>
  <si>
    <t>Project Crashing</t>
  </si>
  <si>
    <t>If we would wish to reduce the total duration of the project ,we should try to reduce (crash) the duraton of each of the critical activities.</t>
  </si>
  <si>
    <t xml:space="preserve">We should reduce the activities until another parallel activity  becomes critical. </t>
  </si>
  <si>
    <t>But, according to the requirment from CDPH we cant crash any activity for more than 5 days .</t>
  </si>
  <si>
    <r>
      <t xml:space="preserve">First reduce activity </t>
    </r>
    <r>
      <rPr>
        <b/>
        <sz val="14"/>
        <color rgb="FFFF0000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for 5 days ,because it has the lowest crashing cost per day .i,e</t>
    </r>
  </si>
  <si>
    <r>
      <t>Then reduce the second cheapest activity, which is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5 days </t>
    </r>
  </si>
  <si>
    <r>
      <t xml:space="preserve">Then the next cheapest per day cost is activity </t>
    </r>
    <r>
      <rPr>
        <b/>
        <sz val="14"/>
        <color rgb="FFFF0000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, which is reduced by 4 days </t>
    </r>
  </si>
  <si>
    <r>
      <t xml:space="preserve">Next cheapest per day cost is activity </t>
    </r>
    <r>
      <rPr>
        <b/>
        <sz val="14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,which can be reduced by 2 days </t>
    </r>
  </si>
  <si>
    <r>
      <t xml:space="preserve">The next cheapest per day cost is activity </t>
    </r>
    <r>
      <rPr>
        <b/>
        <sz val="14"/>
        <color rgb="FFFF0000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which can be reduced by 5 days </t>
    </r>
  </si>
  <si>
    <r>
      <t xml:space="preserve">The next cheapest per day cost is activity </t>
    </r>
    <r>
      <rPr>
        <b/>
        <sz val="14"/>
        <color rgb="FFFF0000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,which can be reduced by 5 days </t>
    </r>
  </si>
  <si>
    <r>
      <t xml:space="preserve">Next cheapest per day cost and the last critical activity is </t>
    </r>
    <r>
      <rPr>
        <b/>
        <sz val="14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,which can be reduced by 5 days </t>
    </r>
  </si>
  <si>
    <t xml:space="preserve">Total number of days reduced by project crashing is </t>
  </si>
  <si>
    <t>Total cost incurred by project crashing along CPM</t>
  </si>
  <si>
    <t>The estimated completion date after crashing is forecasted to be</t>
  </si>
  <si>
    <t>Input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</si>
</sst>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%"/>
    <numFmt numFmtId="166" formatCode="[$$-C09]#,##0.00"/>
    <numFmt numFmtId="167" formatCode="[$$-1004]#,##0.00"/>
    <numFmt numFmtId="168" formatCode="[$$-C09]#,##0"/>
    <numFmt numFmtId="169" formatCode="[$-F800]dddd\,\ mmmm\ dd\,\ yyyy"/>
    <numFmt numFmtId="170" formatCode="[$$-1009]#,##0.00;[Red]\-[$$-1009]#,##0.00"/>
    <numFmt numFmtId="171" formatCode="0.000"/>
    <numFmt numFmtId="172" formatCode="0.00;[Red]0.00"/>
    <numFmt numFmtId="173" formatCode="[$-14009]dd/mm/yyyy;@"/>
    <numFmt numFmtId="174" formatCode="[$$-409]#,##0;[Red][$$-409]#,##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3" tint="0.39997558519241921"/>
      <name val="Calibri"/>
      <family val="2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C0088B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Times New Roman"/>
      <family val="1"/>
    </font>
    <font>
      <b/>
      <sz val="11"/>
      <color rgb="FF00B0F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6" fillId="0" borderId="0"/>
  </cellStyleXfs>
  <cellXfs count="5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168" fontId="0" fillId="0" borderId="0" xfId="0" applyNumberFormat="1"/>
    <xf numFmtId="166" fontId="0" fillId="0" borderId="0" xfId="0" applyNumberFormat="1"/>
    <xf numFmtId="16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8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/>
    <xf numFmtId="168" fontId="5" fillId="0" borderId="1" xfId="0" applyNumberFormat="1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167" fontId="0" fillId="0" borderId="0" xfId="0" applyNumberFormat="1"/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9" fontId="1" fillId="5" borderId="8" xfId="0" applyNumberFormat="1" applyFont="1" applyFill="1" applyBorder="1" applyAlignment="1">
      <alignment horizontal="center"/>
    </xf>
    <xf numFmtId="169" fontId="1" fillId="5" borderId="9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3" fillId="7" borderId="17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0" fontId="4" fillId="0" borderId="39" xfId="0" applyFont="1" applyBorder="1" applyAlignment="1"/>
    <xf numFmtId="0" fontId="4" fillId="0" borderId="18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3" xfId="0" applyFont="1" applyBorder="1" applyAlignment="1">
      <alignment horizontal="center"/>
    </xf>
    <xf numFmtId="0" fontId="0" fillId="0" borderId="0" xfId="0" applyFill="1"/>
    <xf numFmtId="0" fontId="5" fillId="0" borderId="2" xfId="0" applyFont="1" applyBorder="1" applyAlignment="1">
      <alignment horizontal="center" vertical="center"/>
    </xf>
    <xf numFmtId="3" fontId="4" fillId="0" borderId="33" xfId="0" applyNumberFormat="1" applyFont="1" applyBorder="1" applyAlignment="1">
      <alignment horizontal="center"/>
    </xf>
    <xf numFmtId="3" fontId="4" fillId="0" borderId="37" xfId="0" applyNumberFormat="1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7" xfId="0" applyNumberFormat="1" applyBorder="1"/>
    <xf numFmtId="164" fontId="0" fillId="0" borderId="14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" fontId="0" fillId="0" borderId="10" xfId="0" applyNumberFormat="1" applyBorder="1"/>
    <xf numFmtId="164" fontId="1" fillId="0" borderId="13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164" fontId="1" fillId="0" borderId="4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41" xfId="0" applyNumberFormat="1" applyFont="1" applyBorder="1" applyAlignment="1">
      <alignment horizontal="center"/>
    </xf>
    <xf numFmtId="164" fontId="9" fillId="8" borderId="38" xfId="0" applyNumberFormat="1" applyFont="1" applyFill="1" applyBorder="1" applyAlignment="1">
      <alignment horizontal="center"/>
    </xf>
    <xf numFmtId="164" fontId="9" fillId="8" borderId="24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0" borderId="1" xfId="0" applyFont="1" applyBorder="1"/>
    <xf numFmtId="9" fontId="1" fillId="0" borderId="0" xfId="1" applyFont="1" applyAlignment="1">
      <alignment horizontal="left"/>
    </xf>
    <xf numFmtId="0" fontId="15" fillId="0" borderId="3" xfId="0" applyFont="1" applyBorder="1"/>
    <xf numFmtId="0" fontId="15" fillId="0" borderId="30" xfId="0" applyFont="1" applyBorder="1" applyAlignment="1">
      <alignment horizontal="center"/>
    </xf>
    <xf numFmtId="14" fontId="15" fillId="0" borderId="4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31" xfId="0" applyNumberFormat="1" applyBorder="1" applyAlignment="1">
      <alignment horizontal="center"/>
    </xf>
    <xf numFmtId="10" fontId="5" fillId="0" borderId="1" xfId="1" applyNumberFormat="1" applyFont="1" applyBorder="1" applyAlignment="1">
      <alignment horizontal="center"/>
    </xf>
    <xf numFmtId="170" fontId="1" fillId="2" borderId="4" xfId="0" applyNumberFormat="1" applyFont="1" applyFill="1" applyBorder="1" applyAlignment="1">
      <alignment horizontal="center"/>
    </xf>
    <xf numFmtId="0" fontId="18" fillId="0" borderId="0" xfId="0" applyFont="1"/>
    <xf numFmtId="0" fontId="9" fillId="0" borderId="0" xfId="0" applyFont="1"/>
    <xf numFmtId="0" fontId="21" fillId="0" borderId="0" xfId="0" applyFont="1" applyAlignment="1">
      <alignment horizontal="center"/>
    </xf>
    <xf numFmtId="0" fontId="10" fillId="0" borderId="0" xfId="0" applyFont="1"/>
    <xf numFmtId="16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8" fillId="0" borderId="7" xfId="0" applyFont="1" applyBorder="1" applyAlignment="1">
      <alignment horizontal="center"/>
    </xf>
    <xf numFmtId="164" fontId="9" fillId="2" borderId="9" xfId="0" applyNumberFormat="1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164" fontId="9" fillId="2" borderId="11" xfId="0" applyNumberFormat="1" applyFont="1" applyFill="1" applyBorder="1" applyAlignment="1">
      <alignment horizontal="center"/>
    </xf>
    <xf numFmtId="14" fontId="9" fillId="2" borderId="11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14" fontId="9" fillId="2" borderId="14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14" fontId="0" fillId="0" borderId="0" xfId="0" applyNumberFormat="1" applyAlignment="1">
      <alignment horizontal="left"/>
    </xf>
    <xf numFmtId="170" fontId="0" fillId="0" borderId="0" xfId="0" applyNumberFormat="1" applyAlignment="1">
      <alignment horizontal="center"/>
    </xf>
    <xf numFmtId="170" fontId="0" fillId="0" borderId="0" xfId="0" applyNumberFormat="1"/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8" xfId="0" applyFont="1" applyFill="1" applyBorder="1"/>
    <xf numFmtId="0" fontId="9" fillId="0" borderId="7" xfId="0" applyFont="1" applyBorder="1"/>
    <xf numFmtId="0" fontId="9" fillId="0" borderId="8" xfId="0" applyFont="1" applyBorder="1"/>
    <xf numFmtId="0" fontId="18" fillId="2" borderId="34" xfId="0" applyFont="1" applyFill="1" applyBorder="1"/>
    <xf numFmtId="166" fontId="18" fillId="2" borderId="14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164" fontId="8" fillId="0" borderId="0" xfId="0" applyNumberFormat="1" applyFont="1" applyFill="1" applyBorder="1" applyAlignment="1">
      <alignment horizontal="center"/>
    </xf>
    <xf numFmtId="9" fontId="1" fillId="0" borderId="0" xfId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17" fillId="0" borderId="0" xfId="0" applyFont="1" applyAlignment="1">
      <alignment vertical="center"/>
    </xf>
    <xf numFmtId="0" fontId="1" fillId="6" borderId="2" xfId="0" applyFont="1" applyFill="1" applyBorder="1" applyAlignment="1">
      <alignment vertical="center"/>
    </xf>
    <xf numFmtId="0" fontId="18" fillId="0" borderId="2" xfId="0" applyFont="1" applyBorder="1"/>
    <xf numFmtId="3" fontId="23" fillId="0" borderId="4" xfId="0" applyNumberFormat="1" applyFont="1" applyBorder="1" applyAlignment="1">
      <alignment horizontal="center"/>
    </xf>
    <xf numFmtId="0" fontId="18" fillId="0" borderId="29" xfId="0" applyFont="1" applyBorder="1"/>
    <xf numFmtId="1" fontId="24" fillId="0" borderId="28" xfId="0" applyNumberFormat="1" applyFont="1" applyBorder="1" applyAlignment="1">
      <alignment horizontal="center"/>
    </xf>
    <xf numFmtId="0" fontId="18" fillId="0" borderId="25" xfId="0" applyFont="1" applyBorder="1"/>
    <xf numFmtId="167" fontId="24" fillId="0" borderId="27" xfId="0" applyNumberFormat="1" applyFont="1" applyBorder="1" applyAlignment="1">
      <alignment horizontal="center"/>
    </xf>
    <xf numFmtId="0" fontId="18" fillId="0" borderId="26" xfId="0" applyFont="1" applyBorder="1" applyAlignment="1">
      <alignment wrapText="1"/>
    </xf>
    <xf numFmtId="167" fontId="24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wrapText="1"/>
    </xf>
    <xf numFmtId="167" fontId="18" fillId="0" borderId="4" xfId="0" applyNumberFormat="1" applyFont="1" applyBorder="1" applyAlignment="1">
      <alignment horizontal="center"/>
    </xf>
    <xf numFmtId="0" fontId="14" fillId="5" borderId="15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1" fontId="14" fillId="9" borderId="35" xfId="0" applyNumberFormat="1" applyFont="1" applyFill="1" applyBorder="1" applyAlignment="1">
      <alignment horizontal="center"/>
    </xf>
    <xf numFmtId="2" fontId="14" fillId="9" borderId="35" xfId="0" applyNumberFormat="1" applyFont="1" applyFill="1" applyBorder="1" applyAlignment="1">
      <alignment horizontal="center"/>
    </xf>
    <xf numFmtId="167" fontId="14" fillId="9" borderId="35" xfId="0" applyNumberFormat="1" applyFont="1" applyFill="1" applyBorder="1" applyAlignment="1">
      <alignment horizontal="center"/>
    </xf>
    <xf numFmtId="167" fontId="14" fillId="9" borderId="46" xfId="0" applyNumberFormat="1" applyFont="1" applyFill="1" applyBorder="1" applyAlignment="1">
      <alignment horizontal="center"/>
    </xf>
    <xf numFmtId="3" fontId="19" fillId="0" borderId="18" xfId="0" applyNumberFormat="1" applyFont="1" applyBorder="1" applyAlignment="1">
      <alignment horizontal="center"/>
    </xf>
    <xf numFmtId="164" fontId="19" fillId="0" borderId="18" xfId="0" applyNumberFormat="1" applyFont="1" applyBorder="1" applyAlignment="1">
      <alignment horizontal="center"/>
    </xf>
    <xf numFmtId="1" fontId="19" fillId="0" borderId="18" xfId="0" applyNumberFormat="1" applyFont="1" applyBorder="1" applyAlignment="1">
      <alignment horizontal="center"/>
    </xf>
    <xf numFmtId="167" fontId="19" fillId="0" borderId="18" xfId="0" applyNumberFormat="1" applyFont="1" applyBorder="1" applyAlignment="1">
      <alignment horizontal="center"/>
    </xf>
    <xf numFmtId="167" fontId="19" fillId="0" borderId="33" xfId="0" applyNumberFormat="1" applyFont="1" applyBorder="1" applyAlignment="1">
      <alignment horizontal="center"/>
    </xf>
    <xf numFmtId="3" fontId="19" fillId="0" borderId="1" xfId="0" applyNumberFormat="1" applyFont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167" fontId="19" fillId="0" borderId="1" xfId="0" applyNumberFormat="1" applyFont="1" applyBorder="1" applyAlignment="1">
      <alignment horizontal="center"/>
    </xf>
    <xf numFmtId="167" fontId="19" fillId="0" borderId="31" xfId="0" applyNumberFormat="1" applyFont="1" applyBorder="1" applyAlignment="1">
      <alignment horizontal="center"/>
    </xf>
    <xf numFmtId="3" fontId="19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0" fontId="26" fillId="0" borderId="39" xfId="0" applyFont="1" applyBorder="1" applyAlignment="1">
      <alignment horizontal="center"/>
    </xf>
    <xf numFmtId="167" fontId="20" fillId="2" borderId="40" xfId="0" applyNumberFormat="1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6" fillId="0" borderId="10" xfId="0" applyFont="1" applyBorder="1" applyAlignment="1">
      <alignment horizontal="center"/>
    </xf>
    <xf numFmtId="3" fontId="20" fillId="2" borderId="11" xfId="0" applyNumberFormat="1" applyFont="1" applyFill="1" applyBorder="1" applyAlignment="1">
      <alignment horizontal="center"/>
    </xf>
    <xf numFmtId="171" fontId="20" fillId="0" borderId="11" xfId="0" applyNumberFormat="1" applyFont="1" applyBorder="1" applyAlignment="1">
      <alignment horizontal="center" vertical="center"/>
    </xf>
    <xf numFmtId="0" fontId="26" fillId="0" borderId="45" xfId="0" applyFont="1" applyFill="1" applyBorder="1" applyAlignment="1">
      <alignment horizontal="center"/>
    </xf>
    <xf numFmtId="0" fontId="20" fillId="0" borderId="24" xfId="0" applyFont="1" applyBorder="1" applyAlignment="1">
      <alignment horizontal="center"/>
    </xf>
    <xf numFmtId="3" fontId="14" fillId="9" borderId="34" xfId="0" applyNumberFormat="1" applyFont="1" applyFill="1" applyBorder="1" applyAlignment="1">
      <alignment horizontal="center"/>
    </xf>
    <xf numFmtId="164" fontId="14" fillId="9" borderId="35" xfId="0" applyNumberFormat="1" applyFont="1" applyFill="1" applyBorder="1" applyAlignment="1">
      <alignment horizontal="center"/>
    </xf>
    <xf numFmtId="167" fontId="14" fillId="9" borderId="35" xfId="0" applyNumberFormat="1" applyFont="1" applyFill="1" applyBorder="1"/>
    <xf numFmtId="167" fontId="14" fillId="9" borderId="46" xfId="0" applyNumberFormat="1" applyFont="1" applyFill="1" applyBorder="1"/>
    <xf numFmtId="167" fontId="19" fillId="0" borderId="18" xfId="0" applyNumberFormat="1" applyFont="1" applyBorder="1"/>
    <xf numFmtId="167" fontId="19" fillId="0" borderId="33" xfId="0" applyNumberFormat="1" applyFont="1" applyBorder="1"/>
    <xf numFmtId="167" fontId="19" fillId="0" borderId="1" xfId="0" applyNumberFormat="1" applyFont="1" applyBorder="1"/>
    <xf numFmtId="167" fontId="19" fillId="0" borderId="31" xfId="0" applyNumberFormat="1" applyFont="1" applyBorder="1"/>
    <xf numFmtId="0" fontId="27" fillId="0" borderId="39" xfId="0" applyFont="1" applyBorder="1" applyAlignment="1">
      <alignment horizontal="center"/>
    </xf>
    <xf numFmtId="167" fontId="18" fillId="2" borderId="33" xfId="0" applyNumberFormat="1" applyFont="1" applyFill="1" applyBorder="1" applyAlignment="1">
      <alignment horizontal="center"/>
    </xf>
    <xf numFmtId="0" fontId="18" fillId="2" borderId="31" xfId="0" applyFont="1" applyFill="1" applyBorder="1" applyAlignment="1">
      <alignment horizontal="center"/>
    </xf>
    <xf numFmtId="0" fontId="28" fillId="0" borderId="10" xfId="0" applyFont="1" applyBorder="1" applyAlignment="1">
      <alignment horizontal="center"/>
    </xf>
    <xf numFmtId="171" fontId="18" fillId="0" borderId="31" xfId="0" applyNumberFormat="1" applyFont="1" applyBorder="1" applyAlignment="1">
      <alignment horizontal="center"/>
    </xf>
    <xf numFmtId="0" fontId="28" fillId="0" borderId="45" xfId="0" applyFont="1" applyFill="1" applyBorder="1" applyAlignment="1">
      <alignment horizontal="center"/>
    </xf>
    <xf numFmtId="0" fontId="18" fillId="0" borderId="43" xfId="0" applyFont="1" applyBorder="1" applyAlignment="1">
      <alignment horizontal="center"/>
    </xf>
    <xf numFmtId="0" fontId="9" fillId="5" borderId="2" xfId="0" applyFont="1" applyFill="1" applyBorder="1" applyAlignment="1">
      <alignment horizontal="left"/>
    </xf>
    <xf numFmtId="0" fontId="18" fillId="0" borderId="7" xfId="0" applyFont="1" applyBorder="1"/>
    <xf numFmtId="1" fontId="29" fillId="0" borderId="9" xfId="0" applyNumberFormat="1" applyFont="1" applyBorder="1" applyAlignment="1">
      <alignment horizontal="center"/>
    </xf>
    <xf numFmtId="0" fontId="18" fillId="0" borderId="10" xfId="0" applyFont="1" applyBorder="1"/>
    <xf numFmtId="166" fontId="29" fillId="0" borderId="9" xfId="0" applyNumberFormat="1" applyFont="1" applyBorder="1" applyAlignment="1">
      <alignment horizontal="center"/>
    </xf>
    <xf numFmtId="0" fontId="18" fillId="0" borderId="12" xfId="0" applyFont="1" applyBorder="1" applyAlignment="1">
      <alignment wrapText="1"/>
    </xf>
    <xf numFmtId="165" fontId="9" fillId="0" borderId="4" xfId="1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18" fillId="4" borderId="4" xfId="0" applyFont="1" applyFill="1" applyBorder="1" applyAlignment="1">
      <alignment horizontal="center"/>
    </xf>
    <xf numFmtId="1" fontId="18" fillId="0" borderId="9" xfId="0" applyNumberFormat="1" applyFont="1" applyBorder="1" applyAlignment="1">
      <alignment horizontal="center"/>
    </xf>
    <xf numFmtId="166" fontId="9" fillId="0" borderId="9" xfId="0" applyNumberFormat="1" applyFont="1" applyBorder="1" applyAlignment="1">
      <alignment horizontal="center"/>
    </xf>
    <xf numFmtId="0" fontId="18" fillId="0" borderId="45" xfId="0" applyFont="1" applyFill="1" applyBorder="1"/>
    <xf numFmtId="1" fontId="9" fillId="0" borderId="41" xfId="0" applyNumberFormat="1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3" fontId="18" fillId="0" borderId="1" xfId="0" applyNumberFormat="1" applyFont="1" applyBorder="1"/>
    <xf numFmtId="0" fontId="18" fillId="0" borderId="1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3" fontId="29" fillId="0" borderId="1" xfId="0" applyNumberFormat="1" applyFont="1" applyBorder="1" applyAlignment="1">
      <alignment horizontal="center"/>
    </xf>
    <xf numFmtId="3" fontId="18" fillId="2" borderId="1" xfId="0" applyNumberFormat="1" applyFont="1" applyFill="1" applyBorder="1"/>
    <xf numFmtId="1" fontId="18" fillId="0" borderId="11" xfId="0" applyNumberFormat="1" applyFont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3" fontId="18" fillId="0" borderId="11" xfId="0" applyNumberFormat="1" applyFont="1" applyBorder="1" applyAlignment="1">
      <alignment horizontal="center"/>
    </xf>
    <xf numFmtId="0" fontId="18" fillId="0" borderId="1" xfId="0" applyFont="1" applyBorder="1"/>
    <xf numFmtId="0" fontId="18" fillId="0" borderId="13" xfId="0" applyFont="1" applyBorder="1"/>
    <xf numFmtId="3" fontId="18" fillId="0" borderId="14" xfId="0" applyNumberFormat="1" applyFont="1" applyBorder="1" applyAlignment="1">
      <alignment horizontal="center"/>
    </xf>
    <xf numFmtId="0" fontId="31" fillId="0" borderId="39" xfId="0" applyFont="1" applyBorder="1" applyAlignment="1">
      <alignment horizontal="center"/>
    </xf>
    <xf numFmtId="3" fontId="31" fillId="0" borderId="18" xfId="0" applyNumberFormat="1" applyFont="1" applyBorder="1" applyAlignment="1">
      <alignment horizontal="center"/>
    </xf>
    <xf numFmtId="3" fontId="18" fillId="0" borderId="18" xfId="0" applyNumberFormat="1" applyFont="1" applyBorder="1"/>
    <xf numFmtId="0" fontId="18" fillId="0" borderId="18" xfId="0" applyFont="1" applyBorder="1" applyAlignment="1">
      <alignment horizontal="center"/>
    </xf>
    <xf numFmtId="0" fontId="18" fillId="2" borderId="18" xfId="0" applyFont="1" applyFill="1" applyBorder="1"/>
    <xf numFmtId="0" fontId="18" fillId="0" borderId="40" xfId="0" applyFont="1" applyBorder="1" applyAlignment="1">
      <alignment horizontal="center"/>
    </xf>
    <xf numFmtId="0" fontId="30" fillId="0" borderId="34" xfId="0" applyFont="1" applyBorder="1" applyAlignment="1">
      <alignment horizontal="center"/>
    </xf>
    <xf numFmtId="0" fontId="30" fillId="0" borderId="35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2" borderId="35" xfId="0" applyFont="1" applyFill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2" borderId="7" xfId="0" applyFont="1" applyFill="1" applyBorder="1"/>
    <xf numFmtId="4" fontId="18" fillId="2" borderId="6" xfId="0" applyNumberFormat="1" applyFont="1" applyFill="1" applyBorder="1" applyAlignment="1">
      <alignment horizontal="center"/>
    </xf>
    <xf numFmtId="0" fontId="9" fillId="2" borderId="10" xfId="0" applyFont="1" applyFill="1" applyBorder="1"/>
    <xf numFmtId="3" fontId="18" fillId="2" borderId="11" xfId="0" applyNumberFormat="1" applyFont="1" applyFill="1" applyBorder="1" applyAlignment="1">
      <alignment horizontal="center"/>
    </xf>
    <xf numFmtId="0" fontId="9" fillId="2" borderId="48" xfId="0" applyFont="1" applyFill="1" applyBorder="1"/>
    <xf numFmtId="3" fontId="18" fillId="2" borderId="49" xfId="0" applyNumberFormat="1" applyFont="1" applyFill="1" applyBorder="1" applyAlignment="1">
      <alignment horizontal="center"/>
    </xf>
    <xf numFmtId="0" fontId="18" fillId="2" borderId="39" xfId="0" applyFont="1" applyFill="1" applyBorder="1"/>
    <xf numFmtId="3" fontId="18" fillId="2" borderId="40" xfId="0" applyNumberFormat="1" applyFont="1" applyFill="1" applyBorder="1" applyAlignment="1">
      <alignment horizontal="center"/>
    </xf>
    <xf numFmtId="0" fontId="18" fillId="2" borderId="12" xfId="0" applyFont="1" applyFill="1" applyBorder="1"/>
    <xf numFmtId="3" fontId="18" fillId="2" borderId="14" xfId="0" applyNumberFormat="1" applyFont="1" applyFill="1" applyBorder="1" applyAlignment="1">
      <alignment horizontal="center"/>
    </xf>
    <xf numFmtId="3" fontId="9" fillId="0" borderId="31" xfId="0" applyNumberFormat="1" applyFont="1" applyFill="1" applyBorder="1" applyAlignment="1">
      <alignment horizontal="center" vertical="center"/>
    </xf>
    <xf numFmtId="3" fontId="18" fillId="3" borderId="2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3" fontId="18" fillId="1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8" fillId="0" borderId="31" xfId="0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vertical="center"/>
    </xf>
    <xf numFmtId="3" fontId="9" fillId="2" borderId="9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4" xfId="0" applyFont="1" applyFill="1" applyBorder="1"/>
    <xf numFmtId="0" fontId="30" fillId="0" borderId="2" xfId="0" applyFont="1" applyBorder="1" applyAlignment="1">
      <alignment horizontal="center" vertical="center"/>
    </xf>
    <xf numFmtId="0" fontId="29" fillId="0" borderId="39" xfId="0" applyFont="1" applyBorder="1" applyAlignment="1"/>
    <xf numFmtId="0" fontId="29" fillId="0" borderId="18" xfId="0" applyFont="1" applyBorder="1" applyAlignment="1">
      <alignment horizontal="center"/>
    </xf>
    <xf numFmtId="3" fontId="29" fillId="0" borderId="33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29" fillId="0" borderId="10" xfId="0" applyFont="1" applyBorder="1" applyAlignment="1"/>
    <xf numFmtId="0" fontId="2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0" fontId="29" fillId="0" borderId="12" xfId="0" applyFont="1" applyBorder="1" applyAlignment="1"/>
    <xf numFmtId="0" fontId="29" fillId="0" borderId="13" xfId="0" applyFont="1" applyBorder="1" applyAlignment="1">
      <alignment horizontal="center"/>
    </xf>
    <xf numFmtId="3" fontId="29" fillId="0" borderId="37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32" fillId="0" borderId="30" xfId="0" applyFont="1" applyBorder="1" applyAlignment="1">
      <alignment horizontal="center"/>
    </xf>
    <xf numFmtId="14" fontId="32" fillId="0" borderId="4" xfId="0" applyNumberFormat="1" applyFont="1" applyBorder="1" applyAlignment="1">
      <alignment horizontal="center"/>
    </xf>
    <xf numFmtId="166" fontId="18" fillId="0" borderId="11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166" fontId="18" fillId="0" borderId="14" xfId="0" applyNumberFormat="1" applyFont="1" applyBorder="1" applyAlignment="1">
      <alignment horizontal="center"/>
    </xf>
    <xf numFmtId="0" fontId="13" fillId="12" borderId="17" xfId="0" applyFont="1" applyFill="1" applyBorder="1" applyAlignment="1">
      <alignment horizontal="center" vertical="center" wrapText="1"/>
    </xf>
    <xf numFmtId="0" fontId="0" fillId="12" borderId="0" xfId="0" applyFill="1"/>
    <xf numFmtId="0" fontId="13" fillId="12" borderId="23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1" fillId="0" borderId="28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center" vertical="center" wrapText="1"/>
    </xf>
    <xf numFmtId="1" fontId="0" fillId="0" borderId="2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36" fillId="0" borderId="3" xfId="0" applyFont="1" applyBorder="1"/>
    <xf numFmtId="14" fontId="36" fillId="0" borderId="2" xfId="0" applyNumberFormat="1" applyFont="1" applyBorder="1"/>
    <xf numFmtId="1" fontId="0" fillId="0" borderId="28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6" fillId="0" borderId="2" xfId="0" applyFont="1" applyBorder="1" applyAlignment="1">
      <alignment wrapText="1"/>
    </xf>
    <xf numFmtId="0" fontId="36" fillId="0" borderId="24" xfId="0" applyFont="1" applyBorder="1"/>
    <xf numFmtId="0" fontId="1" fillId="0" borderId="2" xfId="0" applyFont="1" applyBorder="1" applyAlignment="1">
      <alignment wrapText="1"/>
    </xf>
    <xf numFmtId="172" fontId="0" fillId="0" borderId="2" xfId="0" applyNumberFormat="1" applyBorder="1"/>
    <xf numFmtId="9" fontId="0" fillId="0" borderId="2" xfId="0" applyNumberFormat="1" applyBorder="1"/>
    <xf numFmtId="0" fontId="11" fillId="0" borderId="38" xfId="0" applyFont="1" applyBorder="1" applyAlignment="1">
      <alignment vertical="center" wrapText="1"/>
    </xf>
    <xf numFmtId="0" fontId="11" fillId="0" borderId="24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center" vertical="center" wrapText="1"/>
    </xf>
    <xf numFmtId="1" fontId="0" fillId="0" borderId="38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" xfId="0" applyFont="1" applyBorder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/>
    <xf numFmtId="14" fontId="0" fillId="0" borderId="50" xfId="0" applyNumberFormat="1" applyBorder="1" applyAlignment="1">
      <alignment horizontal="center"/>
    </xf>
    <xf numFmtId="0" fontId="0" fillId="0" borderId="51" xfId="0" applyBorder="1" applyAlignment="1">
      <alignment horizontal="center"/>
    </xf>
    <xf numFmtId="14" fontId="0" fillId="0" borderId="52" xfId="0" applyNumberFormat="1" applyBorder="1" applyAlignment="1">
      <alignment horizontal="center"/>
    </xf>
    <xf numFmtId="173" fontId="0" fillId="0" borderId="50" xfId="0" applyNumberFormat="1" applyBorder="1" applyAlignment="1">
      <alignment horizontal="center"/>
    </xf>
    <xf numFmtId="173" fontId="0" fillId="0" borderId="52" xfId="0" applyNumberFormat="1" applyBorder="1" applyAlignment="1">
      <alignment horizontal="center"/>
    </xf>
    <xf numFmtId="173" fontId="0" fillId="0" borderId="0" xfId="0" applyNumberFormat="1" applyAlignment="1">
      <alignment horizontal="center"/>
    </xf>
    <xf numFmtId="1" fontId="0" fillId="0" borderId="53" xfId="0" applyNumberFormat="1" applyBorder="1" applyAlignment="1">
      <alignment horizontal="center"/>
    </xf>
    <xf numFmtId="173" fontId="0" fillId="0" borderId="55" xfId="0" applyNumberFormat="1" applyBorder="1" applyAlignment="1">
      <alignment horizontal="center"/>
    </xf>
    <xf numFmtId="1" fontId="0" fillId="0" borderId="56" xfId="0" applyNumberFormat="1" applyBorder="1" applyAlignment="1">
      <alignment horizontal="center"/>
    </xf>
    <xf numFmtId="173" fontId="0" fillId="0" borderId="57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1" fontId="0" fillId="0" borderId="0" xfId="0" applyNumberFormat="1"/>
    <xf numFmtId="0" fontId="0" fillId="0" borderId="0" xfId="0" quotePrefix="1"/>
    <xf numFmtId="1" fontId="37" fillId="13" borderId="2" xfId="0" applyNumberFormat="1" applyFont="1" applyFill="1" applyBorder="1" applyAlignment="1">
      <alignment horizontal="center" wrapText="1"/>
    </xf>
    <xf numFmtId="1" fontId="37" fillId="0" borderId="0" xfId="0" applyNumberFormat="1" applyFont="1"/>
    <xf numFmtId="14" fontId="37" fillId="13" borderId="38" xfId="0" applyNumberFormat="1" applyFont="1" applyFill="1" applyBorder="1" applyAlignment="1">
      <alignment horizontal="center"/>
    </xf>
    <xf numFmtId="0" fontId="37" fillId="0" borderId="0" xfId="0" applyFont="1"/>
    <xf numFmtId="0" fontId="37" fillId="13" borderId="2" xfId="0" applyFont="1" applyFill="1" applyBorder="1"/>
    <xf numFmtId="1" fontId="37" fillId="13" borderId="2" xfId="0" applyNumberFormat="1" applyFont="1" applyFill="1" applyBorder="1" applyAlignment="1">
      <alignment horizontal="center"/>
    </xf>
    <xf numFmtId="1" fontId="37" fillId="13" borderId="17" xfId="0" applyNumberFormat="1" applyFont="1" applyFill="1" applyBorder="1" applyAlignment="1">
      <alignment horizontal="center"/>
    </xf>
    <xf numFmtId="0" fontId="1" fillId="0" borderId="0" xfId="0" applyFont="1"/>
    <xf numFmtId="173" fontId="37" fillId="13" borderId="28" xfId="0" applyNumberFormat="1" applyFont="1" applyFill="1" applyBorder="1" applyAlignment="1">
      <alignment horizontal="center"/>
    </xf>
    <xf numFmtId="173" fontId="37" fillId="13" borderId="27" xfId="0" applyNumberFormat="1" applyFont="1" applyFill="1" applyBorder="1" applyAlignment="1">
      <alignment horizontal="center"/>
    </xf>
    <xf numFmtId="9" fontId="37" fillId="13" borderId="38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14" borderId="1" xfId="2" applyFill="1" applyBorder="1" applyAlignment="1">
      <alignment horizontal="center"/>
    </xf>
    <xf numFmtId="174" fontId="0" fillId="0" borderId="1" xfId="0" applyNumberFormat="1" applyBorder="1"/>
    <xf numFmtId="0" fontId="0" fillId="0" borderId="38" xfId="0" applyBorder="1" applyAlignment="1">
      <alignment horizontal="center"/>
    </xf>
    <xf numFmtId="174" fontId="0" fillId="0" borderId="2" xfId="0" applyNumberFormat="1" applyBorder="1"/>
    <xf numFmtId="173" fontId="0" fillId="0" borderId="2" xfId="0" applyNumberFormat="1" applyBorder="1"/>
    <xf numFmtId="1" fontId="9" fillId="4" borderId="2" xfId="0" applyNumberFormat="1" applyFont="1" applyFill="1" applyBorder="1" applyAlignment="1">
      <alignment horizontal="left"/>
    </xf>
    <xf numFmtId="1" fontId="18" fillId="3" borderId="2" xfId="0" applyNumberFormat="1" applyFont="1" applyFill="1" applyBorder="1" applyAlignment="1">
      <alignment horizontal="center"/>
    </xf>
    <xf numFmtId="0" fontId="8" fillId="0" borderId="15" xfId="0" applyFont="1" applyBorder="1"/>
    <xf numFmtId="164" fontId="8" fillId="2" borderId="15" xfId="0" applyNumberFormat="1" applyFont="1" applyFill="1" applyBorder="1" applyAlignment="1">
      <alignment horizontal="center"/>
    </xf>
    <xf numFmtId="0" fontId="29" fillId="0" borderId="39" xfId="0" applyFont="1" applyBorder="1"/>
    <xf numFmtId="0" fontId="29" fillId="0" borderId="10" xfId="0" applyFont="1" applyBorder="1"/>
    <xf numFmtId="0" fontId="29" fillId="0" borderId="12" xfId="0" applyFont="1" applyBorder="1"/>
    <xf numFmtId="0" fontId="9" fillId="0" borderId="9" xfId="0" applyFont="1" applyBorder="1" applyAlignment="1">
      <alignment horizontal="center"/>
    </xf>
    <xf numFmtId="0" fontId="9" fillId="0" borderId="10" xfId="0" applyFont="1" applyBorder="1"/>
    <xf numFmtId="2" fontId="9" fillId="0" borderId="11" xfId="0" applyNumberFormat="1" applyFont="1" applyBorder="1" applyAlignment="1">
      <alignment horizontal="center"/>
    </xf>
    <xf numFmtId="0" fontId="9" fillId="0" borderId="12" xfId="0" applyFont="1" applyBorder="1" applyAlignment="1">
      <alignment horizontal="left" vertical="center" wrapText="1"/>
    </xf>
    <xf numFmtId="9" fontId="18" fillId="0" borderId="0" xfId="1" applyFont="1"/>
    <xf numFmtId="0" fontId="8" fillId="0" borderId="0" xfId="0" applyFont="1"/>
    <xf numFmtId="164" fontId="8" fillId="0" borderId="0" xfId="0" applyNumberFormat="1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4" fontId="9" fillId="0" borderId="4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2" fillId="11" borderId="3" xfId="0" applyFont="1" applyFill="1" applyBorder="1" applyAlignment="1">
      <alignment horizontal="center"/>
    </xf>
    <xf numFmtId="0" fontId="22" fillId="11" borderId="30" xfId="0" applyFont="1" applyFill="1" applyBorder="1" applyAlignment="1">
      <alignment horizontal="center"/>
    </xf>
    <xf numFmtId="0" fontId="22" fillId="11" borderId="4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7" fillId="0" borderId="3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2" fillId="7" borderId="16" xfId="0" applyFont="1" applyFill="1" applyBorder="1" applyAlignment="1">
      <alignment vertical="center" wrapText="1"/>
    </xf>
    <xf numFmtId="0" fontId="12" fillId="7" borderId="20" xfId="0" applyFont="1" applyFill="1" applyBorder="1" applyAlignment="1">
      <alignment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49" fontId="16" fillId="0" borderId="0" xfId="2" applyNumberFormat="1" applyAlignment="1">
      <alignment horizontal="center"/>
    </xf>
    <xf numFmtId="49" fontId="16" fillId="0" borderId="0" xfId="2" applyNumberFormat="1" applyAlignment="1">
      <alignment horizontal="left" wrapText="1"/>
    </xf>
    <xf numFmtId="49" fontId="16" fillId="0" borderId="0" xfId="2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0" fillId="0" borderId="54" xfId="0" applyBorder="1" applyAlignment="1">
      <alignment horizontal="center"/>
    </xf>
    <xf numFmtId="0" fontId="37" fillId="13" borderId="3" xfId="0" applyFont="1" applyFill="1" applyBorder="1" applyAlignment="1">
      <alignment horizontal="center"/>
    </xf>
    <xf numFmtId="0" fontId="37" fillId="13" borderId="30" xfId="0" applyFont="1" applyFill="1" applyBorder="1" applyAlignment="1">
      <alignment horizontal="center"/>
    </xf>
    <xf numFmtId="0" fontId="37" fillId="13" borderId="4" xfId="0" applyFont="1" applyFill="1" applyBorder="1" applyAlignment="1">
      <alignment horizontal="center"/>
    </xf>
    <xf numFmtId="0" fontId="37" fillId="13" borderId="16" xfId="0" applyFont="1" applyFill="1" applyBorder="1" applyAlignment="1">
      <alignment horizontal="center" vertical="center"/>
    </xf>
    <xf numFmtId="0" fontId="37" fillId="13" borderId="19" xfId="0" applyFont="1" applyFill="1" applyBorder="1" applyAlignment="1">
      <alignment horizontal="center" vertical="center"/>
    </xf>
    <xf numFmtId="0" fontId="37" fillId="13" borderId="17" xfId="0" applyFont="1" applyFill="1" applyBorder="1" applyAlignment="1">
      <alignment horizontal="center" vertical="center"/>
    </xf>
    <xf numFmtId="0" fontId="37" fillId="13" borderId="20" xfId="0" applyFont="1" applyFill="1" applyBorder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37" fillId="13" borderId="21" xfId="0" applyFont="1" applyFill="1" applyBorder="1" applyAlignment="1">
      <alignment horizontal="center" vertical="center"/>
    </xf>
    <xf numFmtId="0" fontId="37" fillId="13" borderId="22" xfId="0" applyFont="1" applyFill="1" applyBorder="1" applyAlignment="1">
      <alignment horizontal="center" vertical="center"/>
    </xf>
    <xf numFmtId="0" fontId="37" fillId="13" borderId="23" xfId="0" applyFont="1" applyFill="1" applyBorder="1" applyAlignment="1">
      <alignment horizontal="center" vertical="center"/>
    </xf>
    <xf numFmtId="0" fontId="37" fillId="13" borderId="24" xfId="0" applyFont="1" applyFill="1" applyBorder="1" applyAlignment="1">
      <alignment horizontal="center" vertical="center"/>
    </xf>
    <xf numFmtId="0" fontId="37" fillId="13" borderId="22" xfId="0" applyFont="1" applyFill="1" applyBorder="1" applyAlignment="1">
      <alignment horizontal="right" wrapText="1"/>
    </xf>
    <xf numFmtId="0" fontId="37" fillId="13" borderId="23" xfId="0" applyFont="1" applyFill="1" applyBorder="1" applyAlignment="1">
      <alignment horizontal="right" wrapText="1"/>
    </xf>
    <xf numFmtId="0" fontId="9" fillId="0" borderId="0" xfId="0" applyFont="1" applyAlignment="1">
      <alignment horizontal="center"/>
    </xf>
    <xf numFmtId="0" fontId="37" fillId="13" borderId="16" xfId="0" applyFont="1" applyFill="1" applyBorder="1" applyAlignment="1">
      <alignment horizontal="right" wrapText="1"/>
    </xf>
    <xf numFmtId="0" fontId="37" fillId="13" borderId="19" xfId="0" applyFont="1" applyFill="1" applyBorder="1" applyAlignment="1">
      <alignment horizontal="right" wrapText="1"/>
    </xf>
    <xf numFmtId="0" fontId="37" fillId="13" borderId="22" xfId="0" applyFont="1" applyFill="1" applyBorder="1" applyAlignment="1">
      <alignment horizontal="right"/>
    </xf>
    <xf numFmtId="0" fontId="37" fillId="13" borderId="23" xfId="0" applyFont="1" applyFill="1" applyBorder="1" applyAlignment="1">
      <alignment horizontal="right"/>
    </xf>
    <xf numFmtId="0" fontId="35" fillId="12" borderId="16" xfId="0" applyFont="1" applyFill="1" applyBorder="1" applyAlignment="1">
      <alignment vertical="center" wrapText="1"/>
    </xf>
    <xf numFmtId="0" fontId="35" fillId="12" borderId="22" xfId="0" applyFont="1" applyFill="1" applyBorder="1" applyAlignment="1">
      <alignment vertical="center" wrapText="1"/>
    </xf>
    <xf numFmtId="0" fontId="13" fillId="12" borderId="19" xfId="0" applyFont="1" applyFill="1" applyBorder="1" applyAlignment="1">
      <alignment horizontal="center" vertical="center" wrapText="1"/>
    </xf>
    <xf numFmtId="0" fontId="13" fillId="12" borderId="23" xfId="0" applyFont="1" applyFill="1" applyBorder="1" applyAlignment="1">
      <alignment horizontal="center" vertical="center" wrapText="1"/>
    </xf>
    <xf numFmtId="0" fontId="13" fillId="12" borderId="17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0" fillId="0" borderId="27" xfId="0" applyFont="1" applyBorder="1" applyAlignment="1">
      <alignment vertical="center"/>
    </xf>
    <xf numFmtId="0" fontId="30" fillId="0" borderId="38" xfId="0" applyFont="1" applyBorder="1" applyAlignment="1">
      <alignment vertical="center"/>
    </xf>
    <xf numFmtId="0" fontId="30" fillId="0" borderId="17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9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9" fillId="6" borderId="30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167" fontId="20" fillId="0" borderId="1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3" fontId="20" fillId="0" borderId="31" xfId="0" applyNumberFormat="1" applyFont="1" applyBorder="1" applyAlignment="1">
      <alignment horizontal="center"/>
    </xf>
    <xf numFmtId="3" fontId="20" fillId="0" borderId="42" xfId="0" applyNumberFormat="1" applyFont="1" applyBorder="1" applyAlignment="1">
      <alignment horizontal="center"/>
    </xf>
    <xf numFmtId="171" fontId="20" fillId="0" borderId="31" xfId="0" applyNumberFormat="1" applyFont="1" applyBorder="1" applyAlignment="1">
      <alignment horizontal="center"/>
    </xf>
    <xf numFmtId="171" fontId="20" fillId="0" borderId="42" xfId="0" applyNumberFormat="1" applyFont="1" applyBorder="1" applyAlignment="1">
      <alignment horizontal="center"/>
    </xf>
    <xf numFmtId="0" fontId="20" fillId="0" borderId="43" xfId="0" applyFont="1" applyBorder="1" applyAlignment="1">
      <alignment horizontal="center"/>
    </xf>
    <xf numFmtId="0" fontId="20" fillId="0" borderId="47" xfId="0" applyFont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14" fillId="6" borderId="30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171" fontId="18" fillId="0" borderId="31" xfId="0" applyNumberFormat="1" applyFont="1" applyBorder="1" applyAlignment="1">
      <alignment horizontal="center"/>
    </xf>
    <xf numFmtId="171" fontId="18" fillId="0" borderId="42" xfId="0" applyNumberFormat="1" applyFont="1" applyBorder="1" applyAlignment="1">
      <alignment horizontal="center"/>
    </xf>
    <xf numFmtId="0" fontId="18" fillId="0" borderId="43" xfId="0" applyFont="1" applyBorder="1" applyAlignment="1">
      <alignment horizontal="center"/>
    </xf>
    <xf numFmtId="0" fontId="18" fillId="0" borderId="47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7" fontId="18" fillId="0" borderId="18" xfId="0" applyNumberFormat="1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3" fontId="18" fillId="0" borderId="31" xfId="0" applyNumberFormat="1" applyFont="1" applyBorder="1" applyAlignment="1">
      <alignment horizontal="center"/>
    </xf>
    <xf numFmtId="3" fontId="18" fillId="0" borderId="42" xfId="0" applyNumberFormat="1" applyFont="1" applyBorder="1" applyAlignment="1">
      <alignment horizontal="center"/>
    </xf>
    <xf numFmtId="0" fontId="33" fillId="6" borderId="16" xfId="0" applyFont="1" applyFill="1" applyBorder="1" applyAlignment="1">
      <alignment horizontal="center" vertical="center"/>
    </xf>
    <xf numFmtId="0" fontId="33" fillId="6" borderId="19" xfId="0" applyFont="1" applyFill="1" applyBorder="1" applyAlignment="1">
      <alignment horizontal="center" vertical="center"/>
    </xf>
    <xf numFmtId="0" fontId="33" fillId="6" borderId="17" xfId="0" applyFont="1" applyFill="1" applyBorder="1" applyAlignment="1">
      <alignment horizontal="center" vertical="center"/>
    </xf>
    <xf numFmtId="0" fontId="33" fillId="6" borderId="22" xfId="0" applyFont="1" applyFill="1" applyBorder="1" applyAlignment="1">
      <alignment horizontal="center" vertical="center"/>
    </xf>
    <xf numFmtId="0" fontId="33" fillId="6" borderId="23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30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</cellXfs>
  <cellStyles count="3">
    <cellStyle name="Normal" xfId="0" builtinId="0"/>
    <cellStyle name="Normal 2" xfId="2" xr:uid="{436BB5A4-5173-4A99-A3B5-FFE37B445782}"/>
    <cellStyle name="Percent" xfId="1" builtinId="5"/>
  </cellStyles>
  <dxfs count="6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FF00"/>
      </font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C008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/>
              <a:t>Number of MMR Doses Administered</a:t>
            </a:r>
            <a:r>
              <a:rPr lang="en-GB" sz="1400" baseline="0"/>
              <a:t> in California</a:t>
            </a:r>
            <a:endParaRPr lang="en-GB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sheet - Forecasting'!$B$1</c:f>
              <c:strCache>
                <c:ptCount val="1"/>
                <c:pt idx="0">
                  <c:v>MMR Doses</c:v>
                </c:pt>
              </c:strCache>
            </c:strRef>
          </c:tx>
          <c:xVal>
            <c:numRef>
              <c:f>'Master sheet - Forecasting'!$A$2:$A$32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xVal>
          <c:yVal>
            <c:numRef>
              <c:f>'Master sheet - Forecasting'!$B$2:$B$32</c:f>
              <c:numCache>
                <c:formatCode>#,##0</c:formatCode>
                <c:ptCount val="31"/>
                <c:pt idx="0">
                  <c:v>823184</c:v>
                </c:pt>
                <c:pt idx="1">
                  <c:v>873295</c:v>
                </c:pt>
                <c:pt idx="2">
                  <c:v>896441</c:v>
                </c:pt>
                <c:pt idx="3">
                  <c:v>921411</c:v>
                </c:pt>
                <c:pt idx="4">
                  <c:v>946109</c:v>
                </c:pt>
                <c:pt idx="5">
                  <c:v>978321</c:v>
                </c:pt>
                <c:pt idx="6">
                  <c:v>974782</c:v>
                </c:pt>
                <c:pt idx="7">
                  <c:v>968547</c:v>
                </c:pt>
                <c:pt idx="8">
                  <c:v>953446</c:v>
                </c:pt>
                <c:pt idx="9">
                  <c:v>948634</c:v>
                </c:pt>
                <c:pt idx="10">
                  <c:v>944548</c:v>
                </c:pt>
                <c:pt idx="11">
                  <c:v>957573</c:v>
                </c:pt>
                <c:pt idx="12">
                  <c:v>953401</c:v>
                </c:pt>
                <c:pt idx="13">
                  <c:v>964719</c:v>
                </c:pt>
                <c:pt idx="14">
                  <c:v>984777</c:v>
                </c:pt>
                <c:pt idx="15">
                  <c:v>1013206</c:v>
                </c:pt>
                <c:pt idx="16">
                  <c:v>1025855</c:v>
                </c:pt>
                <c:pt idx="17">
                  <c:v>1053203</c:v>
                </c:pt>
                <c:pt idx="18">
                  <c:v>1057520</c:v>
                </c:pt>
                <c:pt idx="19">
                  <c:v>1036689</c:v>
                </c:pt>
                <c:pt idx="20">
                  <c:v>1007695</c:v>
                </c:pt>
                <c:pt idx="21">
                  <c:v>1002311</c:v>
                </c:pt>
                <c:pt idx="22">
                  <c:v>996451</c:v>
                </c:pt>
                <c:pt idx="23">
                  <c:v>979266</c:v>
                </c:pt>
                <c:pt idx="24">
                  <c:v>944661</c:v>
                </c:pt>
                <c:pt idx="25">
                  <c:v>939770</c:v>
                </c:pt>
                <c:pt idx="26">
                  <c:v>941008</c:v>
                </c:pt>
                <c:pt idx="27">
                  <c:v>967931</c:v>
                </c:pt>
                <c:pt idx="28">
                  <c:v>938371</c:v>
                </c:pt>
                <c:pt idx="29">
                  <c:v>926373</c:v>
                </c:pt>
                <c:pt idx="30">
                  <c:v>907498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6-4927-8024-5780F00DB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02784"/>
        <c:axId val="151916928"/>
      </c:scatterChart>
      <c:valAx>
        <c:axId val="152102784"/>
        <c:scaling>
          <c:orientation val="minMax"/>
          <c:max val="2020"/>
          <c:min val="199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1916928"/>
        <c:crosses val="autoZero"/>
        <c:crossBetween val="midCat"/>
      </c:valAx>
      <c:valAx>
        <c:axId val="151916928"/>
        <c:scaling>
          <c:orientation val="minMax"/>
          <c:max val="1100000"/>
          <c:min val="70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MMR Doses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crossAx val="152102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MMR</a:t>
            </a:r>
            <a:r>
              <a:rPr lang="en-IN" baseline="0"/>
              <a:t> vaccine demand over years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'Double exp.smoothening'!$A$4:$A$34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xVal>
          <c:yVal>
            <c:numRef>
              <c:f>'Double exp.smoothening'!$B$4:$B$34</c:f>
              <c:numCache>
                <c:formatCode>#,##0</c:formatCode>
                <c:ptCount val="31"/>
                <c:pt idx="0">
                  <c:v>823184</c:v>
                </c:pt>
                <c:pt idx="1">
                  <c:v>873295</c:v>
                </c:pt>
                <c:pt idx="2">
                  <c:v>896441</c:v>
                </c:pt>
                <c:pt idx="3">
                  <c:v>921411</c:v>
                </c:pt>
                <c:pt idx="4">
                  <c:v>946109</c:v>
                </c:pt>
                <c:pt idx="5">
                  <c:v>978321</c:v>
                </c:pt>
                <c:pt idx="6">
                  <c:v>974782</c:v>
                </c:pt>
                <c:pt idx="7">
                  <c:v>968547</c:v>
                </c:pt>
                <c:pt idx="8">
                  <c:v>953446</c:v>
                </c:pt>
                <c:pt idx="9">
                  <c:v>948634</c:v>
                </c:pt>
                <c:pt idx="10">
                  <c:v>944548</c:v>
                </c:pt>
                <c:pt idx="11">
                  <c:v>957573</c:v>
                </c:pt>
                <c:pt idx="12">
                  <c:v>953401</c:v>
                </c:pt>
                <c:pt idx="13">
                  <c:v>964719</c:v>
                </c:pt>
                <c:pt idx="14">
                  <c:v>984777</c:v>
                </c:pt>
                <c:pt idx="15">
                  <c:v>1013206</c:v>
                </c:pt>
                <c:pt idx="16">
                  <c:v>1025855</c:v>
                </c:pt>
                <c:pt idx="17">
                  <c:v>1053203</c:v>
                </c:pt>
                <c:pt idx="18">
                  <c:v>1057520</c:v>
                </c:pt>
                <c:pt idx="19">
                  <c:v>1036689</c:v>
                </c:pt>
                <c:pt idx="20">
                  <c:v>1007695</c:v>
                </c:pt>
                <c:pt idx="21">
                  <c:v>1002311</c:v>
                </c:pt>
                <c:pt idx="22">
                  <c:v>996451</c:v>
                </c:pt>
                <c:pt idx="23">
                  <c:v>979266</c:v>
                </c:pt>
                <c:pt idx="24">
                  <c:v>944661</c:v>
                </c:pt>
                <c:pt idx="25">
                  <c:v>939770</c:v>
                </c:pt>
                <c:pt idx="26">
                  <c:v>941008</c:v>
                </c:pt>
                <c:pt idx="27">
                  <c:v>967931</c:v>
                </c:pt>
                <c:pt idx="28">
                  <c:v>938371</c:v>
                </c:pt>
                <c:pt idx="29">
                  <c:v>926373</c:v>
                </c:pt>
                <c:pt idx="30">
                  <c:v>907498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1-4DCC-9B10-763DA9C5C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053023"/>
        <c:axId val="1366056767"/>
      </c:scatterChart>
      <c:valAx>
        <c:axId val="136605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056767"/>
        <c:crosses val="autoZero"/>
        <c:crossBetween val="midCat"/>
      </c:valAx>
      <c:valAx>
        <c:axId val="136605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MMR Doses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05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Forecasted</a:t>
            </a:r>
            <a:r>
              <a:rPr lang="en-IN" baseline="0"/>
              <a:t> Vs Predicted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'Double exp.smoothening'!$A$4:$A$54</c:f>
              <c:numCache>
                <c:formatCode>General</c:formatCode>
                <c:ptCount val="5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</c:numCache>
            </c:numRef>
          </c:cat>
          <c:val>
            <c:numRef>
              <c:f>'Double exp.smoothening'!$B$4:$B$34</c:f>
              <c:numCache>
                <c:formatCode>#,##0</c:formatCode>
                <c:ptCount val="31"/>
                <c:pt idx="0">
                  <c:v>823184</c:v>
                </c:pt>
                <c:pt idx="1">
                  <c:v>873295</c:v>
                </c:pt>
                <c:pt idx="2">
                  <c:v>896441</c:v>
                </c:pt>
                <c:pt idx="3">
                  <c:v>921411</c:v>
                </c:pt>
                <c:pt idx="4">
                  <c:v>946109</c:v>
                </c:pt>
                <c:pt idx="5">
                  <c:v>978321</c:v>
                </c:pt>
                <c:pt idx="6">
                  <c:v>974782</c:v>
                </c:pt>
                <c:pt idx="7">
                  <c:v>968547</c:v>
                </c:pt>
                <c:pt idx="8">
                  <c:v>953446</c:v>
                </c:pt>
                <c:pt idx="9">
                  <c:v>948634</c:v>
                </c:pt>
                <c:pt idx="10">
                  <c:v>944548</c:v>
                </c:pt>
                <c:pt idx="11">
                  <c:v>957573</c:v>
                </c:pt>
                <c:pt idx="12">
                  <c:v>953401</c:v>
                </c:pt>
                <c:pt idx="13">
                  <c:v>964719</c:v>
                </c:pt>
                <c:pt idx="14">
                  <c:v>984777</c:v>
                </c:pt>
                <c:pt idx="15">
                  <c:v>1013206</c:v>
                </c:pt>
                <c:pt idx="16">
                  <c:v>1025855</c:v>
                </c:pt>
                <c:pt idx="17">
                  <c:v>1053203</c:v>
                </c:pt>
                <c:pt idx="18">
                  <c:v>1057520</c:v>
                </c:pt>
                <c:pt idx="19">
                  <c:v>1036689</c:v>
                </c:pt>
                <c:pt idx="20">
                  <c:v>1007695</c:v>
                </c:pt>
                <c:pt idx="21">
                  <c:v>1002311</c:v>
                </c:pt>
                <c:pt idx="22">
                  <c:v>996451</c:v>
                </c:pt>
                <c:pt idx="23">
                  <c:v>979266</c:v>
                </c:pt>
                <c:pt idx="24">
                  <c:v>944661</c:v>
                </c:pt>
                <c:pt idx="25">
                  <c:v>939770</c:v>
                </c:pt>
                <c:pt idx="26">
                  <c:v>941008</c:v>
                </c:pt>
                <c:pt idx="27">
                  <c:v>967931</c:v>
                </c:pt>
                <c:pt idx="28">
                  <c:v>938371</c:v>
                </c:pt>
                <c:pt idx="29">
                  <c:v>926373</c:v>
                </c:pt>
                <c:pt idx="30">
                  <c:v>907498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6-40F4-B759-8D35446C2D12}"/>
            </c:ext>
          </c:extLst>
        </c:ser>
        <c:ser>
          <c:idx val="2"/>
          <c:order val="1"/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'Double exp.smoothening'!$A$4:$A$54</c:f>
              <c:numCache>
                <c:formatCode>General</c:formatCode>
                <c:ptCount val="5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</c:numCache>
            </c:numRef>
          </c:cat>
          <c:val>
            <c:numRef>
              <c:f>'Double exp.smoothening'!$G$4:$G$54</c:f>
              <c:numCache>
                <c:formatCode>#,##0</c:formatCode>
                <c:ptCount val="51"/>
                <c:pt idx="0">
                  <c:v>823184</c:v>
                </c:pt>
                <c:pt idx="1">
                  <c:v>823184</c:v>
                </c:pt>
                <c:pt idx="2">
                  <c:v>898350.5</c:v>
                </c:pt>
                <c:pt idx="3">
                  <c:v>923673.6875</c:v>
                </c:pt>
                <c:pt idx="4">
                  <c:v>947393</c:v>
                </c:pt>
                <c:pt idx="5">
                  <c:v>971307.58203125</c:v>
                </c:pt>
                <c:pt idx="6">
                  <c:v>1006946.041015625</c:v>
                </c:pt>
                <c:pt idx="7">
                  <c:v>987763.35913085938</c:v>
                </c:pt>
                <c:pt idx="8">
                  <c:v>969909.92700195313</c:v>
                </c:pt>
                <c:pt idx="9">
                  <c:v>945375.94105529785</c:v>
                </c:pt>
                <c:pt idx="10">
                  <c:v>941163.97509002686</c:v>
                </c:pt>
                <c:pt idx="11">
                  <c:v>938973.61622905731</c:v>
                </c:pt>
                <c:pt idx="12">
                  <c:v>961509.80967140198</c:v>
                </c:pt>
                <c:pt idx="13">
                  <c:v>954445.86632138491</c:v>
                </c:pt>
                <c:pt idx="14">
                  <c:v>970393.63255622983</c:v>
                </c:pt>
                <c:pt idx="15">
                  <c:v>998285.38713302836</c:v>
                </c:pt>
                <c:pt idx="16">
                  <c:v>1035073.6540317498</c:v>
                </c:pt>
                <c:pt idx="17">
                  <c:v>1044045.8653200606</c:v>
                </c:pt>
                <c:pt idx="18">
                  <c:v>1075396.2667830461</c:v>
                </c:pt>
                <c:pt idx="19">
                  <c:v>1071347.4543090193</c:v>
                </c:pt>
                <c:pt idx="20">
                  <c:v>1032069.9604805694</c:v>
                </c:pt>
                <c:pt idx="21">
                  <c:v>988722.32684597129</c:v>
                </c:pt>
                <c:pt idx="22">
                  <c:v>988609.22839294956</c:v>
                </c:pt>
                <c:pt idx="23">
                  <c:v>987519.40626860131</c:v>
                </c:pt>
                <c:pt idx="24">
                  <c:v>966697.8138597412</c:v>
                </c:pt>
                <c:pt idx="25">
                  <c:v>920558.56903808331</c:v>
                </c:pt>
                <c:pt idx="26">
                  <c:v>923895.98365280742</c:v>
                </c:pt>
                <c:pt idx="27">
                  <c:v>934890.70626152377</c:v>
                </c:pt>
                <c:pt idx="28">
                  <c:v>979403.35415246151</c:v>
                </c:pt>
                <c:pt idx="29">
                  <c:v>931392.19543488545</c:v>
                </c:pt>
                <c:pt idx="30">
                  <c:v>914320.07558291371</c:v>
                </c:pt>
                <c:pt idx="31">
                  <c:v>891720.33807677671</c:v>
                </c:pt>
                <c:pt idx="32">
                  <c:v>891720.33807677671</c:v>
                </c:pt>
                <c:pt idx="33">
                  <c:v>875516.29642962129</c:v>
                </c:pt>
                <c:pt idx="34">
                  <c:v>859312.25478246587</c:v>
                </c:pt>
                <c:pt idx="35">
                  <c:v>843108.21313531045</c:v>
                </c:pt>
                <c:pt idx="36">
                  <c:v>826904.17148815503</c:v>
                </c:pt>
                <c:pt idx="37">
                  <c:v>810700.12984099961</c:v>
                </c:pt>
                <c:pt idx="38">
                  <c:v>794496.08819384419</c:v>
                </c:pt>
                <c:pt idx="39">
                  <c:v>778292.04654668877</c:v>
                </c:pt>
                <c:pt idx="40">
                  <c:v>762088.00489953335</c:v>
                </c:pt>
                <c:pt idx="41">
                  <c:v>745883.96325237793</c:v>
                </c:pt>
                <c:pt idx="42">
                  <c:v>729679.92160522251</c:v>
                </c:pt>
                <c:pt idx="43">
                  <c:v>713475.87995806709</c:v>
                </c:pt>
                <c:pt idx="44">
                  <c:v>697271.83831091167</c:v>
                </c:pt>
                <c:pt idx="45">
                  <c:v>681067.79666375625</c:v>
                </c:pt>
                <c:pt idx="46">
                  <c:v>664863.75501660083</c:v>
                </c:pt>
                <c:pt idx="47">
                  <c:v>648659.71336944541</c:v>
                </c:pt>
                <c:pt idx="48">
                  <c:v>632455.67172228999</c:v>
                </c:pt>
                <c:pt idx="49">
                  <c:v>616251.63007513457</c:v>
                </c:pt>
                <c:pt idx="50">
                  <c:v>600047.58842797915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66-40F4-B759-8D35446C2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063551"/>
        <c:axId val="1586065631"/>
      </c:lineChart>
      <c:catAx>
        <c:axId val="158606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65631"/>
        <c:crosses val="autoZero"/>
        <c:auto val="1"/>
        <c:lblAlgn val="ctr"/>
        <c:lblOffset val="100"/>
        <c:noMultiLvlLbl val="0"/>
      </c:catAx>
      <c:valAx>
        <c:axId val="158606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MMR Doses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Dist. rates Vs NPV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'Construction cost'!$A$30:$A$48</c:f>
              <c:numCache>
                <c:formatCode>0.00%</c:formatCode>
                <c:ptCount val="19"/>
                <c:pt idx="0">
                  <c:v>1E-3</c:v>
                </c:pt>
                <c:pt idx="1">
                  <c:v>1.5E-3</c:v>
                </c:pt>
                <c:pt idx="2">
                  <c:v>2E-3</c:v>
                </c:pt>
                <c:pt idx="3">
                  <c:v>2.5000000000000001E-3</c:v>
                </c:pt>
                <c:pt idx="4">
                  <c:v>3.0000000000000001E-3</c:v>
                </c:pt>
                <c:pt idx="5">
                  <c:v>3.5000000000000001E-3</c:v>
                </c:pt>
                <c:pt idx="6">
                  <c:v>4.0000000000000001E-3</c:v>
                </c:pt>
                <c:pt idx="7">
                  <c:v>4.4999999999999997E-3</c:v>
                </c:pt>
                <c:pt idx="8">
                  <c:v>5.0000000000000001E-3</c:v>
                </c:pt>
                <c:pt idx="9">
                  <c:v>5.4999999999999997E-3</c:v>
                </c:pt>
                <c:pt idx="10">
                  <c:v>6.0000000000000001E-3</c:v>
                </c:pt>
                <c:pt idx="11">
                  <c:v>6.4999999999999997E-3</c:v>
                </c:pt>
                <c:pt idx="12">
                  <c:v>7.0000000000000001E-3</c:v>
                </c:pt>
                <c:pt idx="13">
                  <c:v>7.4999999999999997E-3</c:v>
                </c:pt>
                <c:pt idx="14">
                  <c:v>8.0000000000000002E-3</c:v>
                </c:pt>
                <c:pt idx="15">
                  <c:v>8.5000000000000006E-3</c:v>
                </c:pt>
                <c:pt idx="16">
                  <c:v>8.9999999999999993E-3</c:v>
                </c:pt>
                <c:pt idx="17">
                  <c:v>9.4999999999999998E-3</c:v>
                </c:pt>
                <c:pt idx="18">
                  <c:v>0.01</c:v>
                </c:pt>
              </c:numCache>
            </c:numRef>
          </c:xVal>
          <c:yVal>
            <c:numRef>
              <c:f>'Construction cost'!$B$30:$B$48</c:f>
              <c:numCache>
                <c:formatCode>[$$-1009]#,##0.00;[Red]\-[$$-1009]#,##0.00</c:formatCode>
                <c:ptCount val="19"/>
                <c:pt idx="0">
                  <c:v>4291825.1765229777</c:v>
                </c:pt>
                <c:pt idx="1">
                  <c:v>4286478.1286023427</c:v>
                </c:pt>
                <c:pt idx="2">
                  <c:v>4281143.4754177369</c:v>
                </c:pt>
                <c:pt idx="3">
                  <c:v>4275821.180013245</c:v>
                </c:pt>
                <c:pt idx="4">
                  <c:v>4270511.2055651881</c:v>
                </c:pt>
                <c:pt idx="5">
                  <c:v>4265213.5153815756</c:v>
                </c:pt>
                <c:pt idx="6">
                  <c:v>4259928.0729015693</c:v>
                </c:pt>
                <c:pt idx="7">
                  <c:v>4254654.8416949287</c:v>
                </c:pt>
                <c:pt idx="8">
                  <c:v>4249393.7854614723</c:v>
                </c:pt>
                <c:pt idx="9">
                  <c:v>4244144.8680305481</c:v>
                </c:pt>
                <c:pt idx="10">
                  <c:v>4238908.0533604976</c:v>
                </c:pt>
                <c:pt idx="11">
                  <c:v>4233683.3055381151</c:v>
                </c:pt>
                <c:pt idx="12">
                  <c:v>4228470.5887781233</c:v>
                </c:pt>
                <c:pt idx="13">
                  <c:v>4223269.8674226413</c:v>
                </c:pt>
                <c:pt idx="14">
                  <c:v>4218081.1059406772</c:v>
                </c:pt>
                <c:pt idx="15">
                  <c:v>4212904.2689275797</c:v>
                </c:pt>
                <c:pt idx="16">
                  <c:v>4207739.3211045312</c:v>
                </c:pt>
                <c:pt idx="17">
                  <c:v>4202586.2273180317</c:v>
                </c:pt>
                <c:pt idx="18">
                  <c:v>4197444.9525393844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D1-440C-8446-4025EF929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013263"/>
        <c:axId val="1376023663"/>
      </c:scatterChart>
      <c:valAx>
        <c:axId val="137601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Dist Rates(%)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23663"/>
        <c:crosses val="autoZero"/>
        <c:crossBetween val="midCat"/>
      </c:valAx>
      <c:valAx>
        <c:axId val="137602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NPV($)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1009]#,##0.00;[Red]\-[$$-10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1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Order</a:t>
            </a:r>
            <a:r>
              <a:rPr lang="en-IN" baseline="0"/>
              <a:t> Quantity Vs Inventory Cost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'Logistic Optimization-2023'!$A$14:$A$61</c:f>
              <c:numCache>
                <c:formatCode>#,##0</c:formatCode>
                <c:ptCount val="48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  <c:pt idx="27">
                  <c:v>29000</c:v>
                </c:pt>
                <c:pt idx="28">
                  <c:v>30000</c:v>
                </c:pt>
                <c:pt idx="29">
                  <c:v>31000</c:v>
                </c:pt>
                <c:pt idx="30">
                  <c:v>32000</c:v>
                </c:pt>
                <c:pt idx="31">
                  <c:v>33000</c:v>
                </c:pt>
                <c:pt idx="32">
                  <c:v>34000</c:v>
                </c:pt>
                <c:pt idx="33">
                  <c:v>35000</c:v>
                </c:pt>
                <c:pt idx="34">
                  <c:v>36000</c:v>
                </c:pt>
                <c:pt idx="35">
                  <c:v>37000</c:v>
                </c:pt>
                <c:pt idx="36">
                  <c:v>38000</c:v>
                </c:pt>
                <c:pt idx="37">
                  <c:v>39000</c:v>
                </c:pt>
                <c:pt idx="38">
                  <c:v>40000</c:v>
                </c:pt>
                <c:pt idx="39">
                  <c:v>41000</c:v>
                </c:pt>
                <c:pt idx="40">
                  <c:v>42000</c:v>
                </c:pt>
                <c:pt idx="41">
                  <c:v>43000</c:v>
                </c:pt>
                <c:pt idx="42">
                  <c:v>44000</c:v>
                </c:pt>
                <c:pt idx="43">
                  <c:v>45000</c:v>
                </c:pt>
                <c:pt idx="44">
                  <c:v>46000</c:v>
                </c:pt>
                <c:pt idx="45">
                  <c:v>47000</c:v>
                </c:pt>
                <c:pt idx="46">
                  <c:v>48000</c:v>
                </c:pt>
                <c:pt idx="47">
                  <c:v>49000</c:v>
                </c:pt>
              </c:numCache>
            </c:numRef>
          </c:cat>
          <c:val>
            <c:numRef>
              <c:f>'Logistic Optimization-2023'!$H$14:$H$61</c:f>
              <c:numCache>
                <c:formatCode>[$$-1004]#,##0.00</c:formatCode>
                <c:ptCount val="48"/>
                <c:pt idx="0">
                  <c:v>1216059.6727120206</c:v>
                </c:pt>
                <c:pt idx="1">
                  <c:v>1028807.9258957591</c:v>
                </c:pt>
                <c:pt idx="2">
                  <c:v>940612.81190950377</c:v>
                </c:pt>
                <c:pt idx="3">
                  <c:v>892040.35105525027</c:v>
                </c:pt>
                <c:pt idx="4">
                  <c:v>846769.77796199708</c:v>
                </c:pt>
                <c:pt idx="5">
                  <c:v>817536.94542217348</c:v>
                </c:pt>
                <c:pt idx="6">
                  <c:v>798327.7007282431</c:v>
                </c:pt>
                <c:pt idx="7">
                  <c:v>785800.84793157503</c:v>
                </c:pt>
                <c:pt idx="8">
                  <c:v>777951.66946299071</c:v>
                </c:pt>
                <c:pt idx="9">
                  <c:v>773504.43596028525</c:v>
                </c:pt>
                <c:pt idx="10">
                  <c:v>771608.66118198913</c:v>
                </c:pt>
                <c:pt idx="11">
                  <c:v>771675.54696093081</c:v>
                </c:pt>
                <c:pt idx="12">
                  <c:v>773284.52317770221</c:v>
                </c:pt>
                <c:pt idx="13">
                  <c:v>776127.17174473754</c:v>
                </c:pt>
                <c:pt idx="14">
                  <c:v>779972.17909636209</c:v>
                </c:pt>
                <c:pt idx="15">
                  <c:v>784642.65838823665</c:v>
                </c:pt>
                <c:pt idx="16">
                  <c:v>790001.030963653</c:v>
                </c:pt>
                <c:pt idx="17">
                  <c:v>795938.68209363089</c:v>
                </c:pt>
                <c:pt idx="18">
                  <c:v>802368.71999498585</c:v>
                </c:pt>
                <c:pt idx="19">
                  <c:v>809220.80370037851</c:v>
                </c:pt>
                <c:pt idx="20">
                  <c:v>816437.38150925818</c:v>
                </c:pt>
                <c:pt idx="21">
                  <c:v>823970.91071247449</c:v>
                </c:pt>
                <c:pt idx="22">
                  <c:v>831781.77238573506</c:v>
                </c:pt>
                <c:pt idx="23">
                  <c:v>839836.68663263484</c:v>
                </c:pt>
                <c:pt idx="24">
                  <c:v>848107.49354083091</c:v>
                </c:pt>
                <c:pt idx="25">
                  <c:v>856570.20503684576</c:v>
                </c:pt>
                <c:pt idx="26">
                  <c:v>865204.2599148415</c:v>
                </c:pt>
                <c:pt idx="27">
                  <c:v>873991.93299737223</c:v>
                </c:pt>
                <c:pt idx="28">
                  <c:v>882917.86246398441</c:v>
                </c:pt>
                <c:pt idx="29">
                  <c:v>891968.66866460512</c:v>
                </c:pt>
                <c:pt idx="30">
                  <c:v>901132.64440542157</c:v>
                </c:pt>
                <c:pt idx="31">
                  <c:v>910399.50154641562</c:v>
                </c:pt>
                <c:pt idx="32">
                  <c:v>919760.1623169838</c:v>
                </c:pt>
                <c:pt idx="33">
                  <c:v>929206.58640601952</c:v>
                </c:pt>
                <c:pt idx="34">
                  <c:v>938731.62687031704</c:v>
                </c:pt>
                <c:pt idx="35">
                  <c:v>948328.90940917947</c:v>
                </c:pt>
                <c:pt idx="36">
                  <c:v>957992.73070093081</c:v>
                </c:pt>
                <c:pt idx="37">
                  <c:v>967717.97237996408</c:v>
                </c:pt>
                <c:pt idx="38">
                  <c:v>977500.0279172333</c:v>
                </c:pt>
                <c:pt idx="39">
                  <c:v>987334.74020116008</c:v>
                </c:pt>
                <c:pt idx="40">
                  <c:v>997218.34803555463</c:v>
                </c:pt>
                <c:pt idx="41">
                  <c:v>1007147.4401029424</c:v>
                </c:pt>
                <c:pt idx="42">
                  <c:v>1017118.9152056195</c:v>
                </c:pt>
                <c:pt idx="43">
                  <c:v>1027129.9478078998</c:v>
                </c:pt>
                <c:pt idx="44">
                  <c:v>1037177.9580728526</c:v>
                </c:pt>
                <c:pt idx="45">
                  <c:v>1047260.5857241373</c:v>
                </c:pt>
                <c:pt idx="46">
                  <c:v>1057375.6671751076</c:v>
                </c:pt>
                <c:pt idx="47">
                  <c:v>1067521.2154584369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7C-4126-8395-E4F4AFCD3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472527"/>
        <c:axId val="1439462127"/>
      </c:lineChart>
      <c:catAx>
        <c:axId val="143947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Order</a:t>
                </a:r>
                <a:r>
                  <a:rPr lang="en-IN" b="1" baseline="0"/>
                  <a:t> Quantity(Q)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462127"/>
        <c:crosses val="autoZero"/>
        <c:auto val="1"/>
        <c:lblAlgn val="ctr"/>
        <c:lblOffset val="100"/>
        <c:noMultiLvlLbl val="0"/>
      </c:catAx>
      <c:valAx>
        <c:axId val="143946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Inventory Cost($)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1004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47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Order</a:t>
            </a:r>
            <a:r>
              <a:rPr lang="en-IN" baseline="0"/>
              <a:t> Quantity Vs Inventory cost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'Logistic Optimization-2040'!$A$14:$A$100</c:f>
              <c:numCache>
                <c:formatCode>#,##0</c:formatCode>
                <c:ptCount val="8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  <c:pt idx="27">
                  <c:v>29000</c:v>
                </c:pt>
                <c:pt idx="28">
                  <c:v>30000</c:v>
                </c:pt>
                <c:pt idx="29">
                  <c:v>31000</c:v>
                </c:pt>
                <c:pt idx="30">
                  <c:v>32000</c:v>
                </c:pt>
                <c:pt idx="31">
                  <c:v>33000</c:v>
                </c:pt>
                <c:pt idx="32">
                  <c:v>34000</c:v>
                </c:pt>
                <c:pt idx="33">
                  <c:v>35000</c:v>
                </c:pt>
                <c:pt idx="34">
                  <c:v>36000</c:v>
                </c:pt>
                <c:pt idx="35">
                  <c:v>37000</c:v>
                </c:pt>
                <c:pt idx="36">
                  <c:v>38000</c:v>
                </c:pt>
                <c:pt idx="37">
                  <c:v>39000</c:v>
                </c:pt>
                <c:pt idx="38">
                  <c:v>40000</c:v>
                </c:pt>
                <c:pt idx="39">
                  <c:v>41000</c:v>
                </c:pt>
                <c:pt idx="40">
                  <c:v>42000</c:v>
                </c:pt>
                <c:pt idx="41">
                  <c:v>43000</c:v>
                </c:pt>
                <c:pt idx="42">
                  <c:v>44000</c:v>
                </c:pt>
                <c:pt idx="43">
                  <c:v>45000</c:v>
                </c:pt>
                <c:pt idx="44">
                  <c:v>46000</c:v>
                </c:pt>
                <c:pt idx="45">
                  <c:v>47000</c:v>
                </c:pt>
                <c:pt idx="46">
                  <c:v>48000</c:v>
                </c:pt>
                <c:pt idx="47">
                  <c:v>49000</c:v>
                </c:pt>
                <c:pt idx="48">
                  <c:v>50000</c:v>
                </c:pt>
                <c:pt idx="49">
                  <c:v>51000</c:v>
                </c:pt>
                <c:pt idx="50">
                  <c:v>52000</c:v>
                </c:pt>
                <c:pt idx="51">
                  <c:v>53000</c:v>
                </c:pt>
                <c:pt idx="52">
                  <c:v>54000</c:v>
                </c:pt>
                <c:pt idx="53">
                  <c:v>55000</c:v>
                </c:pt>
                <c:pt idx="54">
                  <c:v>56000</c:v>
                </c:pt>
                <c:pt idx="55">
                  <c:v>57000</c:v>
                </c:pt>
                <c:pt idx="56">
                  <c:v>58000</c:v>
                </c:pt>
                <c:pt idx="57">
                  <c:v>59000</c:v>
                </c:pt>
                <c:pt idx="58">
                  <c:v>60000</c:v>
                </c:pt>
                <c:pt idx="59">
                  <c:v>61000</c:v>
                </c:pt>
                <c:pt idx="60">
                  <c:v>62000</c:v>
                </c:pt>
                <c:pt idx="61">
                  <c:v>63000</c:v>
                </c:pt>
                <c:pt idx="62">
                  <c:v>64000</c:v>
                </c:pt>
                <c:pt idx="63">
                  <c:v>65000</c:v>
                </c:pt>
                <c:pt idx="64">
                  <c:v>66000</c:v>
                </c:pt>
                <c:pt idx="65">
                  <c:v>67000</c:v>
                </c:pt>
                <c:pt idx="66">
                  <c:v>68000</c:v>
                </c:pt>
                <c:pt idx="67">
                  <c:v>69000</c:v>
                </c:pt>
                <c:pt idx="68">
                  <c:v>70000</c:v>
                </c:pt>
                <c:pt idx="69">
                  <c:v>71000</c:v>
                </c:pt>
                <c:pt idx="70">
                  <c:v>72000</c:v>
                </c:pt>
                <c:pt idx="71">
                  <c:v>73000</c:v>
                </c:pt>
                <c:pt idx="72">
                  <c:v>74000</c:v>
                </c:pt>
                <c:pt idx="73">
                  <c:v>75000</c:v>
                </c:pt>
                <c:pt idx="74">
                  <c:v>76000</c:v>
                </c:pt>
                <c:pt idx="75">
                  <c:v>77000</c:v>
                </c:pt>
                <c:pt idx="76">
                  <c:v>78000</c:v>
                </c:pt>
                <c:pt idx="77">
                  <c:v>79000</c:v>
                </c:pt>
                <c:pt idx="78">
                  <c:v>80000</c:v>
                </c:pt>
                <c:pt idx="79">
                  <c:v>100000</c:v>
                </c:pt>
                <c:pt idx="80">
                  <c:v>200000</c:v>
                </c:pt>
                <c:pt idx="81">
                  <c:v>300000</c:v>
                </c:pt>
                <c:pt idx="82">
                  <c:v>400000</c:v>
                </c:pt>
                <c:pt idx="83">
                  <c:v>500000</c:v>
                </c:pt>
                <c:pt idx="84">
                  <c:v>600000</c:v>
                </c:pt>
                <c:pt idx="85">
                  <c:v>700000</c:v>
                </c:pt>
                <c:pt idx="86">
                  <c:v>800000</c:v>
                </c:pt>
              </c:numCache>
            </c:numRef>
          </c:cat>
          <c:val>
            <c:numRef>
              <c:f>'Logistic Optimization-2040'!$H$14:$H$100</c:f>
              <c:numCache>
                <c:formatCode>[$$-1004]#,##0.00</c:formatCode>
                <c:ptCount val="87"/>
                <c:pt idx="0">
                  <c:v>1281291.7463308657</c:v>
                </c:pt>
                <c:pt idx="1">
                  <c:v>1091213.8786627301</c:v>
                </c:pt>
                <c:pt idx="2">
                  <c:v>1004438.4875370467</c:v>
                </c:pt>
                <c:pt idx="3">
                  <c:v>958984.08702834416</c:v>
                </c:pt>
                <c:pt idx="4">
                  <c:v>916973.10240439023</c:v>
                </c:pt>
                <c:pt idx="5">
                  <c:v>891687.28064921405</c:v>
                </c:pt>
                <c:pt idx="6">
                  <c:v>876854.68568702438</c:v>
                </c:pt>
                <c:pt idx="7">
                  <c:v>868990.90858682536</c:v>
                </c:pt>
                <c:pt idx="8">
                  <c:v>866005.30399001995</c:v>
                </c:pt>
                <c:pt idx="9">
                  <c:v>866567.4612138645</c:v>
                </c:pt>
                <c:pt idx="10">
                  <c:v>869790.43980319635</c:v>
                </c:pt>
                <c:pt idx="11">
                  <c:v>875060.20405828778</c:v>
                </c:pt>
                <c:pt idx="12">
                  <c:v>881938.15705076163</c:v>
                </c:pt>
                <c:pt idx="13">
                  <c:v>890102.66103314166</c:v>
                </c:pt>
                <c:pt idx="14">
                  <c:v>899312.48769482016</c:v>
                </c:pt>
                <c:pt idx="15">
                  <c:v>909383.16832768591</c:v>
                </c:pt>
                <c:pt idx="16">
                  <c:v>920171.22726987419</c:v>
                </c:pt>
                <c:pt idx="17">
                  <c:v>931563.39426201826</c:v>
                </c:pt>
                <c:pt idx="18">
                  <c:v>943469.05309662479</c:v>
                </c:pt>
                <c:pt idx="19">
                  <c:v>955814.84779619926</c:v>
                </c:pt>
                <c:pt idx="20">
                  <c:v>968540.75983370049</c:v>
                </c:pt>
                <c:pt idx="21">
                  <c:v>981597.2086867902</c:v>
                </c:pt>
                <c:pt idx="22">
                  <c:v>994942.87725351984</c:v>
                </c:pt>
                <c:pt idx="23">
                  <c:v>1008543.0591682526</c:v>
                </c:pt>
                <c:pt idx="24">
                  <c:v>1022368.3875062189</c:v>
                </c:pt>
                <c:pt idx="25">
                  <c:v>1036393.8459981707</c:v>
                </c:pt>
                <c:pt idx="26">
                  <c:v>1050597.9921276092</c:v>
                </c:pt>
                <c:pt idx="27">
                  <c:v>1064962.340966519</c:v>
                </c:pt>
                <c:pt idx="28">
                  <c:v>1079470.8722439527</c:v>
                </c:pt>
                <c:pt idx="29">
                  <c:v>1094109.6328206984</c:v>
                </c:pt>
                <c:pt idx="30">
                  <c:v>1108866.4136999454</c:v>
                </c:pt>
                <c:pt idx="31">
                  <c:v>1123730.4857632844</c:v>
                </c:pt>
                <c:pt idx="32">
                  <c:v>1138692.3821415314</c:v>
                </c:pt>
                <c:pt idx="33">
                  <c:v>1153743.7178934081</c:v>
                </c:pt>
                <c:pt idx="34">
                  <c:v>1168877.0397377789</c:v>
                </c:pt>
                <c:pt idx="35">
                  <c:v>1184085.7001536307</c:v>
                </c:pt>
                <c:pt idx="36">
                  <c:v>1199363.7513590045</c:v>
                </c:pt>
                <c:pt idx="37">
                  <c:v>1214705.85560086</c:v>
                </c:pt>
                <c:pt idx="38">
                  <c:v>1230107.2089014612</c:v>
                </c:pt>
                <c:pt idx="39">
                  <c:v>1245563.4759638265</c:v>
                </c:pt>
                <c:pt idx="40">
                  <c:v>1261070.7343764019</c:v>
                </c:pt>
                <c:pt idx="41">
                  <c:v>1276625.4266031254</c:v>
                </c:pt>
                <c:pt idx="42">
                  <c:v>1292224.3185203057</c:v>
                </c:pt>
                <c:pt idx="43">
                  <c:v>1307864.4634819122</c:v>
                </c:pt>
                <c:pt idx="44">
                  <c:v>1323543.1710720039</c:v>
                </c:pt>
                <c:pt idx="45">
                  <c:v>1339257.9798462098</c:v>
                </c:pt>
                <c:pt idx="46">
                  <c:v>1355006.6334805223</c:v>
                </c:pt>
                <c:pt idx="47">
                  <c:v>1370787.0598406494</c:v>
                </c:pt>
                <c:pt idx="48">
                  <c:v>1386597.352563042</c:v>
                </c:pt>
                <c:pt idx="49">
                  <c:v>1402435.7548028613</c:v>
                </c:pt>
                <c:pt idx="50">
                  <c:v>1418300.6448571784</c:v>
                </c:pt>
                <c:pt idx="51">
                  <c:v>1434190.5234157392</c:v>
                </c:pt>
                <c:pt idx="52">
                  <c:v>1450104.002228308</c:v>
                </c:pt>
                <c:pt idx="53">
                  <c:v>1466039.7940083016</c:v>
                </c:pt>
                <c:pt idx="54">
                  <c:v>1481996.7034181803</c:v>
                </c:pt>
                <c:pt idx="55">
                  <c:v>1497973.6190037397</c:v>
                </c:pt>
                <c:pt idx="56">
                  <c:v>1513969.5059627886</c:v>
                </c:pt>
                <c:pt idx="57">
                  <c:v>1529983.3996492182</c:v>
                </c:pt>
                <c:pt idx="58">
                  <c:v>1546014.3997266591</c:v>
                </c:pt>
                <c:pt idx="59">
                  <c:v>1562061.6648971923</c:v>
                </c:pt>
                <c:pt idx="60">
                  <c:v>1578124.4081401853</c:v>
                </c:pt>
                <c:pt idx="61">
                  <c:v>1594201.8924045675</c:v>
                </c:pt>
                <c:pt idx="62">
                  <c:v>1610293.4267049623</c:v>
                </c:pt>
                <c:pt idx="63">
                  <c:v>1626398.3625781683</c:v>
                </c:pt>
                <c:pt idx="64">
                  <c:v>1642516.0908617852</c:v>
                </c:pt>
                <c:pt idx="65">
                  <c:v>1658646.0387613173</c:v>
                </c:pt>
                <c:pt idx="66">
                  <c:v>1674787.6671760622</c:v>
                </c:pt>
                <c:pt idx="67">
                  <c:v>1690940.4682575322</c:v>
                </c:pt>
                <c:pt idx="68">
                  <c:v>1707103.9631771538</c:v>
                </c:pt>
                <c:pt idx="69">
                  <c:v>1723277.7000826104</c:v>
                </c:pt>
                <c:pt idx="70">
                  <c:v>1739461.2522244928</c:v>
                </c:pt>
                <c:pt idx="71">
                  <c:v>1755654.2162369194</c:v>
                </c:pt>
                <c:pt idx="72">
                  <c:v>1771856.2105575721</c:v>
                </c:pt>
                <c:pt idx="73">
                  <c:v>1788066.8739741207</c:v>
                </c:pt>
                <c:pt idx="74">
                  <c:v>1804285.8642854118</c:v>
                </c:pt>
                <c:pt idx="75">
                  <c:v>1820512.8570669759</c:v>
                </c:pt>
                <c:pt idx="76">
                  <c:v>1836747.5445314932</c:v>
                </c:pt>
                <c:pt idx="77">
                  <c:v>1852989.6344758146</c:v>
                </c:pt>
                <c:pt idx="78">
                  <c:v>1869238.8493069471</c:v>
                </c:pt>
                <c:pt idx="79">
                  <c:v>2195390.2023892719</c:v>
                </c:pt>
                <c:pt idx="80">
                  <c:v>3839318.0335600562</c:v>
                </c:pt>
                <c:pt idx="81">
                  <c:v>5489099.6717349123</c:v>
                </c:pt>
                <c:pt idx="82">
                  <c:v>7140344.7616607873</c:v>
                </c:pt>
                <c:pt idx="83">
                  <c:v>8792175.2322870679</c:v>
                </c:pt>
                <c:pt idx="84">
                  <c:v>10444298.393263556</c:v>
                </c:pt>
                <c:pt idx="85">
                  <c:v>12096588.805868728</c:v>
                </c:pt>
                <c:pt idx="86">
                  <c:v>13748983.750741832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9-42E4-B552-1F79C964F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522143"/>
        <c:axId val="768523391"/>
      </c:lineChart>
      <c:catAx>
        <c:axId val="76852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Order</a:t>
                </a:r>
                <a:r>
                  <a:rPr lang="en-IN" b="1" baseline="0"/>
                  <a:t> Quanity - Doses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23391"/>
        <c:crosses val="autoZero"/>
        <c:auto val="1"/>
        <c:lblAlgn val="ctr"/>
        <c:lblOffset val="100"/>
        <c:noMultiLvlLbl val="0"/>
      </c:catAx>
      <c:valAx>
        <c:axId val="76852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6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Inventory</a:t>
                </a:r>
                <a:r>
                  <a:rPr lang="en-IN" b="1" baseline="0"/>
                  <a:t> cost $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1004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2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57149</xdr:rowOff>
    </xdr:from>
    <xdr:to>
      <xdr:col>11</xdr:col>
      <xdr:colOff>266700</xdr:colOff>
      <xdr:row>20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98052</xdr:colOff>
      <xdr:row>0</xdr:row>
      <xdr:rowOff>96375</xdr:rowOff>
    </xdr:from>
    <xdr:to>
      <xdr:col>23</xdr:col>
      <xdr:colOff>266140</xdr:colOff>
      <xdr:row>14</xdr:row>
      <xdr:rowOff>220543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31FD97-6764-47A7-975A-C13A366A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60401</xdr:colOff>
      <xdr:row>15</xdr:row>
      <xdr:rowOff>34847</xdr:rowOff>
    </xdr:from>
    <xdr:to>
      <xdr:col>22</xdr:col>
      <xdr:colOff>294155</xdr:colOff>
      <xdr:row>34</xdr:row>
      <xdr:rowOff>98051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8E08A6-597E-4582-A45F-19009EEC7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17</xdr:row>
      <xdr:rowOff>85725</xdr:rowOff>
    </xdr:from>
    <xdr:to>
      <xdr:col>12</xdr:col>
      <xdr:colOff>666750</xdr:colOff>
      <xdr:row>21</xdr:row>
      <xdr:rowOff>171451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A494B96-1FBD-4FD7-B023-1DA8CC66F050}"/>
            </a:ext>
          </a:extLst>
        </xdr:cNvPr>
        <xdr:cNvCxnSpPr/>
      </xdr:nvCxnSpPr>
      <xdr:spPr>
        <a:xfrm flipV="1">
          <a:off x="8115300" y="4381500"/>
          <a:ext cx="628650" cy="876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23</xdr:row>
      <xdr:rowOff>19050</xdr:rowOff>
    </xdr:from>
    <xdr:to>
      <xdr:col>12</xdr:col>
      <xdr:colOff>657225</xdr:colOff>
      <xdr:row>27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8C12555-8B37-4B97-B545-21F88EAC85CA}"/>
            </a:ext>
          </a:extLst>
        </xdr:cNvPr>
        <xdr:cNvCxnSpPr/>
      </xdr:nvCxnSpPr>
      <xdr:spPr>
        <a:xfrm>
          <a:off x="8124825" y="5495925"/>
          <a:ext cx="6096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17</xdr:row>
      <xdr:rowOff>85725</xdr:rowOff>
    </xdr:from>
    <xdr:to>
      <xdr:col>18</xdr:col>
      <xdr:colOff>876300</xdr:colOff>
      <xdr:row>17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90094FD-8A57-42B7-A7A0-6A32C8B3CEA5}"/>
            </a:ext>
          </a:extLst>
        </xdr:cNvPr>
        <xdr:cNvCxnSpPr/>
      </xdr:nvCxnSpPr>
      <xdr:spPr>
        <a:xfrm>
          <a:off x="10991850" y="4381500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33618</xdr:colOff>
      <xdr:row>27</xdr:row>
      <xdr:rowOff>66675</xdr:rowOff>
    </xdr:from>
    <xdr:to>
      <xdr:col>18</xdr:col>
      <xdr:colOff>857250</xdr:colOff>
      <xdr:row>27</xdr:row>
      <xdr:rowOff>78441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7A87439-47EB-48D9-8F8A-AFF343F87299}"/>
            </a:ext>
          </a:extLst>
        </xdr:cNvPr>
        <xdr:cNvCxnSpPr/>
      </xdr:nvCxnSpPr>
      <xdr:spPr>
        <a:xfrm flipV="1">
          <a:off x="10987368" y="6343650"/>
          <a:ext cx="3138207" cy="11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17</xdr:row>
      <xdr:rowOff>47625</xdr:rowOff>
    </xdr:from>
    <xdr:to>
      <xdr:col>22</xdr:col>
      <xdr:colOff>571500</xdr:colOff>
      <xdr:row>21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BE2CF5A-9E55-43B4-A5FF-44194301F386}"/>
            </a:ext>
          </a:extLst>
        </xdr:cNvPr>
        <xdr:cNvCxnSpPr/>
      </xdr:nvCxnSpPr>
      <xdr:spPr>
        <a:xfrm>
          <a:off x="16449675" y="4343400"/>
          <a:ext cx="51435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23</xdr:row>
      <xdr:rowOff>47625</xdr:rowOff>
    </xdr:from>
    <xdr:to>
      <xdr:col>22</xdr:col>
      <xdr:colOff>561975</xdr:colOff>
      <xdr:row>27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F5AA619-71B1-4245-A724-B8FFE2D98DD1}"/>
            </a:ext>
          </a:extLst>
        </xdr:cNvPr>
        <xdr:cNvCxnSpPr/>
      </xdr:nvCxnSpPr>
      <xdr:spPr>
        <a:xfrm flipV="1">
          <a:off x="16468725" y="5524500"/>
          <a:ext cx="4857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22</xdr:row>
      <xdr:rowOff>104776</xdr:rowOff>
    </xdr:from>
    <xdr:to>
      <xdr:col>26</xdr:col>
      <xdr:colOff>606592</xdr:colOff>
      <xdr:row>22</xdr:row>
      <xdr:rowOff>105276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A58B625-77AE-405A-8750-8079B7F01BFD}"/>
            </a:ext>
          </a:extLst>
        </xdr:cNvPr>
        <xdr:cNvCxnSpPr/>
      </xdr:nvCxnSpPr>
      <xdr:spPr>
        <a:xfrm>
          <a:off x="19145250" y="5391151"/>
          <a:ext cx="578017" cy="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95250</xdr:rowOff>
    </xdr:from>
    <xdr:to>
      <xdr:col>4</xdr:col>
      <xdr:colOff>647700</xdr:colOff>
      <xdr:row>21</xdr:row>
      <xdr:rowOff>190500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49B56D7-8990-4CD6-AC0D-7720845460D1}"/>
            </a:ext>
          </a:extLst>
        </xdr:cNvPr>
        <xdr:cNvCxnSpPr/>
      </xdr:nvCxnSpPr>
      <xdr:spPr>
        <a:xfrm>
          <a:off x="2447925" y="4391025"/>
          <a:ext cx="64770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22</xdr:row>
      <xdr:rowOff>114300</xdr:rowOff>
    </xdr:from>
    <xdr:to>
      <xdr:col>4</xdr:col>
      <xdr:colOff>647700</xdr:colOff>
      <xdr:row>27</xdr:row>
      <xdr:rowOff>124559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7DB777-0989-4035-BA32-1E5959FCEBAA}"/>
            </a:ext>
          </a:extLst>
        </xdr:cNvPr>
        <xdr:cNvCxnSpPr/>
      </xdr:nvCxnSpPr>
      <xdr:spPr>
        <a:xfrm flipV="1">
          <a:off x="2477233" y="5400675"/>
          <a:ext cx="618392" cy="10008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14653</xdr:colOff>
      <xdr:row>22</xdr:row>
      <xdr:rowOff>80596</xdr:rowOff>
    </xdr:from>
    <xdr:to>
      <xdr:col>9</xdr:col>
      <xdr:colOff>0</xdr:colOff>
      <xdr:row>22</xdr:row>
      <xdr:rowOff>80596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7D35037-B290-4CCE-9B37-A3AFD4F82F15}"/>
            </a:ext>
          </a:extLst>
        </xdr:cNvPr>
        <xdr:cNvCxnSpPr/>
      </xdr:nvCxnSpPr>
      <xdr:spPr>
        <a:xfrm>
          <a:off x="5548678" y="5366971"/>
          <a:ext cx="2044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168089</xdr:rowOff>
    </xdr:from>
    <xdr:to>
      <xdr:col>18</xdr:col>
      <xdr:colOff>857250</xdr:colOff>
      <xdr:row>26</xdr:row>
      <xdr:rowOff>190500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3A594B2-BD4D-4042-B447-0E0B2A982A42}"/>
            </a:ext>
          </a:extLst>
        </xdr:cNvPr>
        <xdr:cNvCxnSpPr/>
      </xdr:nvCxnSpPr>
      <xdr:spPr>
        <a:xfrm>
          <a:off x="10953750" y="4463864"/>
          <a:ext cx="3171825" cy="1803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56030</xdr:colOff>
      <xdr:row>18</xdr:row>
      <xdr:rowOff>28575</xdr:rowOff>
    </xdr:from>
    <xdr:to>
      <xdr:col>18</xdr:col>
      <xdr:colOff>838200</xdr:colOff>
      <xdr:row>27</xdr:row>
      <xdr:rowOff>11205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888F6F-A29C-4B11-A056-2B6425C4C904}"/>
            </a:ext>
          </a:extLst>
        </xdr:cNvPr>
        <xdr:cNvCxnSpPr/>
      </xdr:nvCxnSpPr>
      <xdr:spPr>
        <a:xfrm flipV="1">
          <a:off x="11009780" y="4514850"/>
          <a:ext cx="3096745" cy="17733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44</xdr:row>
      <xdr:rowOff>85725</xdr:rowOff>
    </xdr:from>
    <xdr:to>
      <xdr:col>12</xdr:col>
      <xdr:colOff>666750</xdr:colOff>
      <xdr:row>48</xdr:row>
      <xdr:rowOff>171451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680A108-F437-4A69-94B3-BBBF8BE2DB7D}"/>
            </a:ext>
          </a:extLst>
        </xdr:cNvPr>
        <xdr:cNvCxnSpPr/>
      </xdr:nvCxnSpPr>
      <xdr:spPr>
        <a:xfrm flipV="1">
          <a:off x="8115300" y="9944100"/>
          <a:ext cx="628650" cy="876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50</xdr:row>
      <xdr:rowOff>19050</xdr:rowOff>
    </xdr:from>
    <xdr:to>
      <xdr:col>12</xdr:col>
      <xdr:colOff>657225</xdr:colOff>
      <xdr:row>54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C687823-A75A-477F-874F-5421A449F9BD}"/>
            </a:ext>
          </a:extLst>
        </xdr:cNvPr>
        <xdr:cNvCxnSpPr/>
      </xdr:nvCxnSpPr>
      <xdr:spPr>
        <a:xfrm>
          <a:off x="8124825" y="11058525"/>
          <a:ext cx="6096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44</xdr:row>
      <xdr:rowOff>85725</xdr:rowOff>
    </xdr:from>
    <xdr:to>
      <xdr:col>18</xdr:col>
      <xdr:colOff>876300</xdr:colOff>
      <xdr:row>44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28D5630-55EF-4A31-BC31-ED57477CD2B0}"/>
            </a:ext>
          </a:extLst>
        </xdr:cNvPr>
        <xdr:cNvCxnSpPr/>
      </xdr:nvCxnSpPr>
      <xdr:spPr>
        <a:xfrm>
          <a:off x="10991850" y="9944100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33618</xdr:colOff>
      <xdr:row>54</xdr:row>
      <xdr:rowOff>66675</xdr:rowOff>
    </xdr:from>
    <xdr:to>
      <xdr:col>18</xdr:col>
      <xdr:colOff>857250</xdr:colOff>
      <xdr:row>54</xdr:row>
      <xdr:rowOff>78441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529130C-357C-48A6-B64A-BE8A0C606A6D}"/>
            </a:ext>
          </a:extLst>
        </xdr:cNvPr>
        <xdr:cNvCxnSpPr/>
      </xdr:nvCxnSpPr>
      <xdr:spPr>
        <a:xfrm flipV="1">
          <a:off x="10987368" y="11906250"/>
          <a:ext cx="3138207" cy="11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44</xdr:row>
      <xdr:rowOff>47625</xdr:rowOff>
    </xdr:from>
    <xdr:to>
      <xdr:col>22</xdr:col>
      <xdr:colOff>571500</xdr:colOff>
      <xdr:row>48</xdr:row>
      <xdr:rowOff>66675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8F0A0F-F9BB-4934-87AE-2C0F75EF161C}"/>
            </a:ext>
          </a:extLst>
        </xdr:cNvPr>
        <xdr:cNvCxnSpPr/>
      </xdr:nvCxnSpPr>
      <xdr:spPr>
        <a:xfrm>
          <a:off x="16449675" y="9906000"/>
          <a:ext cx="51435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50</xdr:row>
      <xdr:rowOff>47625</xdr:rowOff>
    </xdr:from>
    <xdr:to>
      <xdr:col>22</xdr:col>
      <xdr:colOff>561975</xdr:colOff>
      <xdr:row>54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7D3659A-DC72-4481-B703-50B9BE9AB9F4}"/>
            </a:ext>
          </a:extLst>
        </xdr:cNvPr>
        <xdr:cNvCxnSpPr/>
      </xdr:nvCxnSpPr>
      <xdr:spPr>
        <a:xfrm flipV="1">
          <a:off x="16468725" y="11087100"/>
          <a:ext cx="4857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49</xdr:row>
      <xdr:rowOff>104776</xdr:rowOff>
    </xdr:from>
    <xdr:to>
      <xdr:col>26</xdr:col>
      <xdr:colOff>606592</xdr:colOff>
      <xdr:row>49</xdr:row>
      <xdr:rowOff>105276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8F0036-0F75-4AE1-B26C-8FA0255E2640}"/>
            </a:ext>
          </a:extLst>
        </xdr:cNvPr>
        <xdr:cNvCxnSpPr/>
      </xdr:nvCxnSpPr>
      <xdr:spPr>
        <a:xfrm>
          <a:off x="19145250" y="10953751"/>
          <a:ext cx="578017" cy="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95250</xdr:rowOff>
    </xdr:from>
    <xdr:to>
      <xdr:col>4</xdr:col>
      <xdr:colOff>647700</xdr:colOff>
      <xdr:row>48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16E5157-F435-436D-99E3-6E1593478C06}"/>
            </a:ext>
          </a:extLst>
        </xdr:cNvPr>
        <xdr:cNvCxnSpPr/>
      </xdr:nvCxnSpPr>
      <xdr:spPr>
        <a:xfrm>
          <a:off x="2447925" y="9953625"/>
          <a:ext cx="64770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49</xdr:row>
      <xdr:rowOff>114300</xdr:rowOff>
    </xdr:from>
    <xdr:to>
      <xdr:col>4</xdr:col>
      <xdr:colOff>647700</xdr:colOff>
      <xdr:row>54</xdr:row>
      <xdr:rowOff>124559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6FD025-707D-4D3F-824E-B0CBDD357676}"/>
            </a:ext>
          </a:extLst>
        </xdr:cNvPr>
        <xdr:cNvCxnSpPr/>
      </xdr:nvCxnSpPr>
      <xdr:spPr>
        <a:xfrm flipV="1">
          <a:off x="2477233" y="10963275"/>
          <a:ext cx="618392" cy="10008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14653</xdr:colOff>
      <xdr:row>49</xdr:row>
      <xdr:rowOff>80596</xdr:rowOff>
    </xdr:from>
    <xdr:to>
      <xdr:col>9</xdr:col>
      <xdr:colOff>0</xdr:colOff>
      <xdr:row>49</xdr:row>
      <xdr:rowOff>80596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6C31D8F-C2C3-43FF-9AD9-69D578466AC1}"/>
            </a:ext>
          </a:extLst>
        </xdr:cNvPr>
        <xdr:cNvCxnSpPr/>
      </xdr:nvCxnSpPr>
      <xdr:spPr>
        <a:xfrm>
          <a:off x="5548678" y="10929571"/>
          <a:ext cx="2044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44</xdr:row>
      <xdr:rowOff>168089</xdr:rowOff>
    </xdr:from>
    <xdr:to>
      <xdr:col>18</xdr:col>
      <xdr:colOff>857250</xdr:colOff>
      <xdr:row>53</xdr:row>
      <xdr:rowOff>190500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C03294D-C6F7-4076-82CF-630DB91FEA8F}"/>
            </a:ext>
          </a:extLst>
        </xdr:cNvPr>
        <xdr:cNvCxnSpPr/>
      </xdr:nvCxnSpPr>
      <xdr:spPr>
        <a:xfrm>
          <a:off x="10953750" y="10026464"/>
          <a:ext cx="3171825" cy="1803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56030</xdr:colOff>
      <xdr:row>45</xdr:row>
      <xdr:rowOff>28575</xdr:rowOff>
    </xdr:from>
    <xdr:to>
      <xdr:col>18</xdr:col>
      <xdr:colOff>838200</xdr:colOff>
      <xdr:row>54</xdr:row>
      <xdr:rowOff>11205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C74477C-3171-47F9-99C4-D728030372F2}"/>
            </a:ext>
          </a:extLst>
        </xdr:cNvPr>
        <xdr:cNvCxnSpPr/>
      </xdr:nvCxnSpPr>
      <xdr:spPr>
        <a:xfrm flipV="1">
          <a:off x="11009780" y="10077450"/>
          <a:ext cx="3096745" cy="17733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199718</xdr:colOff>
      <xdr:row>28</xdr:row>
      <xdr:rowOff>76814</xdr:rowOff>
    </xdr:from>
    <xdr:to>
      <xdr:col>1</xdr:col>
      <xdr:colOff>460887</xdr:colOff>
      <xdr:row>33</xdr:row>
      <xdr:rowOff>15362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E88C8E8-216E-452A-9DDC-DC3911D232BB}"/>
            </a:ext>
          </a:extLst>
        </xdr:cNvPr>
        <xdr:cNvSpPr/>
      </xdr:nvSpPr>
      <xdr:spPr>
        <a:xfrm>
          <a:off x="199718" y="5192661"/>
          <a:ext cx="875685" cy="92177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rgbClr val="00B050"/>
              </a:solidFill>
            </a:rPr>
            <a:t>START</a:t>
          </a:r>
        </a:p>
      </xdr:txBody>
    </xdr:sp>
    <xdr:clientData/>
  </xdr:twoCellAnchor>
  <xdr:twoCellAnchor>
    <xdr:from>
      <xdr:col>31</xdr:col>
      <xdr:colOff>441466</xdr:colOff>
      <xdr:row>25</xdr:row>
      <xdr:rowOff>28117</xdr:rowOff>
    </xdr:from>
    <xdr:to>
      <xdr:col>33</xdr:col>
      <xdr:colOff>14783</xdr:colOff>
      <xdr:row>29</xdr:row>
      <xdr:rowOff>43480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1B4C217-E7C6-4049-B89B-DF4833E66CC2}"/>
            </a:ext>
          </a:extLst>
        </xdr:cNvPr>
        <xdr:cNvSpPr/>
      </xdr:nvSpPr>
      <xdr:spPr>
        <a:xfrm>
          <a:off x="24739202" y="6210381"/>
          <a:ext cx="795392" cy="806118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E</a:t>
          </a:r>
          <a:r>
            <a:rPr lang="en-IN" sz="1200" b="1">
              <a:solidFill>
                <a:srgbClr val="00B050"/>
              </a:solidFill>
            </a:rPr>
            <a:t>END</a:t>
          </a:r>
          <a:endParaRPr lang="en-IN" sz="1200" b="1"/>
        </a:p>
      </xdr:txBody>
    </xdr:sp>
    <xdr:clientData/>
  </xdr:twoCellAnchor>
  <xdr:twoCellAnchor>
    <xdr:from>
      <xdr:col>4</xdr:col>
      <xdr:colOff>765736</xdr:colOff>
      <xdr:row>28</xdr:row>
      <xdr:rowOff>112059</xdr:rowOff>
    </xdr:from>
    <xdr:to>
      <xdr:col>5</xdr:col>
      <xdr:colOff>757116</xdr:colOff>
      <xdr:row>30</xdr:row>
      <xdr:rowOff>158750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0FB5BEF-AACE-4841-A525-F860733C38E4}"/>
            </a:ext>
          </a:extLst>
        </xdr:cNvPr>
        <xdr:cNvCxnSpPr/>
      </xdr:nvCxnSpPr>
      <xdr:spPr>
        <a:xfrm>
          <a:off x="3940736" y="5363021"/>
          <a:ext cx="772918" cy="437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2989</xdr:colOff>
      <xdr:row>32</xdr:row>
      <xdr:rowOff>12212</xdr:rowOff>
    </xdr:from>
    <xdr:to>
      <xdr:col>6</xdr:col>
      <xdr:colOff>0</xdr:colOff>
      <xdr:row>34</xdr:row>
      <xdr:rowOff>115047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85C0CF-1D9C-492F-8DDF-50E96FB3C40F}"/>
            </a:ext>
          </a:extLst>
        </xdr:cNvPr>
        <xdr:cNvCxnSpPr/>
      </xdr:nvCxnSpPr>
      <xdr:spPr>
        <a:xfrm flipV="1">
          <a:off x="3959527" y="6044712"/>
          <a:ext cx="790761" cy="493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1277470</xdr:colOff>
      <xdr:row>31</xdr:row>
      <xdr:rowOff>119063</xdr:rowOff>
    </xdr:from>
    <xdr:to>
      <xdr:col>10</xdr:col>
      <xdr:colOff>1178718</xdr:colOff>
      <xdr:row>31</xdr:row>
      <xdr:rowOff>123265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E0046-F92A-4170-A345-CF5D4246AA1B}"/>
            </a:ext>
          </a:extLst>
        </xdr:cNvPr>
        <xdr:cNvCxnSpPr/>
      </xdr:nvCxnSpPr>
      <xdr:spPr>
        <a:xfrm flipV="1">
          <a:off x="7873533" y="6465094"/>
          <a:ext cx="2139623" cy="4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26</xdr:row>
      <xdr:rowOff>89858</xdr:rowOff>
    </xdr:from>
    <xdr:to>
      <xdr:col>15</xdr:col>
      <xdr:colOff>0</xdr:colOff>
      <xdr:row>29</xdr:row>
      <xdr:rowOff>183174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68203D5-A604-4AC4-ADFA-EB79471AD91B}"/>
            </a:ext>
          </a:extLst>
        </xdr:cNvPr>
        <xdr:cNvCxnSpPr/>
      </xdr:nvCxnSpPr>
      <xdr:spPr>
        <a:xfrm flipV="1">
          <a:off x="12964046" y="6469811"/>
          <a:ext cx="1916520" cy="686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</xdr:colOff>
      <xdr:row>33</xdr:row>
      <xdr:rowOff>5862</xdr:rowOff>
    </xdr:from>
    <xdr:to>
      <xdr:col>14</xdr:col>
      <xdr:colOff>2387957</xdr:colOff>
      <xdr:row>36</xdr:row>
      <xdr:rowOff>120740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FFDFD5-97D7-4E5F-9A98-FF3853D2020A}"/>
            </a:ext>
          </a:extLst>
        </xdr:cNvPr>
        <xdr:cNvCxnSpPr/>
      </xdr:nvCxnSpPr>
      <xdr:spPr>
        <a:xfrm>
          <a:off x="12919650" y="8618608"/>
          <a:ext cx="2387427" cy="705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592015</xdr:colOff>
      <xdr:row>21</xdr:row>
      <xdr:rowOff>24423</xdr:rowOff>
    </xdr:from>
    <xdr:to>
      <xdr:col>19</xdr:col>
      <xdr:colOff>573942</xdr:colOff>
      <xdr:row>25</xdr:row>
      <xdr:rowOff>5862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CE5FA62-3A94-48D3-AD9C-16DFC97153F1}"/>
            </a:ext>
          </a:extLst>
        </xdr:cNvPr>
        <xdr:cNvCxnSpPr/>
      </xdr:nvCxnSpPr>
      <xdr:spPr>
        <a:xfrm flipV="1">
          <a:off x="12131919" y="3907692"/>
          <a:ext cx="1203081" cy="762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597877</xdr:colOff>
      <xdr:row>23</xdr:row>
      <xdr:rowOff>170962</xdr:rowOff>
    </xdr:from>
    <xdr:to>
      <xdr:col>19</xdr:col>
      <xdr:colOff>586154</xdr:colOff>
      <xdr:row>34</xdr:row>
      <xdr:rowOff>194897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CE902A0-3F27-4B32-8C4A-70950B39D2F7}"/>
            </a:ext>
          </a:extLst>
        </xdr:cNvPr>
        <xdr:cNvCxnSpPr/>
      </xdr:nvCxnSpPr>
      <xdr:spPr>
        <a:xfrm flipV="1">
          <a:off x="12137781" y="4445000"/>
          <a:ext cx="1209431" cy="2173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183173</xdr:rowOff>
    </xdr:from>
    <xdr:to>
      <xdr:col>19</xdr:col>
      <xdr:colOff>598365</xdr:colOff>
      <xdr:row>31</xdr:row>
      <xdr:rowOff>183174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77B2675-B455-4005-BA16-96CFD51B1C7C}"/>
            </a:ext>
          </a:extLst>
        </xdr:cNvPr>
        <xdr:cNvCxnSpPr/>
      </xdr:nvCxnSpPr>
      <xdr:spPr>
        <a:xfrm>
          <a:off x="12150481" y="5238750"/>
          <a:ext cx="1208942" cy="781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12211</xdr:rowOff>
    </xdr:from>
    <xdr:to>
      <xdr:col>20</xdr:col>
      <xdr:colOff>0</xdr:colOff>
      <xdr:row>37</xdr:row>
      <xdr:rowOff>183173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3A5EA32-66C9-4D3E-8893-DE6679A764F1}"/>
            </a:ext>
          </a:extLst>
        </xdr:cNvPr>
        <xdr:cNvCxnSpPr/>
      </xdr:nvCxnSpPr>
      <xdr:spPr>
        <a:xfrm flipV="1">
          <a:off x="12150481" y="6630865"/>
          <a:ext cx="1221154" cy="561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579805</xdr:colOff>
      <xdr:row>23</xdr:row>
      <xdr:rowOff>176824</xdr:rowOff>
    </xdr:from>
    <xdr:to>
      <xdr:col>24</xdr:col>
      <xdr:colOff>12212</xdr:colOff>
      <xdr:row>26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F3083E2-49FA-4566-B194-E7D811F85B96}"/>
            </a:ext>
          </a:extLst>
        </xdr:cNvPr>
        <xdr:cNvCxnSpPr/>
      </xdr:nvCxnSpPr>
      <xdr:spPr>
        <a:xfrm>
          <a:off x="15172593" y="4450862"/>
          <a:ext cx="653561" cy="40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597878</xdr:colOff>
      <xdr:row>29</xdr:row>
      <xdr:rowOff>0</xdr:rowOff>
    </xdr:from>
    <xdr:to>
      <xdr:col>23</xdr:col>
      <xdr:colOff>598366</xdr:colOff>
      <xdr:row>31</xdr:row>
      <xdr:rowOff>170474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C3EBC9C-484E-47CF-9EB4-AA90DB2FA03B}"/>
            </a:ext>
          </a:extLst>
        </xdr:cNvPr>
        <xdr:cNvCxnSpPr/>
      </xdr:nvCxnSpPr>
      <xdr:spPr>
        <a:xfrm flipV="1">
          <a:off x="15190666" y="5446346"/>
          <a:ext cx="611065" cy="561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5374</xdr:colOff>
      <xdr:row>27</xdr:row>
      <xdr:rowOff>127490</xdr:rowOff>
    </xdr:from>
    <xdr:to>
      <xdr:col>28</xdr:col>
      <xdr:colOff>0</xdr:colOff>
      <xdr:row>27</xdr:row>
      <xdr:rowOff>134471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D8485A2-5F31-4EB0-98B4-0C5D71EBAB95}"/>
            </a:ext>
          </a:extLst>
        </xdr:cNvPr>
        <xdr:cNvCxnSpPr/>
      </xdr:nvCxnSpPr>
      <xdr:spPr>
        <a:xfrm>
          <a:off x="18786433" y="5158931"/>
          <a:ext cx="599743" cy="6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36634</xdr:colOff>
      <xdr:row>27</xdr:row>
      <xdr:rowOff>61059</xdr:rowOff>
    </xdr:from>
    <xdr:to>
      <xdr:col>31</xdr:col>
      <xdr:colOff>467264</xdr:colOff>
      <xdr:row>27</xdr:row>
      <xdr:rowOff>71886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A0D7F56-6914-4CA3-B665-ADD21CBD3C50}"/>
            </a:ext>
          </a:extLst>
        </xdr:cNvPr>
        <xdr:cNvCxnSpPr/>
      </xdr:nvCxnSpPr>
      <xdr:spPr>
        <a:xfrm>
          <a:off x="24334370" y="6638701"/>
          <a:ext cx="430630" cy="10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429675</xdr:colOff>
      <xdr:row>28</xdr:row>
      <xdr:rowOff>109903</xdr:rowOff>
    </xdr:from>
    <xdr:to>
      <xdr:col>2</xdr:col>
      <xdr:colOff>12212</xdr:colOff>
      <xdr:row>30</xdr:row>
      <xdr:rowOff>8017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4FB7E8D-74D5-4F46-9B7B-799A0E4087CD}"/>
            </a:ext>
          </a:extLst>
        </xdr:cNvPr>
        <xdr:cNvCxnSpPr/>
      </xdr:nvCxnSpPr>
      <xdr:spPr>
        <a:xfrm flipV="1">
          <a:off x="1040252" y="5360865"/>
          <a:ext cx="608306" cy="288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411113</xdr:colOff>
      <xdr:row>31</xdr:row>
      <xdr:rowOff>160419</xdr:rowOff>
    </xdr:from>
    <xdr:to>
      <xdr:col>1</xdr:col>
      <xdr:colOff>1109382</xdr:colOff>
      <xdr:row>34</xdr:row>
      <xdr:rowOff>123264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A6ECC08-347F-47D2-BB67-40DAF18FEDCF}"/>
            </a:ext>
          </a:extLst>
        </xdr:cNvPr>
        <xdr:cNvCxnSpPr/>
      </xdr:nvCxnSpPr>
      <xdr:spPr>
        <a:xfrm>
          <a:off x="1016231" y="5987478"/>
          <a:ext cx="698269" cy="556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199718</xdr:colOff>
      <xdr:row>28</xdr:row>
      <xdr:rowOff>76814</xdr:rowOff>
    </xdr:from>
    <xdr:to>
      <xdr:col>1</xdr:col>
      <xdr:colOff>460887</xdr:colOff>
      <xdr:row>33</xdr:row>
      <xdr:rowOff>15362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C1AF8B5-2E3E-4FE8-9B94-5508316F966C}"/>
            </a:ext>
          </a:extLst>
        </xdr:cNvPr>
        <xdr:cNvSpPr/>
      </xdr:nvSpPr>
      <xdr:spPr>
        <a:xfrm>
          <a:off x="199718" y="6858614"/>
          <a:ext cx="870769" cy="929148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rgbClr val="00B050"/>
              </a:solidFill>
            </a:rPr>
            <a:t>START</a:t>
          </a:r>
        </a:p>
      </xdr:txBody>
    </xdr:sp>
    <xdr:clientData/>
  </xdr:twoCellAnchor>
  <xdr:twoCellAnchor>
    <xdr:from>
      <xdr:col>32</xdr:col>
      <xdr:colOff>46088</xdr:colOff>
      <xdr:row>25</xdr:row>
      <xdr:rowOff>46089</xdr:rowOff>
    </xdr:from>
    <xdr:to>
      <xdr:col>33</xdr:col>
      <xdr:colOff>230443</xdr:colOff>
      <xdr:row>29</xdr:row>
      <xdr:rowOff>61452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4B3D5EF-A643-41AA-A7C6-FB6915C7FDA8}"/>
            </a:ext>
          </a:extLst>
        </xdr:cNvPr>
        <xdr:cNvSpPr/>
      </xdr:nvSpPr>
      <xdr:spPr>
        <a:xfrm>
          <a:off x="24849188" y="6227814"/>
          <a:ext cx="793955" cy="815463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E</a:t>
          </a:r>
          <a:r>
            <a:rPr lang="en-IN" sz="1200" b="1">
              <a:solidFill>
                <a:srgbClr val="00B050"/>
              </a:solidFill>
            </a:rPr>
            <a:t>END</a:t>
          </a:r>
          <a:endParaRPr lang="en-IN" sz="1200" b="1"/>
        </a:p>
      </xdr:txBody>
    </xdr:sp>
    <xdr:clientData/>
  </xdr:twoCellAnchor>
  <xdr:twoCellAnchor>
    <xdr:from>
      <xdr:col>4</xdr:col>
      <xdr:colOff>765736</xdr:colOff>
      <xdr:row>28</xdr:row>
      <xdr:rowOff>112059</xdr:rowOff>
    </xdr:from>
    <xdr:to>
      <xdr:col>6</xdr:col>
      <xdr:colOff>0</xdr:colOff>
      <xdr:row>31</xdr:row>
      <xdr:rowOff>39687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8278EC-090A-4AD9-8C72-B2A62C36ABC4}"/>
            </a:ext>
          </a:extLst>
        </xdr:cNvPr>
        <xdr:cNvCxnSpPr/>
      </xdr:nvCxnSpPr>
      <xdr:spPr>
        <a:xfrm>
          <a:off x="4337611" y="7017684"/>
          <a:ext cx="1000358" cy="522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2989</xdr:colOff>
      <xdr:row>32</xdr:row>
      <xdr:rowOff>12212</xdr:rowOff>
    </xdr:from>
    <xdr:to>
      <xdr:col>6</xdr:col>
      <xdr:colOff>0</xdr:colOff>
      <xdr:row>34</xdr:row>
      <xdr:rowOff>115047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3BF7C57-E72C-4761-A9D8-368FC3324D81}"/>
            </a:ext>
          </a:extLst>
        </xdr:cNvPr>
        <xdr:cNvCxnSpPr/>
      </xdr:nvCxnSpPr>
      <xdr:spPr>
        <a:xfrm flipV="1">
          <a:off x="4155889" y="7584587"/>
          <a:ext cx="787586" cy="49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1277470</xdr:colOff>
      <xdr:row>31</xdr:row>
      <xdr:rowOff>119063</xdr:rowOff>
    </xdr:from>
    <xdr:to>
      <xdr:col>10</xdr:col>
      <xdr:colOff>1178718</xdr:colOff>
      <xdr:row>31</xdr:row>
      <xdr:rowOff>123265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B33953-54F4-45E4-854C-0ED318051C5A}"/>
            </a:ext>
          </a:extLst>
        </xdr:cNvPr>
        <xdr:cNvCxnSpPr/>
      </xdr:nvCxnSpPr>
      <xdr:spPr>
        <a:xfrm flipV="1">
          <a:off x="7954495" y="7491413"/>
          <a:ext cx="2139623" cy="4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24423</xdr:colOff>
      <xdr:row>26</xdr:row>
      <xdr:rowOff>127000</xdr:rowOff>
    </xdr:from>
    <xdr:to>
      <xdr:col>14</xdr:col>
      <xdr:colOff>1473200</xdr:colOff>
      <xdr:row>29</xdr:row>
      <xdr:rowOff>183174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5EEC30C-BE8A-4F1D-B4BA-60147B29D0BF}"/>
            </a:ext>
          </a:extLst>
        </xdr:cNvPr>
        <xdr:cNvCxnSpPr/>
      </xdr:nvCxnSpPr>
      <xdr:spPr>
        <a:xfrm flipV="1">
          <a:off x="12968898" y="6508750"/>
          <a:ext cx="1448777" cy="65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604227</xdr:colOff>
      <xdr:row>33</xdr:row>
      <xdr:rowOff>5862</xdr:rowOff>
    </xdr:from>
    <xdr:to>
      <xdr:col>14</xdr:col>
      <xdr:colOff>1485900</xdr:colOff>
      <xdr:row>35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3EA3C1C-2FD1-45BC-B7EA-E4D6914A8764}"/>
            </a:ext>
          </a:extLst>
        </xdr:cNvPr>
        <xdr:cNvCxnSpPr/>
      </xdr:nvCxnSpPr>
      <xdr:spPr>
        <a:xfrm>
          <a:off x="12939102" y="7778262"/>
          <a:ext cx="1491273" cy="384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592015</xdr:colOff>
      <xdr:row>22</xdr:row>
      <xdr:rowOff>0</xdr:rowOff>
    </xdr:from>
    <xdr:to>
      <xdr:col>20</xdr:col>
      <xdr:colOff>0</xdr:colOff>
      <xdr:row>25</xdr:row>
      <xdr:rowOff>5863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143842-0A3B-47B7-9B85-4A12EF2556BF}"/>
            </a:ext>
          </a:extLst>
        </xdr:cNvPr>
        <xdr:cNvCxnSpPr/>
      </xdr:nvCxnSpPr>
      <xdr:spPr>
        <a:xfrm flipV="1">
          <a:off x="16611333" y="5758295"/>
          <a:ext cx="2900485" cy="597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597877</xdr:colOff>
      <xdr:row>22</xdr:row>
      <xdr:rowOff>158750</xdr:rowOff>
    </xdr:from>
    <xdr:to>
      <xdr:col>19</xdr:col>
      <xdr:colOff>1284432</xdr:colOff>
      <xdr:row>34</xdr:row>
      <xdr:rowOff>194899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CC9ADA1-2376-471F-8863-96FBA82F57D5}"/>
            </a:ext>
          </a:extLst>
        </xdr:cNvPr>
        <xdr:cNvCxnSpPr/>
      </xdr:nvCxnSpPr>
      <xdr:spPr>
        <a:xfrm flipV="1">
          <a:off x="16775945" y="5902614"/>
          <a:ext cx="3226555" cy="2417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183173</xdr:rowOff>
    </xdr:from>
    <xdr:to>
      <xdr:col>19</xdr:col>
      <xdr:colOff>1284431</xdr:colOff>
      <xdr:row>34</xdr:row>
      <xdr:rowOff>101023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29E97A9-7ECB-4AF0-848C-0265159ED0A6}"/>
            </a:ext>
          </a:extLst>
        </xdr:cNvPr>
        <xdr:cNvCxnSpPr/>
      </xdr:nvCxnSpPr>
      <xdr:spPr>
        <a:xfrm>
          <a:off x="16625455" y="6937264"/>
          <a:ext cx="2871931" cy="1303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12211</xdr:rowOff>
    </xdr:from>
    <xdr:to>
      <xdr:col>20</xdr:col>
      <xdr:colOff>0</xdr:colOff>
      <xdr:row>37</xdr:row>
      <xdr:rowOff>183173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3959D1D-BAF1-42CB-A85C-9A027174F67B}"/>
            </a:ext>
          </a:extLst>
        </xdr:cNvPr>
        <xdr:cNvCxnSpPr/>
      </xdr:nvCxnSpPr>
      <xdr:spPr>
        <a:xfrm flipV="1">
          <a:off x="16268700" y="8175136"/>
          <a:ext cx="1219200" cy="56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579805</xdr:colOff>
      <xdr:row>23</xdr:row>
      <xdr:rowOff>176824</xdr:rowOff>
    </xdr:from>
    <xdr:to>
      <xdr:col>24</xdr:col>
      <xdr:colOff>12212</xdr:colOff>
      <xdr:row>26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0A0A8B5-EA79-4D5C-9EDD-910E58C3A624}"/>
            </a:ext>
          </a:extLst>
        </xdr:cNvPr>
        <xdr:cNvCxnSpPr/>
      </xdr:nvCxnSpPr>
      <xdr:spPr>
        <a:xfrm>
          <a:off x="19286905" y="5958499"/>
          <a:ext cx="651607" cy="423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597878</xdr:colOff>
      <xdr:row>29</xdr:row>
      <xdr:rowOff>0</xdr:rowOff>
    </xdr:from>
    <xdr:to>
      <xdr:col>23</xdr:col>
      <xdr:colOff>598366</xdr:colOff>
      <xdr:row>31</xdr:row>
      <xdr:rowOff>170474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F1DBD36-6973-4EF7-AB90-44B2F3212C10}"/>
            </a:ext>
          </a:extLst>
        </xdr:cNvPr>
        <xdr:cNvCxnSpPr/>
      </xdr:nvCxnSpPr>
      <xdr:spPr>
        <a:xfrm flipV="1">
          <a:off x="19304978" y="6981825"/>
          <a:ext cx="610088" cy="56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5374</xdr:colOff>
      <xdr:row>27</xdr:row>
      <xdr:rowOff>127490</xdr:rowOff>
    </xdr:from>
    <xdr:to>
      <xdr:col>28</xdr:col>
      <xdr:colOff>0</xdr:colOff>
      <xdr:row>27</xdr:row>
      <xdr:rowOff>134471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9721C57-66AB-44F1-A3D9-BA711690B45C}"/>
            </a:ext>
          </a:extLst>
        </xdr:cNvPr>
        <xdr:cNvCxnSpPr/>
      </xdr:nvCxnSpPr>
      <xdr:spPr>
        <a:xfrm>
          <a:off x="21760474" y="6709265"/>
          <a:ext cx="604226" cy="6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36634</xdr:colOff>
      <xdr:row>27</xdr:row>
      <xdr:rowOff>53771</xdr:rowOff>
    </xdr:from>
    <xdr:to>
      <xdr:col>32</xdr:col>
      <xdr:colOff>46088</xdr:colOff>
      <xdr:row>27</xdr:row>
      <xdr:rowOff>61058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5B3E3CB-ECEB-4A78-AEC5-C7482BADB3D0}"/>
            </a:ext>
          </a:extLst>
        </xdr:cNvPr>
        <xdr:cNvCxnSpPr>
          <a:endCxn id="3" idx="2"/>
        </xdr:cNvCxnSpPr>
      </xdr:nvCxnSpPr>
      <xdr:spPr>
        <a:xfrm flipV="1">
          <a:off x="24230134" y="6635546"/>
          <a:ext cx="619054" cy="7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429675</xdr:colOff>
      <xdr:row>28</xdr:row>
      <xdr:rowOff>109903</xdr:rowOff>
    </xdr:from>
    <xdr:to>
      <xdr:col>2</xdr:col>
      <xdr:colOff>12212</xdr:colOff>
      <xdr:row>30</xdr:row>
      <xdr:rowOff>8017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1703A6-C035-45BC-89E1-AD76AF0B714C}"/>
            </a:ext>
          </a:extLst>
        </xdr:cNvPr>
        <xdr:cNvCxnSpPr/>
      </xdr:nvCxnSpPr>
      <xdr:spPr>
        <a:xfrm flipV="1">
          <a:off x="1039275" y="6891703"/>
          <a:ext cx="725537" cy="298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411113</xdr:colOff>
      <xdr:row>31</xdr:row>
      <xdr:rowOff>160419</xdr:rowOff>
    </xdr:from>
    <xdr:to>
      <xdr:col>1</xdr:col>
      <xdr:colOff>1109382</xdr:colOff>
      <xdr:row>34</xdr:row>
      <xdr:rowOff>123264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4A1812-3215-44FF-B291-E1528152175A}"/>
            </a:ext>
          </a:extLst>
        </xdr:cNvPr>
        <xdr:cNvCxnSpPr/>
      </xdr:nvCxnSpPr>
      <xdr:spPr>
        <a:xfrm>
          <a:off x="1020713" y="7532769"/>
          <a:ext cx="698269" cy="553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199718</xdr:colOff>
      <xdr:row>28</xdr:row>
      <xdr:rowOff>76814</xdr:rowOff>
    </xdr:from>
    <xdr:to>
      <xdr:col>1</xdr:col>
      <xdr:colOff>460887</xdr:colOff>
      <xdr:row>33</xdr:row>
      <xdr:rowOff>15362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9CCECD4-71D4-4FC1-8C17-9CAD25F55C34}"/>
            </a:ext>
          </a:extLst>
        </xdr:cNvPr>
        <xdr:cNvSpPr/>
      </xdr:nvSpPr>
      <xdr:spPr>
        <a:xfrm>
          <a:off x="199718" y="7249139"/>
          <a:ext cx="870769" cy="929148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rgbClr val="00B050"/>
              </a:solidFill>
            </a:rPr>
            <a:t>START</a:t>
          </a:r>
        </a:p>
      </xdr:txBody>
    </xdr:sp>
    <xdr:clientData/>
  </xdr:twoCellAnchor>
  <xdr:twoCellAnchor>
    <xdr:from>
      <xdr:col>32</xdr:col>
      <xdr:colOff>46088</xdr:colOff>
      <xdr:row>25</xdr:row>
      <xdr:rowOff>46089</xdr:rowOff>
    </xdr:from>
    <xdr:to>
      <xdr:col>33</xdr:col>
      <xdr:colOff>230443</xdr:colOff>
      <xdr:row>29</xdr:row>
      <xdr:rowOff>61452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7BABAF3-FEB8-4D48-8B6B-95A6BAFF60E5}"/>
            </a:ext>
          </a:extLst>
        </xdr:cNvPr>
        <xdr:cNvSpPr/>
      </xdr:nvSpPr>
      <xdr:spPr>
        <a:xfrm>
          <a:off x="28925888" y="6618339"/>
          <a:ext cx="793955" cy="815463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E</a:t>
          </a:r>
          <a:r>
            <a:rPr lang="en-IN" sz="1200" b="1">
              <a:solidFill>
                <a:srgbClr val="00B050"/>
              </a:solidFill>
            </a:rPr>
            <a:t>END</a:t>
          </a:r>
          <a:endParaRPr lang="en-IN" sz="1200" b="1"/>
        </a:p>
      </xdr:txBody>
    </xdr:sp>
    <xdr:clientData/>
  </xdr:twoCellAnchor>
  <xdr:twoCellAnchor>
    <xdr:from>
      <xdr:col>4</xdr:col>
      <xdr:colOff>765736</xdr:colOff>
      <xdr:row>28</xdr:row>
      <xdr:rowOff>112059</xdr:rowOff>
    </xdr:from>
    <xdr:to>
      <xdr:col>6</xdr:col>
      <xdr:colOff>0</xdr:colOff>
      <xdr:row>31</xdr:row>
      <xdr:rowOff>39687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769E67-AA1B-438A-80A3-F6FF59948469}"/>
            </a:ext>
          </a:extLst>
        </xdr:cNvPr>
        <xdr:cNvCxnSpPr/>
      </xdr:nvCxnSpPr>
      <xdr:spPr>
        <a:xfrm>
          <a:off x="4309036" y="7284384"/>
          <a:ext cx="1015439" cy="518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2989</xdr:colOff>
      <xdr:row>32</xdr:row>
      <xdr:rowOff>12212</xdr:rowOff>
    </xdr:from>
    <xdr:to>
      <xdr:col>6</xdr:col>
      <xdr:colOff>0</xdr:colOff>
      <xdr:row>34</xdr:row>
      <xdr:rowOff>115047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1F00729-8D31-490C-9BE5-89C4C137F4F9}"/>
            </a:ext>
          </a:extLst>
        </xdr:cNvPr>
        <xdr:cNvCxnSpPr/>
      </xdr:nvCxnSpPr>
      <xdr:spPr>
        <a:xfrm flipV="1">
          <a:off x="4327339" y="7975112"/>
          <a:ext cx="997136" cy="49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1277470</xdr:colOff>
      <xdr:row>31</xdr:row>
      <xdr:rowOff>119063</xdr:rowOff>
    </xdr:from>
    <xdr:to>
      <xdr:col>10</xdr:col>
      <xdr:colOff>1178718</xdr:colOff>
      <xdr:row>31</xdr:row>
      <xdr:rowOff>123265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CAED35B-CAC7-4DC9-A34D-0807FC6CF8C2}"/>
            </a:ext>
          </a:extLst>
        </xdr:cNvPr>
        <xdr:cNvCxnSpPr/>
      </xdr:nvCxnSpPr>
      <xdr:spPr>
        <a:xfrm flipV="1">
          <a:off x="8487895" y="7881938"/>
          <a:ext cx="2139623" cy="4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592851</xdr:colOff>
      <xdr:row>26</xdr:row>
      <xdr:rowOff>61451</xdr:rowOff>
    </xdr:from>
    <xdr:to>
      <xdr:col>14</xdr:col>
      <xdr:colOff>1905000</xdr:colOff>
      <xdr:row>30</xdr:row>
      <xdr:rowOff>121723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913909B-583F-42DB-BE50-CA4C3CFA4555}"/>
            </a:ext>
          </a:extLst>
        </xdr:cNvPr>
        <xdr:cNvCxnSpPr/>
      </xdr:nvCxnSpPr>
      <xdr:spPr>
        <a:xfrm flipV="1">
          <a:off x="13461126" y="6833726"/>
          <a:ext cx="1921749" cy="860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604227</xdr:colOff>
      <xdr:row>33</xdr:row>
      <xdr:rowOff>5862</xdr:rowOff>
    </xdr:from>
    <xdr:to>
      <xdr:col>14</xdr:col>
      <xdr:colOff>1920363</xdr:colOff>
      <xdr:row>36</xdr:row>
      <xdr:rowOff>107541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CBD150-0CF9-464C-AFAE-132A38FA0F78}"/>
            </a:ext>
          </a:extLst>
        </xdr:cNvPr>
        <xdr:cNvCxnSpPr/>
      </xdr:nvCxnSpPr>
      <xdr:spPr>
        <a:xfrm>
          <a:off x="13472502" y="8168787"/>
          <a:ext cx="1925736" cy="692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592015</xdr:colOff>
      <xdr:row>22</xdr:row>
      <xdr:rowOff>0</xdr:rowOff>
    </xdr:from>
    <xdr:to>
      <xdr:col>20</xdr:col>
      <xdr:colOff>0</xdr:colOff>
      <xdr:row>25</xdr:row>
      <xdr:rowOff>5863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A7EE030-C96F-422E-A2CF-83B84C74C99D}"/>
            </a:ext>
          </a:extLst>
        </xdr:cNvPr>
        <xdr:cNvCxnSpPr/>
      </xdr:nvCxnSpPr>
      <xdr:spPr>
        <a:xfrm flipV="1">
          <a:off x="17679865" y="5981700"/>
          <a:ext cx="3246560" cy="596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597877</xdr:colOff>
      <xdr:row>22</xdr:row>
      <xdr:rowOff>158750</xdr:rowOff>
    </xdr:from>
    <xdr:to>
      <xdr:col>19</xdr:col>
      <xdr:colOff>1284432</xdr:colOff>
      <xdr:row>34</xdr:row>
      <xdr:rowOff>194899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1C48804-838F-42BD-AF87-A68AE142129D}"/>
            </a:ext>
          </a:extLst>
        </xdr:cNvPr>
        <xdr:cNvCxnSpPr/>
      </xdr:nvCxnSpPr>
      <xdr:spPr>
        <a:xfrm flipV="1">
          <a:off x="17685727" y="6140450"/>
          <a:ext cx="3229730" cy="2407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183173</xdr:rowOff>
    </xdr:from>
    <xdr:to>
      <xdr:col>19</xdr:col>
      <xdr:colOff>1284431</xdr:colOff>
      <xdr:row>34</xdr:row>
      <xdr:rowOff>101023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FFB448C-4E26-4827-A86D-9FE89630D273}"/>
            </a:ext>
          </a:extLst>
        </xdr:cNvPr>
        <xdr:cNvCxnSpPr/>
      </xdr:nvCxnSpPr>
      <xdr:spPr>
        <a:xfrm>
          <a:off x="17697450" y="7155473"/>
          <a:ext cx="3218006" cy="129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12211</xdr:rowOff>
    </xdr:from>
    <xdr:to>
      <xdr:col>20</xdr:col>
      <xdr:colOff>0</xdr:colOff>
      <xdr:row>37</xdr:row>
      <xdr:rowOff>183173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40050D2-18D3-4935-9ED3-B85761C2BA68}"/>
            </a:ext>
          </a:extLst>
        </xdr:cNvPr>
        <xdr:cNvCxnSpPr/>
      </xdr:nvCxnSpPr>
      <xdr:spPr>
        <a:xfrm flipV="1">
          <a:off x="17697450" y="8565661"/>
          <a:ext cx="3228975" cy="56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579805</xdr:colOff>
      <xdr:row>23</xdr:row>
      <xdr:rowOff>176824</xdr:rowOff>
    </xdr:from>
    <xdr:to>
      <xdr:col>24</xdr:col>
      <xdr:colOff>12212</xdr:colOff>
      <xdr:row>26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50904DA-0C58-433B-B607-37F273DF0313}"/>
            </a:ext>
          </a:extLst>
        </xdr:cNvPr>
        <xdr:cNvCxnSpPr/>
      </xdr:nvCxnSpPr>
      <xdr:spPr>
        <a:xfrm>
          <a:off x="23363605" y="6349024"/>
          <a:ext cx="651607" cy="423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597878</xdr:colOff>
      <xdr:row>29</xdr:row>
      <xdr:rowOff>0</xdr:rowOff>
    </xdr:from>
    <xdr:to>
      <xdr:col>23</xdr:col>
      <xdr:colOff>598366</xdr:colOff>
      <xdr:row>31</xdr:row>
      <xdr:rowOff>170474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5B847F6-4E8F-4C2F-9FBA-26687212EAB8}"/>
            </a:ext>
          </a:extLst>
        </xdr:cNvPr>
        <xdr:cNvCxnSpPr/>
      </xdr:nvCxnSpPr>
      <xdr:spPr>
        <a:xfrm flipV="1">
          <a:off x="23381678" y="7372350"/>
          <a:ext cx="610088" cy="56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5374</xdr:colOff>
      <xdr:row>27</xdr:row>
      <xdr:rowOff>127490</xdr:rowOff>
    </xdr:from>
    <xdr:to>
      <xdr:col>28</xdr:col>
      <xdr:colOff>0</xdr:colOff>
      <xdr:row>27</xdr:row>
      <xdr:rowOff>134471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85F6C59-2432-4222-B6AB-05801F548EB9}"/>
            </a:ext>
          </a:extLst>
        </xdr:cNvPr>
        <xdr:cNvCxnSpPr/>
      </xdr:nvCxnSpPr>
      <xdr:spPr>
        <a:xfrm>
          <a:off x="25837174" y="7099790"/>
          <a:ext cx="604226" cy="6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36634</xdr:colOff>
      <xdr:row>27</xdr:row>
      <xdr:rowOff>53771</xdr:rowOff>
    </xdr:from>
    <xdr:to>
      <xdr:col>32</xdr:col>
      <xdr:colOff>46088</xdr:colOff>
      <xdr:row>27</xdr:row>
      <xdr:rowOff>61058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BDA6E90-EFD9-414B-AE2B-DC8E0604DF23}"/>
            </a:ext>
          </a:extLst>
        </xdr:cNvPr>
        <xdr:cNvCxnSpPr>
          <a:endCxn id="3" idx="2"/>
        </xdr:cNvCxnSpPr>
      </xdr:nvCxnSpPr>
      <xdr:spPr>
        <a:xfrm flipV="1">
          <a:off x="28306834" y="7026071"/>
          <a:ext cx="619054" cy="7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429675</xdr:colOff>
      <xdr:row>28</xdr:row>
      <xdr:rowOff>109903</xdr:rowOff>
    </xdr:from>
    <xdr:to>
      <xdr:col>2</xdr:col>
      <xdr:colOff>12212</xdr:colOff>
      <xdr:row>30</xdr:row>
      <xdr:rowOff>8017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0EB11C9-8047-4082-AD04-77EC34E8E753}"/>
            </a:ext>
          </a:extLst>
        </xdr:cNvPr>
        <xdr:cNvCxnSpPr/>
      </xdr:nvCxnSpPr>
      <xdr:spPr>
        <a:xfrm flipV="1">
          <a:off x="1039275" y="7282228"/>
          <a:ext cx="725537" cy="298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411113</xdr:colOff>
      <xdr:row>31</xdr:row>
      <xdr:rowOff>160419</xdr:rowOff>
    </xdr:from>
    <xdr:to>
      <xdr:col>1</xdr:col>
      <xdr:colOff>1109382</xdr:colOff>
      <xdr:row>34</xdr:row>
      <xdr:rowOff>123264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B819064-C580-4005-935B-830E5B15060B}"/>
            </a:ext>
          </a:extLst>
        </xdr:cNvPr>
        <xdr:cNvCxnSpPr/>
      </xdr:nvCxnSpPr>
      <xdr:spPr>
        <a:xfrm>
          <a:off x="1020713" y="7923294"/>
          <a:ext cx="698269" cy="553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28</xdr:row>
      <xdr:rowOff>71437</xdr:rowOff>
    </xdr:from>
    <xdr:to>
      <xdr:col>6</xdr:col>
      <xdr:colOff>228600</xdr:colOff>
      <xdr:row>42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92419-6AB6-49C8-987D-94D654FB5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76201</xdr:rowOff>
    </xdr:from>
    <xdr:to>
      <xdr:col>14</xdr:col>
      <xdr:colOff>9525</xdr:colOff>
      <xdr:row>6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592589-80EA-444F-995F-761AECBD02D0}"/>
            </a:ext>
          </a:extLst>
        </xdr:cNvPr>
        <xdr:cNvCxnSpPr/>
      </xdr:nvCxnSpPr>
      <xdr:spPr>
        <a:xfrm>
          <a:off x="6705600" y="1228726"/>
          <a:ext cx="1838325" cy="952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55561</xdr:colOff>
      <xdr:row>18</xdr:row>
      <xdr:rowOff>190499</xdr:rowOff>
    </xdr:from>
    <xdr:to>
      <xdr:col>17</xdr:col>
      <xdr:colOff>225136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00B24-E554-4340-823E-DDD0B273F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32293</xdr:colOff>
      <xdr:row>19</xdr:row>
      <xdr:rowOff>47626</xdr:rowOff>
    </xdr:from>
    <xdr:to>
      <xdr:col>17</xdr:col>
      <xdr:colOff>539750</xdr:colOff>
      <xdr:row>35</xdr:row>
      <xdr:rowOff>111126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15E6C5-9B1C-4C7C-8BEE-EF06DBE00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f93db61664a1348/Advanced%20Spreadsheets%20models%20-%20CDPH%20consulting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Master sheet - Forecasting"/>
      <sheetName val="Double exp.smoothening"/>
      <sheetName val="Project managemet-Master"/>
      <sheetName val="Project managemet-Node model"/>
      <sheetName val="Project managemet-project crash"/>
      <sheetName val="Construction cost"/>
      <sheetName val="Logistic Optimization - Master"/>
      <sheetName val="Logistic Optimization-2023"/>
      <sheetName val="Logistic Optimization-2040"/>
      <sheetName val="Explaination sheet"/>
    </sheetNames>
    <sheetDataSet>
      <sheetData sheetId="0" refreshError="1"/>
      <sheetData sheetId="1" refreshError="1"/>
      <sheetData sheetId="2">
        <row r="1">
          <cell r="B1">
            <v>0.75</v>
          </cell>
        </row>
      </sheetData>
      <sheetData sheetId="3">
        <row r="5">
          <cell r="C5" t="str">
            <v>Building Design</v>
          </cell>
          <cell r="D5" t="str">
            <v>A</v>
          </cell>
          <cell r="F5">
            <v>9</v>
          </cell>
          <cell r="G5">
            <v>9</v>
          </cell>
          <cell r="H5">
            <v>9</v>
          </cell>
          <cell r="I5">
            <v>1000</v>
          </cell>
        </row>
        <row r="6">
          <cell r="C6" t="str">
            <v>Site Preparation</v>
          </cell>
          <cell r="D6" t="str">
            <v>B</v>
          </cell>
          <cell r="F6">
            <v>10</v>
          </cell>
          <cell r="G6">
            <v>16</v>
          </cell>
          <cell r="H6">
            <v>24</v>
          </cell>
          <cell r="I6">
            <v>8000</v>
          </cell>
        </row>
        <row r="7">
          <cell r="C7" t="str">
            <v>Lay Foundation</v>
          </cell>
          <cell r="D7" t="str">
            <v>C</v>
          </cell>
          <cell r="F7">
            <v>14</v>
          </cell>
          <cell r="G7">
            <v>21</v>
          </cell>
          <cell r="H7">
            <v>30</v>
          </cell>
          <cell r="I7">
            <v>12000</v>
          </cell>
        </row>
        <row r="8">
          <cell r="C8" t="str">
            <v>Build Frame</v>
          </cell>
          <cell r="D8" t="str">
            <v>D</v>
          </cell>
          <cell r="F8">
            <v>15</v>
          </cell>
          <cell r="G8">
            <v>24</v>
          </cell>
          <cell r="H8">
            <v>33</v>
          </cell>
          <cell r="I8">
            <v>4000</v>
          </cell>
        </row>
        <row r="9">
          <cell r="C9" t="str">
            <v>Install Siding</v>
          </cell>
          <cell r="D9" t="str">
            <v>E</v>
          </cell>
          <cell r="F9">
            <v>18</v>
          </cell>
          <cell r="G9">
            <v>25</v>
          </cell>
          <cell r="H9">
            <v>30</v>
          </cell>
          <cell r="I9">
            <v>2300</v>
          </cell>
        </row>
        <row r="10">
          <cell r="C10" t="str">
            <v>Install Roof</v>
          </cell>
          <cell r="D10" t="str">
            <v>F</v>
          </cell>
          <cell r="F10">
            <v>17</v>
          </cell>
          <cell r="G10">
            <v>20</v>
          </cell>
          <cell r="H10">
            <v>25</v>
          </cell>
          <cell r="I10">
            <v>2400</v>
          </cell>
        </row>
        <row r="11">
          <cell r="C11" t="str">
            <v>Electrical</v>
          </cell>
          <cell r="D11" t="str">
            <v>G</v>
          </cell>
          <cell r="F11">
            <v>14</v>
          </cell>
          <cell r="G11">
            <v>27</v>
          </cell>
          <cell r="H11">
            <v>33</v>
          </cell>
          <cell r="I11">
            <v>2500</v>
          </cell>
        </row>
        <row r="12">
          <cell r="C12" t="str">
            <v>Plumbing</v>
          </cell>
          <cell r="D12" t="str">
            <v>H</v>
          </cell>
          <cell r="F12">
            <v>19</v>
          </cell>
          <cell r="G12">
            <v>22</v>
          </cell>
          <cell r="H12">
            <v>30</v>
          </cell>
          <cell r="I12">
            <v>2500</v>
          </cell>
        </row>
        <row r="13">
          <cell r="C13" t="str">
            <v>Finish Interior</v>
          </cell>
          <cell r="D13" t="str">
            <v>I</v>
          </cell>
          <cell r="F13">
            <v>20</v>
          </cell>
          <cell r="G13">
            <v>24</v>
          </cell>
          <cell r="H13">
            <v>35</v>
          </cell>
          <cell r="I13">
            <v>2100</v>
          </cell>
        </row>
        <row r="14">
          <cell r="C14" t="str">
            <v>Furnishings</v>
          </cell>
          <cell r="D14" t="str">
            <v>J</v>
          </cell>
          <cell r="F14">
            <v>8</v>
          </cell>
          <cell r="G14">
            <v>13</v>
          </cell>
          <cell r="H14">
            <v>15</v>
          </cell>
          <cell r="I14">
            <v>2000</v>
          </cell>
        </row>
      </sheetData>
      <sheetData sheetId="4">
        <row r="8">
          <cell r="P8">
            <v>153</v>
          </cell>
        </row>
      </sheetData>
      <sheetData sheetId="5" refreshError="1"/>
      <sheetData sheetId="6">
        <row r="10">
          <cell r="B10">
            <v>1.1000000000000001</v>
          </cell>
        </row>
      </sheetData>
      <sheetData sheetId="7">
        <row r="13">
          <cell r="B13">
            <v>5</v>
          </cell>
        </row>
      </sheetData>
      <sheetData sheetId="8">
        <row r="5">
          <cell r="B5">
            <v>1357.6898554687496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8EBF-8B8E-4070-9ABD-FA1C5AC81EEA}">
  <dimension ref="F1:P21"/>
  <sheetViews>
    <sheetView showGridLines="0" topLeftCell="A2" zoomScale="87" zoomScaleNormal="87" workbookViewId="0">
      <selection activeCell="N5" sqref="N5:P5"/>
    </sheetView>
  </sheetViews>
  <sheetFormatPr defaultRowHeight="15" x14ac:dyDescent="0.25"/>
  <cols>
    <col min="5" max="5" width="14.85546875" customWidth="1"/>
    <col min="6" max="6" width="4.28515625" customWidth="1"/>
  </cols>
  <sheetData>
    <row r="1" spans="6:16" ht="15.75" thickBot="1" x14ac:dyDescent="0.3"/>
    <row r="2" spans="6:16" ht="27" thickBot="1" x14ac:dyDescent="0.45">
      <c r="I2" s="356" t="s">
        <v>150</v>
      </c>
      <c r="J2" s="357"/>
      <c r="K2" s="357"/>
      <c r="L2" s="357"/>
      <c r="M2" s="357"/>
      <c r="N2" s="357"/>
      <c r="O2" s="358"/>
    </row>
    <row r="3" spans="6:16" x14ac:dyDescent="0.25">
      <c r="I3" s="359"/>
      <c r="J3" s="359"/>
      <c r="K3" s="359"/>
      <c r="L3" s="359"/>
      <c r="M3" s="359"/>
    </row>
    <row r="4" spans="6:16" ht="15.75" thickBot="1" x14ac:dyDescent="0.3"/>
    <row r="5" spans="6:16" ht="15.75" customHeight="1" thickBot="1" x14ac:dyDescent="0.3">
      <c r="F5" s="369">
        <v>1.1000000000000001</v>
      </c>
      <c r="G5" s="360" t="s">
        <v>151</v>
      </c>
      <c r="H5" s="360"/>
      <c r="I5" s="360"/>
      <c r="J5" s="360"/>
      <c r="K5" s="360"/>
      <c r="L5" s="360"/>
      <c r="M5" s="361"/>
      <c r="N5" s="362"/>
      <c r="O5" s="363"/>
      <c r="P5" s="364"/>
    </row>
    <row r="6" spans="6:16" ht="19.5" thickBot="1" x14ac:dyDescent="0.3">
      <c r="F6" s="370"/>
      <c r="G6" s="126"/>
      <c r="H6" s="126"/>
      <c r="I6" s="126"/>
      <c r="J6" s="126"/>
      <c r="K6" s="126"/>
      <c r="L6" s="126"/>
      <c r="M6" s="126"/>
    </row>
    <row r="7" spans="6:16" ht="15.75" customHeight="1" thickBot="1" x14ac:dyDescent="0.3">
      <c r="F7" s="371"/>
      <c r="G7" s="360" t="s">
        <v>152</v>
      </c>
      <c r="H7" s="360"/>
      <c r="I7" s="360"/>
      <c r="J7" s="360"/>
      <c r="K7" s="360"/>
      <c r="L7" s="360"/>
      <c r="M7" s="361"/>
      <c r="N7" s="365"/>
      <c r="O7" s="366"/>
      <c r="P7" s="367"/>
    </row>
    <row r="8" spans="6:16" ht="19.5" thickBot="1" x14ac:dyDescent="0.3">
      <c r="G8" s="372"/>
      <c r="H8" s="372"/>
      <c r="I8" s="372"/>
      <c r="J8" s="372"/>
      <c r="K8" s="372"/>
      <c r="L8" s="372"/>
      <c r="M8" s="126"/>
    </row>
    <row r="9" spans="6:16" ht="19.5" thickBot="1" x14ac:dyDescent="0.3">
      <c r="F9" s="369">
        <v>1.3</v>
      </c>
      <c r="G9" s="360" t="s">
        <v>153</v>
      </c>
      <c r="H9" s="360"/>
      <c r="I9" s="360"/>
      <c r="J9" s="360"/>
      <c r="K9" s="360"/>
      <c r="L9" s="360"/>
      <c r="M9" s="361"/>
      <c r="N9" s="365"/>
      <c r="O9" s="366"/>
      <c r="P9" s="367"/>
    </row>
    <row r="10" spans="6:16" ht="19.5" thickBot="1" x14ac:dyDescent="0.3">
      <c r="F10" s="370"/>
      <c r="G10" s="126"/>
      <c r="H10" s="126"/>
      <c r="I10" s="126"/>
      <c r="J10" s="126"/>
      <c r="K10" s="126"/>
      <c r="L10" s="126"/>
      <c r="M10" s="126"/>
    </row>
    <row r="11" spans="6:16" ht="19.5" thickBot="1" x14ac:dyDescent="0.3">
      <c r="F11" s="370"/>
      <c r="G11" s="360" t="s">
        <v>154</v>
      </c>
      <c r="H11" s="360"/>
      <c r="I11" s="360"/>
      <c r="J11" s="360"/>
      <c r="K11" s="360"/>
      <c r="L11" s="360"/>
      <c r="M11" s="361"/>
      <c r="N11" s="365"/>
      <c r="O11" s="366"/>
      <c r="P11" s="367"/>
    </row>
    <row r="12" spans="6:16" ht="19.5" thickBot="1" x14ac:dyDescent="0.3">
      <c r="F12" s="370"/>
      <c r="G12" s="126"/>
      <c r="H12" s="126"/>
      <c r="I12" s="126"/>
      <c r="J12" s="126"/>
      <c r="K12" s="126"/>
      <c r="L12" s="126"/>
      <c r="M12" s="126"/>
    </row>
    <row r="13" spans="6:16" ht="19.5" thickBot="1" x14ac:dyDescent="0.3">
      <c r="F13" s="371"/>
      <c r="G13" s="360" t="s">
        <v>155</v>
      </c>
      <c r="H13" s="360"/>
      <c r="I13" s="360"/>
      <c r="J13" s="360"/>
      <c r="K13" s="360"/>
      <c r="L13" s="360"/>
      <c r="M13" s="361"/>
      <c r="N13" s="365"/>
      <c r="O13" s="366"/>
      <c r="P13" s="367"/>
    </row>
    <row r="14" spans="6:16" ht="19.5" thickBot="1" x14ac:dyDescent="0.3">
      <c r="G14" s="126"/>
      <c r="H14" s="126"/>
      <c r="I14" s="126"/>
      <c r="J14" s="126"/>
      <c r="K14" s="126"/>
      <c r="L14" s="126"/>
      <c r="M14" s="126"/>
    </row>
    <row r="15" spans="6:16" ht="19.5" thickBot="1" x14ac:dyDescent="0.3">
      <c r="F15" s="127">
        <v>1.2</v>
      </c>
      <c r="G15" s="368" t="s">
        <v>156</v>
      </c>
      <c r="H15" s="360"/>
      <c r="I15" s="360"/>
      <c r="J15" s="360"/>
      <c r="K15" s="360"/>
      <c r="L15" s="360"/>
      <c r="M15" s="361"/>
      <c r="N15" s="365"/>
      <c r="O15" s="366"/>
      <c r="P15" s="367"/>
    </row>
    <row r="16" spans="6:16" ht="19.5" thickBot="1" x14ac:dyDescent="0.3">
      <c r="G16" s="126"/>
      <c r="H16" s="126"/>
      <c r="I16" s="126"/>
      <c r="J16" s="126"/>
      <c r="K16" s="126"/>
      <c r="L16" s="126"/>
      <c r="M16" s="126"/>
    </row>
    <row r="17" spans="6:16" ht="19.5" thickBot="1" x14ac:dyDescent="0.3">
      <c r="F17" s="369">
        <v>1.4</v>
      </c>
      <c r="G17" s="360" t="s">
        <v>131</v>
      </c>
      <c r="H17" s="360"/>
      <c r="I17" s="360"/>
      <c r="J17" s="360"/>
      <c r="K17" s="360"/>
      <c r="L17" s="360"/>
      <c r="M17" s="361"/>
      <c r="N17" s="365"/>
      <c r="O17" s="366"/>
      <c r="P17" s="367"/>
    </row>
    <row r="18" spans="6:16" ht="19.5" thickBot="1" x14ac:dyDescent="0.3">
      <c r="F18" s="370"/>
      <c r="G18" s="126"/>
      <c r="H18" s="126"/>
      <c r="I18" s="126"/>
      <c r="J18" s="126"/>
      <c r="K18" s="126"/>
      <c r="L18" s="126"/>
      <c r="M18" s="126"/>
    </row>
    <row r="19" spans="6:16" ht="19.5" thickBot="1" x14ac:dyDescent="0.3">
      <c r="F19" s="370"/>
      <c r="G19" s="360" t="s">
        <v>157</v>
      </c>
      <c r="H19" s="360"/>
      <c r="I19" s="360"/>
      <c r="J19" s="360"/>
      <c r="K19" s="360"/>
      <c r="L19" s="360"/>
      <c r="M19" s="361"/>
      <c r="N19" s="365"/>
      <c r="O19" s="366"/>
      <c r="P19" s="367"/>
    </row>
    <row r="20" spans="6:16" ht="19.5" thickBot="1" x14ac:dyDescent="0.3">
      <c r="F20" s="370"/>
      <c r="G20" s="126"/>
      <c r="H20" s="126"/>
      <c r="I20" s="126"/>
      <c r="J20" s="126"/>
      <c r="K20" s="126"/>
      <c r="L20" s="126"/>
      <c r="M20" s="126"/>
    </row>
    <row r="21" spans="6:16" ht="19.5" thickBot="1" x14ac:dyDescent="0.3">
      <c r="F21" s="371"/>
      <c r="G21" s="360" t="s">
        <v>158</v>
      </c>
      <c r="H21" s="360"/>
      <c r="I21" s="360"/>
      <c r="J21" s="360"/>
      <c r="K21" s="360"/>
      <c r="L21" s="360"/>
      <c r="M21" s="361"/>
      <c r="N21" s="365"/>
      <c r="O21" s="366"/>
      <c r="P21" s="367"/>
    </row>
  </sheetData>
  <mergeCells count="24">
    <mergeCell ref="G19:M19"/>
    <mergeCell ref="N19:P19"/>
    <mergeCell ref="G21:M21"/>
    <mergeCell ref="N21:P21"/>
    <mergeCell ref="F17:F21"/>
    <mergeCell ref="G15:M15"/>
    <mergeCell ref="N15:P15"/>
    <mergeCell ref="F5:F7"/>
    <mergeCell ref="F9:F13"/>
    <mergeCell ref="G17:M17"/>
    <mergeCell ref="N17:P17"/>
    <mergeCell ref="G9:M9"/>
    <mergeCell ref="N9:P9"/>
    <mergeCell ref="G11:M11"/>
    <mergeCell ref="N11:P11"/>
    <mergeCell ref="G13:M13"/>
    <mergeCell ref="N13:P13"/>
    <mergeCell ref="G8:L8"/>
    <mergeCell ref="I2:O2"/>
    <mergeCell ref="I3:M3"/>
    <mergeCell ref="G5:M5"/>
    <mergeCell ref="N5:P5"/>
    <mergeCell ref="G7:M7"/>
    <mergeCell ref="N7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1" sqref="B21"/>
    </sheetView>
  </sheetViews>
  <sheetFormatPr defaultRowHeight="15" x14ac:dyDescent="0.25"/>
  <cols>
    <col min="1" max="1" width="9.140625" style="2"/>
    <col min="2" max="2" width="11.5703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1990</v>
      </c>
      <c r="B2" s="4">
        <v>823184</v>
      </c>
    </row>
    <row r="3" spans="1:2" x14ac:dyDescent="0.25">
      <c r="A3" s="2">
        <v>1991</v>
      </c>
      <c r="B3" s="4">
        <v>873295</v>
      </c>
    </row>
    <row r="4" spans="1:2" x14ac:dyDescent="0.25">
      <c r="A4" s="2">
        <v>1992</v>
      </c>
      <c r="B4" s="4">
        <v>896441</v>
      </c>
    </row>
    <row r="5" spans="1:2" x14ac:dyDescent="0.25">
      <c r="A5" s="2">
        <v>1993</v>
      </c>
      <c r="B5" s="4">
        <v>921411</v>
      </c>
    </row>
    <row r="6" spans="1:2" x14ac:dyDescent="0.25">
      <c r="A6" s="2">
        <v>1994</v>
      </c>
      <c r="B6" s="4">
        <v>946109</v>
      </c>
    </row>
    <row r="7" spans="1:2" x14ac:dyDescent="0.25">
      <c r="A7" s="2">
        <v>1995</v>
      </c>
      <c r="B7" s="4">
        <v>978321</v>
      </c>
    </row>
    <row r="8" spans="1:2" x14ac:dyDescent="0.25">
      <c r="A8" s="2">
        <v>1996</v>
      </c>
      <c r="B8" s="4">
        <v>974782</v>
      </c>
    </row>
    <row r="9" spans="1:2" x14ac:dyDescent="0.25">
      <c r="A9" s="2">
        <v>1997</v>
      </c>
      <c r="B9" s="4">
        <v>968547</v>
      </c>
    </row>
    <row r="10" spans="1:2" x14ac:dyDescent="0.25">
      <c r="A10" s="2">
        <v>1998</v>
      </c>
      <c r="B10" s="4">
        <v>953446</v>
      </c>
    </row>
    <row r="11" spans="1:2" x14ac:dyDescent="0.25">
      <c r="A11" s="2">
        <v>1999</v>
      </c>
      <c r="B11" s="4">
        <v>948634</v>
      </c>
    </row>
    <row r="12" spans="1:2" x14ac:dyDescent="0.25">
      <c r="A12" s="2">
        <v>2000</v>
      </c>
      <c r="B12" s="4">
        <v>944548</v>
      </c>
    </row>
    <row r="13" spans="1:2" x14ac:dyDescent="0.25">
      <c r="A13" s="2">
        <v>2001</v>
      </c>
      <c r="B13" s="4">
        <v>957573</v>
      </c>
    </row>
    <row r="14" spans="1:2" x14ac:dyDescent="0.25">
      <c r="A14" s="2">
        <v>2002</v>
      </c>
      <c r="B14" s="4">
        <v>953401</v>
      </c>
    </row>
    <row r="15" spans="1:2" x14ac:dyDescent="0.25">
      <c r="A15" s="2">
        <v>2003</v>
      </c>
      <c r="B15" s="4">
        <v>964719</v>
      </c>
    </row>
    <row r="16" spans="1:2" x14ac:dyDescent="0.25">
      <c r="A16" s="2">
        <v>2004</v>
      </c>
      <c r="B16" s="4">
        <v>984777</v>
      </c>
    </row>
    <row r="17" spans="1:2" x14ac:dyDescent="0.25">
      <c r="A17" s="2">
        <v>2005</v>
      </c>
      <c r="B17" s="4">
        <v>1013206</v>
      </c>
    </row>
    <row r="18" spans="1:2" x14ac:dyDescent="0.25">
      <c r="A18" s="2">
        <v>2006</v>
      </c>
      <c r="B18" s="4">
        <v>1025855</v>
      </c>
    </row>
    <row r="19" spans="1:2" x14ac:dyDescent="0.25">
      <c r="A19" s="2">
        <v>2007</v>
      </c>
      <c r="B19" s="4">
        <v>1053203</v>
      </c>
    </row>
    <row r="20" spans="1:2" x14ac:dyDescent="0.25">
      <c r="A20" s="2">
        <v>2008</v>
      </c>
      <c r="B20" s="4">
        <v>1057520</v>
      </c>
    </row>
    <row r="21" spans="1:2" x14ac:dyDescent="0.25">
      <c r="A21" s="2">
        <v>2009</v>
      </c>
      <c r="B21" s="4">
        <v>1036689</v>
      </c>
    </row>
    <row r="22" spans="1:2" x14ac:dyDescent="0.25">
      <c r="A22" s="2">
        <v>2010</v>
      </c>
      <c r="B22" s="4">
        <v>1007695</v>
      </c>
    </row>
    <row r="23" spans="1:2" x14ac:dyDescent="0.25">
      <c r="A23" s="2">
        <v>2011</v>
      </c>
      <c r="B23" s="4">
        <v>1002311</v>
      </c>
    </row>
    <row r="24" spans="1:2" x14ac:dyDescent="0.25">
      <c r="A24" s="2">
        <v>2012</v>
      </c>
      <c r="B24" s="4">
        <v>996451</v>
      </c>
    </row>
    <row r="25" spans="1:2" x14ac:dyDescent="0.25">
      <c r="A25" s="2">
        <v>2013</v>
      </c>
      <c r="B25" s="4">
        <v>979266</v>
      </c>
    </row>
    <row r="26" spans="1:2" x14ac:dyDescent="0.25">
      <c r="A26" s="2">
        <v>2014</v>
      </c>
      <c r="B26" s="4">
        <v>944661</v>
      </c>
    </row>
    <row r="27" spans="1:2" x14ac:dyDescent="0.25">
      <c r="A27" s="2">
        <v>2015</v>
      </c>
      <c r="B27" s="4">
        <v>939770</v>
      </c>
    </row>
    <row r="28" spans="1:2" x14ac:dyDescent="0.25">
      <c r="A28" s="2">
        <v>2016</v>
      </c>
      <c r="B28" s="4">
        <v>941008</v>
      </c>
    </row>
    <row r="29" spans="1:2" x14ac:dyDescent="0.25">
      <c r="A29" s="2">
        <v>2017</v>
      </c>
      <c r="B29" s="3">
        <v>967931</v>
      </c>
    </row>
    <row r="30" spans="1:2" x14ac:dyDescent="0.25">
      <c r="A30" s="2">
        <v>2018</v>
      </c>
      <c r="B30" s="3">
        <v>938371</v>
      </c>
    </row>
    <row r="31" spans="1:2" x14ac:dyDescent="0.25">
      <c r="A31" s="2">
        <v>2019</v>
      </c>
      <c r="B31" s="3">
        <v>926373</v>
      </c>
    </row>
    <row r="32" spans="1:2" x14ac:dyDescent="0.25">
      <c r="A32" s="2">
        <v>2020</v>
      </c>
      <c r="B32" s="3">
        <v>907498</v>
      </c>
    </row>
  </sheetData>
  <sheetProtection algorithmName="SHA-512" hashValue="RvaosDRGz7/dLfVHwEF0N0aRsyplLUkzWu4X8ZnjfnEz79SDCrmKb4r9uCL5B48wJ3QE+mVa2b1zXXYwdWEP8w==" saltValue="aGFyup0+QWvj21/0INEbqw==" spinCount="100000" sheet="1" objects="1" scenarios="1"/>
  <sortState xmlns:xlrd2="http://schemas.microsoft.com/office/spreadsheetml/2017/richdata2" ref="A2:B32">
    <sortCondition ref="A2:A3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showGridLines="0" zoomScale="68" zoomScaleNormal="68" workbookViewId="0">
      <selection activeCell="K1" sqref="K1"/>
    </sheetView>
  </sheetViews>
  <sheetFormatPr defaultRowHeight="15" x14ac:dyDescent="0.25"/>
  <cols>
    <col min="1" max="1" width="9.28515625" bestFit="1" customWidth="1"/>
    <col min="2" max="2" width="17.140625" bestFit="1" customWidth="1"/>
    <col min="3" max="5" width="13.85546875" bestFit="1" customWidth="1"/>
    <col min="6" max="6" width="14" bestFit="1" customWidth="1"/>
    <col min="7" max="7" width="13.85546875" bestFit="1" customWidth="1"/>
    <col min="8" max="8" width="28.28515625" style="2" bestFit="1" customWidth="1"/>
    <col min="11" max="11" width="49.28515625" bestFit="1" customWidth="1"/>
    <col min="12" max="12" width="21.7109375" bestFit="1" customWidth="1"/>
    <col min="13" max="13" width="22.85546875" bestFit="1" customWidth="1"/>
    <col min="14" max="14" width="9.85546875" bestFit="1" customWidth="1"/>
    <col min="15" max="15" width="12.7109375" bestFit="1" customWidth="1"/>
  </cols>
  <sheetData>
    <row r="1" spans="1:15" ht="26.25" customHeight="1" thickBot="1" x14ac:dyDescent="0.3">
      <c r="A1" s="10" t="s">
        <v>2</v>
      </c>
      <c r="B1" s="11">
        <f>N15</f>
        <v>0.75</v>
      </c>
    </row>
    <row r="2" spans="1:15" ht="21.75" thickBot="1" x14ac:dyDescent="0.4">
      <c r="A2" s="215" t="s">
        <v>0</v>
      </c>
      <c r="B2" s="216" t="s">
        <v>1</v>
      </c>
      <c r="C2" s="217" t="s">
        <v>3</v>
      </c>
      <c r="D2" s="217" t="s">
        <v>4</v>
      </c>
      <c r="E2" s="217" t="s">
        <v>5</v>
      </c>
      <c r="F2" s="217" t="s">
        <v>6</v>
      </c>
      <c r="G2" s="218" t="s">
        <v>7</v>
      </c>
      <c r="H2" s="219" t="s">
        <v>11</v>
      </c>
    </row>
    <row r="3" spans="1:15" ht="21" x14ac:dyDescent="0.35">
      <c r="A3" s="209">
        <v>1989</v>
      </c>
      <c r="B3" s="210"/>
      <c r="C3" s="211">
        <f>B4</f>
        <v>823184</v>
      </c>
      <c r="D3" s="211">
        <f>B4</f>
        <v>823184</v>
      </c>
      <c r="E3" s="211">
        <f>(2*C3)-D3</f>
        <v>823184</v>
      </c>
      <c r="F3" s="212">
        <f t="shared" ref="F3:F34" si="0">(C3-D3)*Alpha/(1-Alpha)</f>
        <v>0</v>
      </c>
      <c r="G3" s="213"/>
      <c r="H3" s="214"/>
      <c r="K3" s="220" t="s">
        <v>16</v>
      </c>
      <c r="L3" s="221">
        <f>N15</f>
        <v>0.75</v>
      </c>
    </row>
    <row r="4" spans="1:15" ht="21" x14ac:dyDescent="0.35">
      <c r="A4" s="200" cm="1">
        <f t="array" ref="A4:A34">'Master sheet - Forecasting'!A2:A32</f>
        <v>1990</v>
      </c>
      <c r="B4" s="201" cm="1">
        <f t="array" ref="B4:B34">'Master sheet - Forecasting'!B2:B32</f>
        <v>823184</v>
      </c>
      <c r="C4" s="198">
        <f t="shared" ref="C4:C34" si="1">Alpha*B4+(1-Alpha)*C3</f>
        <v>823184</v>
      </c>
      <c r="D4" s="198">
        <f t="shared" ref="D4:D34" si="2">Alpha*C4+(1-Alpha)*D3</f>
        <v>823184</v>
      </c>
      <c r="E4" s="198">
        <f t="shared" ref="E4:E34" si="3">(2*C4)-D4</f>
        <v>823184</v>
      </c>
      <c r="F4" s="199">
        <f t="shared" si="0"/>
        <v>0</v>
      </c>
      <c r="G4" s="202">
        <f>E3+F3</f>
        <v>823184</v>
      </c>
      <c r="H4" s="203">
        <f>ABS(B4-G4)</f>
        <v>0</v>
      </c>
      <c r="K4" s="222" t="s">
        <v>8</v>
      </c>
      <c r="L4" s="223" t="str">
        <f>ROUND(AVERAGE(H4:H34),0) &amp; " Doses"</f>
        <v>15245 Doses</v>
      </c>
    </row>
    <row r="5" spans="1:15" ht="21.75" thickBot="1" x14ac:dyDescent="0.4">
      <c r="A5" s="200">
        <v>1991</v>
      </c>
      <c r="B5" s="201">
        <v>873295</v>
      </c>
      <c r="C5" s="198">
        <f t="shared" si="1"/>
        <v>860767.25</v>
      </c>
      <c r="D5" s="198">
        <f t="shared" si="2"/>
        <v>851371.4375</v>
      </c>
      <c r="E5" s="198">
        <f t="shared" si="3"/>
        <v>870163.0625</v>
      </c>
      <c r="F5" s="204">
        <f t="shared" si="0"/>
        <v>28187.4375</v>
      </c>
      <c r="G5" s="202">
        <f>E4+F4</f>
        <v>823184</v>
      </c>
      <c r="H5" s="205">
        <f t="shared" ref="H5:H34" si="4">ABS(B5-G5)</f>
        <v>50111</v>
      </c>
      <c r="K5" s="224" t="s">
        <v>9</v>
      </c>
      <c r="L5" s="225">
        <f>G54</f>
        <v>600047.58842797915</v>
      </c>
    </row>
    <row r="6" spans="1:15" ht="21.75" thickBot="1" x14ac:dyDescent="0.4">
      <c r="A6" s="200">
        <v>1992</v>
      </c>
      <c r="B6" s="201">
        <v>896441</v>
      </c>
      <c r="C6" s="198">
        <f t="shared" si="1"/>
        <v>887522.5625</v>
      </c>
      <c r="D6" s="198">
        <f t="shared" si="2"/>
        <v>878484.78125</v>
      </c>
      <c r="E6" s="198">
        <f t="shared" si="3"/>
        <v>896560.34375</v>
      </c>
      <c r="F6" s="204">
        <f t="shared" si="0"/>
        <v>27113.34375</v>
      </c>
      <c r="G6" s="202">
        <f t="shared" ref="G6:G34" si="5">E5+F5</f>
        <v>898350.5</v>
      </c>
      <c r="H6" s="205">
        <f t="shared" si="4"/>
        <v>1909.5</v>
      </c>
      <c r="K6" s="373" t="s">
        <v>10</v>
      </c>
      <c r="L6" s="374"/>
    </row>
    <row r="7" spans="1:15" ht="21" x14ac:dyDescent="0.35">
      <c r="A7" s="200">
        <v>1993</v>
      </c>
      <c r="B7" s="201">
        <v>921411</v>
      </c>
      <c r="C7" s="198">
        <f t="shared" si="1"/>
        <v>912938.890625</v>
      </c>
      <c r="D7" s="198">
        <f t="shared" si="2"/>
        <v>904325.36328125</v>
      </c>
      <c r="E7" s="198">
        <f t="shared" si="3"/>
        <v>921552.41796875</v>
      </c>
      <c r="F7" s="204">
        <f t="shared" si="0"/>
        <v>25840.58203125</v>
      </c>
      <c r="G7" s="202">
        <f t="shared" si="5"/>
        <v>923673.6875</v>
      </c>
      <c r="H7" s="205">
        <f t="shared" si="4"/>
        <v>2262.6875</v>
      </c>
      <c r="K7" s="226" t="s">
        <v>12</v>
      </c>
      <c r="L7" s="227">
        <f>$L$5+ROUND(AVERAGE(H4:H34),0)</f>
        <v>615292.58842797915</v>
      </c>
    </row>
    <row r="8" spans="1:15" ht="21.75" thickBot="1" x14ac:dyDescent="0.4">
      <c r="A8" s="200">
        <v>1994</v>
      </c>
      <c r="B8" s="201">
        <v>946109</v>
      </c>
      <c r="C8" s="198">
        <f t="shared" si="1"/>
        <v>937816.47265625</v>
      </c>
      <c r="D8" s="198">
        <f t="shared" si="2"/>
        <v>929443.6953125</v>
      </c>
      <c r="E8" s="198">
        <f t="shared" si="3"/>
        <v>946189.25</v>
      </c>
      <c r="F8" s="204">
        <f t="shared" si="0"/>
        <v>25118.33203125</v>
      </c>
      <c r="G8" s="202">
        <f t="shared" si="5"/>
        <v>947393</v>
      </c>
      <c r="H8" s="205">
        <f t="shared" si="4"/>
        <v>1284</v>
      </c>
      <c r="K8" s="228" t="s">
        <v>13</v>
      </c>
      <c r="L8" s="229">
        <f>$L$5-ROUND(AVERAGE(H4:H34),0)</f>
        <v>584802.58842797915</v>
      </c>
    </row>
    <row r="9" spans="1:15" ht="21.75" thickBot="1" x14ac:dyDescent="0.4">
      <c r="A9" s="200">
        <v>1995</v>
      </c>
      <c r="B9" s="201">
        <v>978321</v>
      </c>
      <c r="C9" s="198">
        <f t="shared" si="1"/>
        <v>968194.8681640625</v>
      </c>
      <c r="D9" s="198">
        <f t="shared" si="2"/>
        <v>958507.07495117188</v>
      </c>
      <c r="E9" s="198">
        <f t="shared" si="3"/>
        <v>977882.66137695313</v>
      </c>
      <c r="F9" s="204">
        <f t="shared" si="0"/>
        <v>29063.379638671875</v>
      </c>
      <c r="G9" s="202">
        <f t="shared" si="5"/>
        <v>971307.58203125</v>
      </c>
      <c r="H9" s="205">
        <f t="shared" si="4"/>
        <v>7013.41796875</v>
      </c>
    </row>
    <row r="10" spans="1:15" ht="21.75" thickBot="1" x14ac:dyDescent="0.4">
      <c r="A10" s="200">
        <v>1996</v>
      </c>
      <c r="B10" s="201">
        <v>974782</v>
      </c>
      <c r="C10" s="198">
        <f t="shared" si="1"/>
        <v>973135.21704101563</v>
      </c>
      <c r="D10" s="198">
        <f t="shared" si="2"/>
        <v>969478.18151855469</v>
      </c>
      <c r="E10" s="198">
        <f t="shared" si="3"/>
        <v>976792.25256347656</v>
      </c>
      <c r="F10" s="204">
        <f t="shared" si="0"/>
        <v>10971.106567382813</v>
      </c>
      <c r="G10" s="202">
        <f t="shared" si="5"/>
        <v>1006946.041015625</v>
      </c>
      <c r="H10" s="205">
        <f t="shared" si="4"/>
        <v>32164.041015625</v>
      </c>
      <c r="K10" s="230" t="s">
        <v>15</v>
      </c>
      <c r="L10" s="231">
        <f>AVERAGE(H4:H34)</f>
        <v>15245.02662242439</v>
      </c>
    </row>
    <row r="11" spans="1:15" ht="21" x14ac:dyDescent="0.35">
      <c r="A11" s="200">
        <v>1997</v>
      </c>
      <c r="B11" s="201">
        <v>968547</v>
      </c>
      <c r="C11" s="198">
        <f t="shared" si="1"/>
        <v>969694.05426025391</v>
      </c>
      <c r="D11" s="198">
        <f t="shared" si="2"/>
        <v>969640.0860748291</v>
      </c>
      <c r="E11" s="198">
        <f t="shared" si="3"/>
        <v>969748.02244567871</v>
      </c>
      <c r="F11" s="204">
        <f t="shared" si="0"/>
        <v>161.90455627441406</v>
      </c>
      <c r="G11" s="202">
        <f t="shared" si="5"/>
        <v>987763.35913085938</v>
      </c>
      <c r="H11" s="205">
        <f t="shared" si="4"/>
        <v>19216.359130859375</v>
      </c>
      <c r="K11" s="12" t="s">
        <v>2</v>
      </c>
      <c r="L11" s="232" t="s">
        <v>14</v>
      </c>
    </row>
    <row r="12" spans="1:15" ht="21.75" thickBot="1" x14ac:dyDescent="0.4">
      <c r="A12" s="200">
        <v>1998</v>
      </c>
      <c r="B12" s="201">
        <v>953446</v>
      </c>
      <c r="C12" s="198">
        <f t="shared" si="1"/>
        <v>957508.01356506348</v>
      </c>
      <c r="D12" s="198">
        <f t="shared" si="2"/>
        <v>960541.03169250488</v>
      </c>
      <c r="E12" s="198">
        <f t="shared" si="3"/>
        <v>954474.99543762207</v>
      </c>
      <c r="F12" s="204">
        <f t="shared" si="0"/>
        <v>-9099.0543823242188</v>
      </c>
      <c r="G12" s="202">
        <f t="shared" si="5"/>
        <v>969909.92700195313</v>
      </c>
      <c r="H12" s="205">
        <f t="shared" si="4"/>
        <v>16463.927001953125</v>
      </c>
      <c r="K12" s="233">
        <v>0.05</v>
      </c>
      <c r="L12" s="234">
        <f>L10</f>
        <v>15245.02662242439</v>
      </c>
    </row>
    <row r="13" spans="1:15" ht="21" x14ac:dyDescent="0.35">
      <c r="A13" s="200">
        <v>1999</v>
      </c>
      <c r="B13" s="201">
        <v>948634</v>
      </c>
      <c r="C13" s="198">
        <f t="shared" si="1"/>
        <v>950852.50339126587</v>
      </c>
      <c r="D13" s="198">
        <f t="shared" si="2"/>
        <v>953274.63546657562</v>
      </c>
      <c r="E13" s="198">
        <f t="shared" si="3"/>
        <v>948430.37131595612</v>
      </c>
      <c r="F13" s="204">
        <f t="shared" si="0"/>
        <v>-7266.3962259292603</v>
      </c>
      <c r="G13" s="202">
        <f t="shared" si="5"/>
        <v>945375.94105529785</v>
      </c>
      <c r="H13" s="205">
        <f t="shared" si="4"/>
        <v>3258.0589447021484</v>
      </c>
      <c r="K13" s="235">
        <v>0.1</v>
      </c>
      <c r="L13" s="236">
        <f t="dataTable" ref="L13:L31" dt2D="0" dtr="0" r1="B1"/>
        <v>42859.297601178165</v>
      </c>
      <c r="M13" s="220" t="s">
        <v>125</v>
      </c>
      <c r="N13" s="238">
        <f>MIN(L13:L30)</f>
        <v>15245.02662242439</v>
      </c>
    </row>
    <row r="14" spans="1:15" ht="21" x14ac:dyDescent="0.35">
      <c r="A14" s="200">
        <v>2000</v>
      </c>
      <c r="B14" s="201">
        <v>944548</v>
      </c>
      <c r="C14" s="198">
        <f t="shared" si="1"/>
        <v>946124.12584781647</v>
      </c>
      <c r="D14" s="198">
        <f t="shared" si="2"/>
        <v>947911.75325250626</v>
      </c>
      <c r="E14" s="198">
        <f t="shared" si="3"/>
        <v>944336.49844312668</v>
      </c>
      <c r="F14" s="204">
        <f t="shared" si="0"/>
        <v>-5362.8822140693665</v>
      </c>
      <c r="G14" s="202">
        <f t="shared" si="5"/>
        <v>941163.97509002686</v>
      </c>
      <c r="H14" s="205">
        <f t="shared" si="4"/>
        <v>3384.0249099731445</v>
      </c>
      <c r="K14" s="235">
        <v>0.15</v>
      </c>
      <c r="L14" s="236">
        <v>36061.441465870579</v>
      </c>
      <c r="M14" s="222"/>
      <c r="N14" s="239">
        <f>MATCH(N13,L13:L30,0)</f>
        <v>14</v>
      </c>
      <c r="O14" s="5"/>
    </row>
    <row r="15" spans="1:15" ht="21.75" thickBot="1" x14ac:dyDescent="0.4">
      <c r="A15" s="200">
        <v>2001</v>
      </c>
      <c r="B15" s="201">
        <v>957573</v>
      </c>
      <c r="C15" s="198">
        <f t="shared" si="1"/>
        <v>954710.78146195412</v>
      </c>
      <c r="D15" s="198">
        <f t="shared" si="2"/>
        <v>953011.02440959215</v>
      </c>
      <c r="E15" s="198">
        <f t="shared" si="3"/>
        <v>956410.53851431608</v>
      </c>
      <c r="F15" s="204">
        <f t="shared" si="0"/>
        <v>5099.2711570858955</v>
      </c>
      <c r="G15" s="202">
        <f t="shared" si="5"/>
        <v>938973.61622905731</v>
      </c>
      <c r="H15" s="205">
        <f t="shared" si="4"/>
        <v>18599.383770942688</v>
      </c>
      <c r="K15" s="235">
        <v>0.2</v>
      </c>
      <c r="L15" s="236">
        <v>31405.896268100398</v>
      </c>
      <c r="M15" s="240" t="s">
        <v>126</v>
      </c>
      <c r="N15" s="241" cm="1">
        <f t="array" ref="N15">INDEX(K13:L30,N14,1)</f>
        <v>0.75</v>
      </c>
    </row>
    <row r="16" spans="1:15" ht="21" x14ac:dyDescent="0.35">
      <c r="A16" s="200">
        <v>2002</v>
      </c>
      <c r="B16" s="201">
        <v>953401</v>
      </c>
      <c r="C16" s="198">
        <f t="shared" si="1"/>
        <v>953728.44536548853</v>
      </c>
      <c r="D16" s="198">
        <f t="shared" si="2"/>
        <v>953549.09012651443</v>
      </c>
      <c r="E16" s="198">
        <f t="shared" si="3"/>
        <v>953907.80060446262</v>
      </c>
      <c r="F16" s="204">
        <f t="shared" si="0"/>
        <v>538.06571692228317</v>
      </c>
      <c r="G16" s="202">
        <f t="shared" si="5"/>
        <v>961509.80967140198</v>
      </c>
      <c r="H16" s="205">
        <f t="shared" si="4"/>
        <v>8108.8096714019775</v>
      </c>
      <c r="K16" s="235">
        <v>0.25</v>
      </c>
      <c r="L16" s="237">
        <v>27885.739020516536</v>
      </c>
    </row>
    <row r="17" spans="1:12" ht="21" x14ac:dyDescent="0.35">
      <c r="A17" s="200">
        <v>2003</v>
      </c>
      <c r="B17" s="201">
        <v>964719</v>
      </c>
      <c r="C17" s="198">
        <f t="shared" si="1"/>
        <v>961971.36134137213</v>
      </c>
      <c r="D17" s="198">
        <f t="shared" si="2"/>
        <v>959865.79353765771</v>
      </c>
      <c r="E17" s="198">
        <f t="shared" si="3"/>
        <v>964076.92914508656</v>
      </c>
      <c r="F17" s="204">
        <f t="shared" si="0"/>
        <v>6316.7034111432731</v>
      </c>
      <c r="G17" s="202">
        <f t="shared" si="5"/>
        <v>954445.86632138491</v>
      </c>
      <c r="H17" s="205">
        <f t="shared" si="4"/>
        <v>10273.133678615093</v>
      </c>
      <c r="K17" s="235">
        <v>0.3</v>
      </c>
      <c r="L17" s="237">
        <v>24801.97531691019</v>
      </c>
    </row>
    <row r="18" spans="1:12" ht="21" x14ac:dyDescent="0.35">
      <c r="A18" s="200">
        <v>2004</v>
      </c>
      <c r="B18" s="201">
        <v>984777</v>
      </c>
      <c r="C18" s="198">
        <f t="shared" si="1"/>
        <v>979075.59033534303</v>
      </c>
      <c r="D18" s="198">
        <f t="shared" si="2"/>
        <v>974273.1411359217</v>
      </c>
      <c r="E18" s="198">
        <f t="shared" si="3"/>
        <v>983878.03953476436</v>
      </c>
      <c r="F18" s="204">
        <f t="shared" si="0"/>
        <v>14407.347598263994</v>
      </c>
      <c r="G18" s="202">
        <f t="shared" si="5"/>
        <v>970393.63255622983</v>
      </c>
      <c r="H18" s="205">
        <f t="shared" si="4"/>
        <v>14383.36744377017</v>
      </c>
      <c r="K18" s="235">
        <v>0.35</v>
      </c>
      <c r="L18" s="237">
        <v>22704.017598157494</v>
      </c>
    </row>
    <row r="19" spans="1:12" ht="21" x14ac:dyDescent="0.35">
      <c r="A19" s="200">
        <v>2005</v>
      </c>
      <c r="B19" s="201">
        <v>1013206</v>
      </c>
      <c r="C19" s="198">
        <f t="shared" si="1"/>
        <v>1004673.3975838358</v>
      </c>
      <c r="D19" s="198">
        <f t="shared" si="2"/>
        <v>997073.33347185724</v>
      </c>
      <c r="E19" s="198">
        <f t="shared" si="3"/>
        <v>1012273.4616958143</v>
      </c>
      <c r="F19" s="204">
        <f t="shared" si="0"/>
        <v>22800.192335935542</v>
      </c>
      <c r="G19" s="202">
        <f t="shared" si="5"/>
        <v>998285.38713302836</v>
      </c>
      <c r="H19" s="205">
        <f t="shared" si="4"/>
        <v>14920.612866971642</v>
      </c>
      <c r="K19" s="235">
        <v>0.4</v>
      </c>
      <c r="L19" s="237">
        <v>21110.258993544849</v>
      </c>
    </row>
    <row r="20" spans="1:12" ht="21" x14ac:dyDescent="0.35">
      <c r="A20" s="200">
        <v>2006</v>
      </c>
      <c r="B20" s="201">
        <v>1025855</v>
      </c>
      <c r="C20" s="198">
        <f t="shared" si="1"/>
        <v>1020559.5993959589</v>
      </c>
      <c r="D20" s="198">
        <f t="shared" si="2"/>
        <v>1014688.0329149335</v>
      </c>
      <c r="E20" s="198">
        <f t="shared" si="3"/>
        <v>1026431.1658769844</v>
      </c>
      <c r="F20" s="204">
        <f t="shared" si="0"/>
        <v>17614.699443076272</v>
      </c>
      <c r="G20" s="202">
        <f t="shared" si="5"/>
        <v>1035073.6540317498</v>
      </c>
      <c r="H20" s="205">
        <f t="shared" si="4"/>
        <v>9218.6540317498147</v>
      </c>
      <c r="K20" s="235">
        <v>0.45</v>
      </c>
      <c r="L20" s="237">
        <v>19514.819897493013</v>
      </c>
    </row>
    <row r="21" spans="1:12" ht="21" x14ac:dyDescent="0.35">
      <c r="A21" s="200">
        <v>2007</v>
      </c>
      <c r="B21" s="201">
        <v>1053203</v>
      </c>
      <c r="C21" s="198">
        <f t="shared" si="1"/>
        <v>1045042.1498489897</v>
      </c>
      <c r="D21" s="198">
        <f t="shared" si="2"/>
        <v>1037453.6206154756</v>
      </c>
      <c r="E21" s="198">
        <f t="shared" si="3"/>
        <v>1052630.6790825038</v>
      </c>
      <c r="F21" s="204">
        <f t="shared" si="0"/>
        <v>22765.587700542295</v>
      </c>
      <c r="G21" s="202">
        <f t="shared" si="5"/>
        <v>1044045.8653200606</v>
      </c>
      <c r="H21" s="205">
        <f t="shared" si="4"/>
        <v>9157.134679939365</v>
      </c>
      <c r="K21" s="235">
        <v>0.5</v>
      </c>
      <c r="L21" s="237">
        <v>18102.242543158631</v>
      </c>
    </row>
    <row r="22" spans="1:12" ht="21" x14ac:dyDescent="0.35">
      <c r="A22" s="200">
        <v>2008</v>
      </c>
      <c r="B22" s="201">
        <v>1057520</v>
      </c>
      <c r="C22" s="198">
        <f t="shared" si="1"/>
        <v>1054400.5374622475</v>
      </c>
      <c r="D22" s="198">
        <f t="shared" si="2"/>
        <v>1050163.8082505546</v>
      </c>
      <c r="E22" s="198">
        <f t="shared" si="3"/>
        <v>1058637.2666739405</v>
      </c>
      <c r="F22" s="204">
        <f t="shared" si="0"/>
        <v>12710.187635078793</v>
      </c>
      <c r="G22" s="202">
        <f t="shared" si="5"/>
        <v>1075396.2667830461</v>
      </c>
      <c r="H22" s="205">
        <f t="shared" si="4"/>
        <v>17876.26678304607</v>
      </c>
      <c r="K22" s="235">
        <v>0.55000000000000004</v>
      </c>
      <c r="L22" s="237">
        <v>16932.021062707165</v>
      </c>
    </row>
    <row r="23" spans="1:12" ht="21" x14ac:dyDescent="0.35">
      <c r="A23" s="200">
        <v>2009</v>
      </c>
      <c r="B23" s="201">
        <v>1036689</v>
      </c>
      <c r="C23" s="198">
        <f t="shared" si="1"/>
        <v>1041116.8843655619</v>
      </c>
      <c r="D23" s="198">
        <f t="shared" si="2"/>
        <v>1043378.61533681</v>
      </c>
      <c r="E23" s="198">
        <f t="shared" si="3"/>
        <v>1038855.1533943138</v>
      </c>
      <c r="F23" s="204">
        <f t="shared" si="0"/>
        <v>-6785.1929137443658</v>
      </c>
      <c r="G23" s="202">
        <f t="shared" si="5"/>
        <v>1071347.4543090193</v>
      </c>
      <c r="H23" s="205">
        <f t="shared" si="4"/>
        <v>34658.45430901926</v>
      </c>
      <c r="K23" s="235">
        <v>0.6</v>
      </c>
      <c r="L23" s="237">
        <v>15995.956086038464</v>
      </c>
    </row>
    <row r="24" spans="1:12" ht="21" x14ac:dyDescent="0.35">
      <c r="A24" s="200">
        <v>2010</v>
      </c>
      <c r="B24" s="201">
        <v>1007695</v>
      </c>
      <c r="C24" s="198">
        <f t="shared" si="1"/>
        <v>1016050.4710913905</v>
      </c>
      <c r="D24" s="198">
        <f t="shared" si="2"/>
        <v>1022882.5071527453</v>
      </c>
      <c r="E24" s="198">
        <f t="shared" si="3"/>
        <v>1009218.4350300357</v>
      </c>
      <c r="F24" s="204">
        <f t="shared" si="0"/>
        <v>-20496.108184064389</v>
      </c>
      <c r="G24" s="202">
        <f t="shared" si="5"/>
        <v>1032069.9604805694</v>
      </c>
      <c r="H24" s="205">
        <f t="shared" si="4"/>
        <v>24374.960480569396</v>
      </c>
      <c r="K24" s="235">
        <v>0.65</v>
      </c>
      <c r="L24" s="237">
        <v>15603.269183186443</v>
      </c>
    </row>
    <row r="25" spans="1:12" ht="21" x14ac:dyDescent="0.35">
      <c r="A25" s="200">
        <v>2011</v>
      </c>
      <c r="B25" s="201">
        <v>1002311</v>
      </c>
      <c r="C25" s="198">
        <f t="shared" si="1"/>
        <v>1005745.8677728476</v>
      </c>
      <c r="D25" s="198">
        <f t="shared" si="2"/>
        <v>1010030.0276178222</v>
      </c>
      <c r="E25" s="198">
        <f t="shared" si="3"/>
        <v>1001461.7079278731</v>
      </c>
      <c r="F25" s="204">
        <f t="shared" si="0"/>
        <v>-12852.479534923565</v>
      </c>
      <c r="G25" s="202">
        <f t="shared" si="5"/>
        <v>988722.32684597129</v>
      </c>
      <c r="H25" s="205">
        <f t="shared" si="4"/>
        <v>13588.673154028715</v>
      </c>
      <c r="K25" s="235">
        <v>0.7</v>
      </c>
      <c r="L25" s="237">
        <v>15307.271533864956</v>
      </c>
    </row>
    <row r="26" spans="1:12" ht="21" x14ac:dyDescent="0.35">
      <c r="A26" s="200">
        <v>2012</v>
      </c>
      <c r="B26" s="201">
        <v>996451</v>
      </c>
      <c r="C26" s="198">
        <f t="shared" si="1"/>
        <v>998774.71694321185</v>
      </c>
      <c r="D26" s="198">
        <f t="shared" si="2"/>
        <v>1001588.5446118645</v>
      </c>
      <c r="E26" s="198">
        <f t="shared" si="3"/>
        <v>995960.88927455922</v>
      </c>
      <c r="F26" s="204">
        <f t="shared" si="0"/>
        <v>-8441.4830059579108</v>
      </c>
      <c r="G26" s="202">
        <f t="shared" si="5"/>
        <v>988609.22839294956</v>
      </c>
      <c r="H26" s="205">
        <f t="shared" si="4"/>
        <v>7841.7716070504393</v>
      </c>
      <c r="K26" s="235">
        <v>0.75</v>
      </c>
      <c r="L26" s="237">
        <v>15245.02662242439</v>
      </c>
    </row>
    <row r="27" spans="1:12" ht="21" x14ac:dyDescent="0.35">
      <c r="A27" s="200">
        <v>2013</v>
      </c>
      <c r="B27" s="201">
        <v>979266</v>
      </c>
      <c r="C27" s="198">
        <f t="shared" si="1"/>
        <v>984143.17923580296</v>
      </c>
      <c r="D27" s="198">
        <f t="shared" si="2"/>
        <v>988504.5205798184</v>
      </c>
      <c r="E27" s="198">
        <f t="shared" si="3"/>
        <v>979781.83789178752</v>
      </c>
      <c r="F27" s="204">
        <f t="shared" si="0"/>
        <v>-13084.02403204632</v>
      </c>
      <c r="G27" s="202">
        <f t="shared" si="5"/>
        <v>987519.40626860131</v>
      </c>
      <c r="H27" s="205">
        <f t="shared" si="4"/>
        <v>8253.4062686013058</v>
      </c>
      <c r="K27" s="235">
        <v>0.8</v>
      </c>
      <c r="L27" s="237">
        <v>15267.806909188692</v>
      </c>
    </row>
    <row r="28" spans="1:12" ht="21" x14ac:dyDescent="0.35">
      <c r="A28" s="200">
        <v>2014</v>
      </c>
      <c r="B28" s="201">
        <v>944661</v>
      </c>
      <c r="C28" s="198">
        <f t="shared" si="1"/>
        <v>954531.54480895074</v>
      </c>
      <c r="D28" s="198">
        <f t="shared" si="2"/>
        <v>963024.7887516676</v>
      </c>
      <c r="E28" s="198">
        <f t="shared" si="3"/>
        <v>946038.30086623388</v>
      </c>
      <c r="F28" s="204">
        <f t="shared" si="0"/>
        <v>-25479.731828150572</v>
      </c>
      <c r="G28" s="202">
        <f t="shared" si="5"/>
        <v>966697.8138597412</v>
      </c>
      <c r="H28" s="205">
        <f t="shared" si="4"/>
        <v>22036.813859741203</v>
      </c>
      <c r="K28" s="235">
        <v>0.85</v>
      </c>
      <c r="L28" s="237">
        <v>15358.604843835526</v>
      </c>
    </row>
    <row r="29" spans="1:12" ht="21" x14ac:dyDescent="0.35">
      <c r="A29" s="200">
        <v>2015</v>
      </c>
      <c r="B29" s="201">
        <v>939770</v>
      </c>
      <c r="C29" s="198">
        <f t="shared" si="1"/>
        <v>943460.38620223769</v>
      </c>
      <c r="D29" s="198">
        <f t="shared" si="2"/>
        <v>948351.48683959525</v>
      </c>
      <c r="E29" s="198">
        <f t="shared" si="3"/>
        <v>938569.28556488012</v>
      </c>
      <c r="F29" s="204">
        <f t="shared" si="0"/>
        <v>-14673.301912072697</v>
      </c>
      <c r="G29" s="202">
        <f t="shared" si="5"/>
        <v>920558.56903808331</v>
      </c>
      <c r="H29" s="205">
        <f t="shared" si="4"/>
        <v>19211.430961916689</v>
      </c>
      <c r="K29" s="235">
        <v>0.9</v>
      </c>
      <c r="L29" s="237">
        <v>15511.978578199896</v>
      </c>
    </row>
    <row r="30" spans="1:12" ht="21" x14ac:dyDescent="0.35">
      <c r="A30" s="200">
        <v>2016</v>
      </c>
      <c r="B30" s="201">
        <v>941008</v>
      </c>
      <c r="C30" s="198">
        <f t="shared" si="1"/>
        <v>941621.09655055939</v>
      </c>
      <c r="D30" s="198">
        <f t="shared" si="2"/>
        <v>943303.6941228183</v>
      </c>
      <c r="E30" s="198">
        <f t="shared" si="3"/>
        <v>939938.49897830049</v>
      </c>
      <c r="F30" s="204">
        <f t="shared" si="0"/>
        <v>-5047.7927167767193</v>
      </c>
      <c r="G30" s="202">
        <f t="shared" si="5"/>
        <v>923895.98365280742</v>
      </c>
      <c r="H30" s="205">
        <f t="shared" si="4"/>
        <v>17112.016347192577</v>
      </c>
      <c r="K30" s="235">
        <v>0.95</v>
      </c>
      <c r="L30" s="237">
        <v>15647.45481311247</v>
      </c>
    </row>
    <row r="31" spans="1:12" ht="21" x14ac:dyDescent="0.35">
      <c r="A31" s="200">
        <v>2017</v>
      </c>
      <c r="B31" s="201">
        <v>967931</v>
      </c>
      <c r="C31" s="198">
        <f t="shared" si="1"/>
        <v>961353.52413763991</v>
      </c>
      <c r="D31" s="198">
        <f t="shared" si="2"/>
        <v>956841.0666339345</v>
      </c>
      <c r="E31" s="198">
        <f t="shared" si="3"/>
        <v>965865.98164134531</v>
      </c>
      <c r="F31" s="204">
        <f t="shared" si="0"/>
        <v>13537.372511116206</v>
      </c>
      <c r="G31" s="202">
        <f t="shared" si="5"/>
        <v>934890.70626152377</v>
      </c>
      <c r="H31" s="205">
        <f t="shared" si="4"/>
        <v>33040.293738476234</v>
      </c>
      <c r="K31" s="235">
        <v>1</v>
      </c>
      <c r="L31" s="235" t="e">
        <v>#DIV/0!</v>
      </c>
    </row>
    <row r="32" spans="1:12" ht="21" x14ac:dyDescent="0.35">
      <c r="A32" s="200">
        <v>2018</v>
      </c>
      <c r="B32" s="201">
        <v>938371</v>
      </c>
      <c r="C32" s="198">
        <f t="shared" si="1"/>
        <v>944116.63103440998</v>
      </c>
      <c r="D32" s="198">
        <f t="shared" si="2"/>
        <v>947297.73993429111</v>
      </c>
      <c r="E32" s="198">
        <f t="shared" si="3"/>
        <v>940935.52213452884</v>
      </c>
      <c r="F32" s="204">
        <f t="shared" si="0"/>
        <v>-9543.3266996433958</v>
      </c>
      <c r="G32" s="202">
        <f t="shared" si="5"/>
        <v>979403.35415246151</v>
      </c>
      <c r="H32" s="205">
        <f t="shared" si="4"/>
        <v>41032.354152461514</v>
      </c>
    </row>
    <row r="33" spans="1:8" ht="21" x14ac:dyDescent="0.35">
      <c r="A33" s="200">
        <v>2019</v>
      </c>
      <c r="B33" s="201">
        <v>926373</v>
      </c>
      <c r="C33" s="198">
        <f t="shared" si="1"/>
        <v>930808.90775860252</v>
      </c>
      <c r="D33" s="198">
        <f t="shared" si="2"/>
        <v>934931.11580252473</v>
      </c>
      <c r="E33" s="198">
        <f t="shared" si="3"/>
        <v>926686.69971468032</v>
      </c>
      <c r="F33" s="204">
        <f t="shared" si="0"/>
        <v>-12366.624131766614</v>
      </c>
      <c r="G33" s="202">
        <f t="shared" si="5"/>
        <v>931392.19543488545</v>
      </c>
      <c r="H33" s="205">
        <f t="shared" si="4"/>
        <v>5019.1954348854488</v>
      </c>
    </row>
    <row r="34" spans="1:8" ht="21" x14ac:dyDescent="0.35">
      <c r="A34" s="200">
        <v>2020</v>
      </c>
      <c r="B34" s="201">
        <v>907498</v>
      </c>
      <c r="C34" s="198">
        <f t="shared" si="1"/>
        <v>913325.7269396506</v>
      </c>
      <c r="D34" s="198">
        <f t="shared" si="2"/>
        <v>918727.07415536908</v>
      </c>
      <c r="E34" s="198">
        <f t="shared" si="3"/>
        <v>907924.37972393213</v>
      </c>
      <c r="F34" s="204">
        <f t="shared" si="0"/>
        <v>-16204.04164715542</v>
      </c>
      <c r="G34" s="202">
        <f t="shared" si="5"/>
        <v>914320.07558291371</v>
      </c>
      <c r="H34" s="205">
        <f t="shared" si="4"/>
        <v>6822.0755829137051</v>
      </c>
    </row>
    <row r="35" spans="1:8" ht="21" x14ac:dyDescent="0.35">
      <c r="A35" s="97">
        <v>2021</v>
      </c>
      <c r="B35" s="206"/>
      <c r="C35" s="206"/>
      <c r="D35" s="206"/>
      <c r="E35" s="206"/>
      <c r="F35" s="206"/>
      <c r="G35" s="202">
        <f>E34+F34</f>
        <v>891720.33807677671</v>
      </c>
      <c r="H35" s="205"/>
    </row>
    <row r="36" spans="1:8" ht="21" x14ac:dyDescent="0.35">
      <c r="A36" s="97">
        <v>2022</v>
      </c>
      <c r="B36" s="206"/>
      <c r="C36" s="206"/>
      <c r="D36" s="206"/>
      <c r="E36" s="206"/>
      <c r="F36" s="206"/>
      <c r="G36" s="202">
        <f>$E$34+$F$34*(A35-$A$34)</f>
        <v>891720.33807677671</v>
      </c>
      <c r="H36" s="205"/>
    </row>
    <row r="37" spans="1:8" ht="21" x14ac:dyDescent="0.35">
      <c r="A37" s="97">
        <v>2023</v>
      </c>
      <c r="B37" s="206"/>
      <c r="C37" s="206"/>
      <c r="D37" s="206"/>
      <c r="E37" s="206"/>
      <c r="F37" s="206"/>
      <c r="G37" s="202">
        <f t="shared" ref="G37:G54" si="6">$E$34+$F$34*(A36-$A$34)</f>
        <v>875516.29642962129</v>
      </c>
      <c r="H37" s="205"/>
    </row>
    <row r="38" spans="1:8" ht="21" x14ac:dyDescent="0.35">
      <c r="A38" s="97">
        <v>2024</v>
      </c>
      <c r="B38" s="206"/>
      <c r="C38" s="206"/>
      <c r="D38" s="206"/>
      <c r="E38" s="206"/>
      <c r="F38" s="206"/>
      <c r="G38" s="202">
        <f t="shared" si="6"/>
        <v>859312.25478246587</v>
      </c>
      <c r="H38" s="205"/>
    </row>
    <row r="39" spans="1:8" ht="21" x14ac:dyDescent="0.35">
      <c r="A39" s="97">
        <v>2025</v>
      </c>
      <c r="B39" s="206"/>
      <c r="C39" s="206"/>
      <c r="D39" s="206"/>
      <c r="E39" s="206"/>
      <c r="F39" s="206"/>
      <c r="G39" s="202">
        <f t="shared" si="6"/>
        <v>843108.21313531045</v>
      </c>
      <c r="H39" s="205"/>
    </row>
    <row r="40" spans="1:8" ht="21" x14ac:dyDescent="0.35">
      <c r="A40" s="97">
        <v>2026</v>
      </c>
      <c r="B40" s="206"/>
      <c r="C40" s="206"/>
      <c r="D40" s="206"/>
      <c r="E40" s="206"/>
      <c r="F40" s="206"/>
      <c r="G40" s="202">
        <f t="shared" si="6"/>
        <v>826904.17148815503</v>
      </c>
      <c r="H40" s="205"/>
    </row>
    <row r="41" spans="1:8" ht="21" x14ac:dyDescent="0.35">
      <c r="A41" s="97">
        <v>2027</v>
      </c>
      <c r="B41" s="206"/>
      <c r="C41" s="206"/>
      <c r="D41" s="206"/>
      <c r="E41" s="206"/>
      <c r="F41" s="206"/>
      <c r="G41" s="202">
        <f t="shared" si="6"/>
        <v>810700.12984099961</v>
      </c>
      <c r="H41" s="205"/>
    </row>
    <row r="42" spans="1:8" ht="21" x14ac:dyDescent="0.35">
      <c r="A42" s="97">
        <v>2028</v>
      </c>
      <c r="B42" s="206"/>
      <c r="C42" s="206"/>
      <c r="D42" s="206"/>
      <c r="E42" s="206"/>
      <c r="F42" s="206"/>
      <c r="G42" s="202">
        <f t="shared" si="6"/>
        <v>794496.08819384419</v>
      </c>
      <c r="H42" s="205"/>
    </row>
    <row r="43" spans="1:8" ht="21" x14ac:dyDescent="0.35">
      <c r="A43" s="97">
        <v>2029</v>
      </c>
      <c r="B43" s="206"/>
      <c r="C43" s="206"/>
      <c r="D43" s="206"/>
      <c r="E43" s="206"/>
      <c r="F43" s="206"/>
      <c r="G43" s="202">
        <f t="shared" si="6"/>
        <v>778292.04654668877</v>
      </c>
      <c r="H43" s="205"/>
    </row>
    <row r="44" spans="1:8" ht="21" x14ac:dyDescent="0.35">
      <c r="A44" s="97">
        <v>2030</v>
      </c>
      <c r="B44" s="206"/>
      <c r="C44" s="206"/>
      <c r="D44" s="206"/>
      <c r="E44" s="206"/>
      <c r="F44" s="206"/>
      <c r="G44" s="202">
        <f>$E$34+$F$34*(A43-$A$34)</f>
        <v>762088.00489953335</v>
      </c>
      <c r="H44" s="205"/>
    </row>
    <row r="45" spans="1:8" ht="21" x14ac:dyDescent="0.35">
      <c r="A45" s="97">
        <v>2031</v>
      </c>
      <c r="B45" s="206"/>
      <c r="C45" s="206"/>
      <c r="D45" s="206"/>
      <c r="E45" s="206"/>
      <c r="F45" s="206"/>
      <c r="G45" s="202">
        <f t="shared" si="6"/>
        <v>745883.96325237793</v>
      </c>
      <c r="H45" s="205"/>
    </row>
    <row r="46" spans="1:8" ht="21" x14ac:dyDescent="0.35">
      <c r="A46" s="97">
        <v>2032</v>
      </c>
      <c r="B46" s="206"/>
      <c r="C46" s="206"/>
      <c r="D46" s="206"/>
      <c r="E46" s="206"/>
      <c r="F46" s="206"/>
      <c r="G46" s="202">
        <f t="shared" si="6"/>
        <v>729679.92160522251</v>
      </c>
      <c r="H46" s="205"/>
    </row>
    <row r="47" spans="1:8" ht="21" x14ac:dyDescent="0.35">
      <c r="A47" s="97">
        <v>2033</v>
      </c>
      <c r="B47" s="206"/>
      <c r="C47" s="206"/>
      <c r="D47" s="206"/>
      <c r="E47" s="206"/>
      <c r="F47" s="206"/>
      <c r="G47" s="202">
        <f t="shared" si="6"/>
        <v>713475.87995806709</v>
      </c>
      <c r="H47" s="205"/>
    </row>
    <row r="48" spans="1:8" ht="21" x14ac:dyDescent="0.35">
      <c r="A48" s="97">
        <v>2034</v>
      </c>
      <c r="B48" s="206"/>
      <c r="C48" s="206"/>
      <c r="D48" s="206"/>
      <c r="E48" s="206"/>
      <c r="F48" s="206"/>
      <c r="G48" s="202">
        <f t="shared" si="6"/>
        <v>697271.83831091167</v>
      </c>
      <c r="H48" s="205"/>
    </row>
    <row r="49" spans="1:8" ht="21" x14ac:dyDescent="0.35">
      <c r="A49" s="97">
        <v>2035</v>
      </c>
      <c r="B49" s="206"/>
      <c r="C49" s="206"/>
      <c r="D49" s="206"/>
      <c r="E49" s="206"/>
      <c r="F49" s="206"/>
      <c r="G49" s="202">
        <f t="shared" si="6"/>
        <v>681067.79666375625</v>
      </c>
      <c r="H49" s="205"/>
    </row>
    <row r="50" spans="1:8" ht="21" x14ac:dyDescent="0.35">
      <c r="A50" s="97">
        <v>2036</v>
      </c>
      <c r="B50" s="206"/>
      <c r="C50" s="206"/>
      <c r="D50" s="206"/>
      <c r="E50" s="206"/>
      <c r="F50" s="206"/>
      <c r="G50" s="202">
        <f t="shared" si="6"/>
        <v>664863.75501660083</v>
      </c>
      <c r="H50" s="205"/>
    </row>
    <row r="51" spans="1:8" ht="21" x14ac:dyDescent="0.35">
      <c r="A51" s="97">
        <v>2037</v>
      </c>
      <c r="B51" s="206"/>
      <c r="C51" s="206"/>
      <c r="D51" s="206"/>
      <c r="E51" s="206"/>
      <c r="F51" s="206"/>
      <c r="G51" s="202">
        <f t="shared" si="6"/>
        <v>648659.71336944541</v>
      </c>
      <c r="H51" s="205"/>
    </row>
    <row r="52" spans="1:8" ht="21" x14ac:dyDescent="0.35">
      <c r="A52" s="97">
        <v>2038</v>
      </c>
      <c r="B52" s="206"/>
      <c r="C52" s="206"/>
      <c r="D52" s="206"/>
      <c r="E52" s="206"/>
      <c r="F52" s="206"/>
      <c r="G52" s="202">
        <f t="shared" si="6"/>
        <v>632455.67172228999</v>
      </c>
      <c r="H52" s="205"/>
    </row>
    <row r="53" spans="1:8" ht="21" x14ac:dyDescent="0.35">
      <c r="A53" s="97">
        <v>2039</v>
      </c>
      <c r="B53" s="206"/>
      <c r="C53" s="206"/>
      <c r="D53" s="206"/>
      <c r="E53" s="206"/>
      <c r="F53" s="206"/>
      <c r="G53" s="202">
        <f t="shared" si="6"/>
        <v>616251.63007513457</v>
      </c>
      <c r="H53" s="205"/>
    </row>
    <row r="54" spans="1:8" ht="21.75" thickBot="1" x14ac:dyDescent="0.4">
      <c r="A54" s="100">
        <v>2040</v>
      </c>
      <c r="B54" s="207"/>
      <c r="C54" s="207"/>
      <c r="D54" s="207"/>
      <c r="E54" s="207"/>
      <c r="F54" s="207"/>
      <c r="G54" s="202">
        <f t="shared" si="6"/>
        <v>600047.58842797915</v>
      </c>
      <c r="H54" s="208"/>
    </row>
  </sheetData>
  <mergeCells count="1">
    <mergeCell ref="K6:L6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0042-CD59-4F16-8BB9-1999A8EEE5D4}">
  <dimension ref="C1:N14"/>
  <sheetViews>
    <sheetView showGridLines="0" workbookViewId="0">
      <selection activeCell="I1" sqref="I1:N1"/>
    </sheetView>
  </sheetViews>
  <sheetFormatPr defaultRowHeight="15" x14ac:dyDescent="0.25"/>
  <cols>
    <col min="3" max="3" width="11.140625" customWidth="1"/>
    <col min="5" max="5" width="10.5703125" customWidth="1"/>
  </cols>
  <sheetData>
    <row r="1" spans="3:14" ht="18.75" x14ac:dyDescent="0.3">
      <c r="I1" s="382" t="s">
        <v>91</v>
      </c>
      <c r="J1" s="382"/>
      <c r="K1" s="382"/>
      <c r="L1" s="382"/>
      <c r="M1" s="382"/>
      <c r="N1" s="382"/>
    </row>
    <row r="2" spans="3:14" ht="15.75" thickBot="1" x14ac:dyDescent="0.3"/>
    <row r="3" spans="3:14" ht="26.25" thickBot="1" x14ac:dyDescent="0.3">
      <c r="C3" s="375" t="s">
        <v>58</v>
      </c>
      <c r="D3" s="377" t="s">
        <v>59</v>
      </c>
      <c r="E3" s="377" t="s">
        <v>60</v>
      </c>
      <c r="F3" s="379" t="s">
        <v>61</v>
      </c>
      <c r="G3" s="380"/>
      <c r="H3" s="381"/>
      <c r="I3" s="40" t="s">
        <v>62</v>
      </c>
    </row>
    <row r="4" spans="3:14" ht="25.5" x14ac:dyDescent="0.25">
      <c r="C4" s="376"/>
      <c r="D4" s="378"/>
      <c r="E4" s="378"/>
      <c r="F4" s="41" t="s">
        <v>64</v>
      </c>
      <c r="G4" s="41" t="s">
        <v>65</v>
      </c>
      <c r="H4" s="42" t="s">
        <v>66</v>
      </c>
      <c r="I4" s="42" t="s">
        <v>63</v>
      </c>
    </row>
    <row r="5" spans="3:14" ht="33.75" customHeight="1" x14ac:dyDescent="0.25">
      <c r="C5" s="43" t="s">
        <v>67</v>
      </c>
      <c r="D5" s="44" t="s">
        <v>68</v>
      </c>
      <c r="E5" s="44" t="s">
        <v>69</v>
      </c>
      <c r="F5" s="44">
        <v>9</v>
      </c>
      <c r="G5" s="44">
        <v>9</v>
      </c>
      <c r="H5" s="44">
        <v>9</v>
      </c>
      <c r="I5" s="45">
        <v>1000</v>
      </c>
    </row>
    <row r="6" spans="3:14" ht="25.5" customHeight="1" x14ac:dyDescent="0.25">
      <c r="C6" s="43" t="s">
        <v>70</v>
      </c>
      <c r="D6" s="44" t="s">
        <v>71</v>
      </c>
      <c r="E6" s="44" t="s">
        <v>69</v>
      </c>
      <c r="F6" s="44">
        <v>10</v>
      </c>
      <c r="G6" s="44">
        <v>16</v>
      </c>
      <c r="H6" s="44">
        <v>24</v>
      </c>
      <c r="I6" s="45">
        <v>8000</v>
      </c>
    </row>
    <row r="7" spans="3:14" ht="25.5" x14ac:dyDescent="0.25">
      <c r="C7" s="43" t="s">
        <v>72</v>
      </c>
      <c r="D7" s="44" t="s">
        <v>73</v>
      </c>
      <c r="E7" s="44" t="s">
        <v>74</v>
      </c>
      <c r="F7" s="44">
        <v>14</v>
      </c>
      <c r="G7" s="44">
        <v>21</v>
      </c>
      <c r="H7" s="44">
        <v>30</v>
      </c>
      <c r="I7" s="45">
        <v>12000</v>
      </c>
    </row>
    <row r="8" spans="3:14" x14ac:dyDescent="0.25">
      <c r="C8" s="43" t="s">
        <v>75</v>
      </c>
      <c r="D8" s="44" t="s">
        <v>76</v>
      </c>
      <c r="E8" s="44" t="s">
        <v>73</v>
      </c>
      <c r="F8" s="44">
        <v>15</v>
      </c>
      <c r="G8" s="44">
        <v>24</v>
      </c>
      <c r="H8" s="44">
        <v>33</v>
      </c>
      <c r="I8" s="45">
        <v>4000</v>
      </c>
    </row>
    <row r="9" spans="3:14" x14ac:dyDescent="0.25">
      <c r="C9" s="43" t="s">
        <v>77</v>
      </c>
      <c r="D9" s="44" t="s">
        <v>78</v>
      </c>
      <c r="E9" s="44" t="s">
        <v>76</v>
      </c>
      <c r="F9" s="44">
        <v>18</v>
      </c>
      <c r="G9" s="44">
        <v>25</v>
      </c>
      <c r="H9" s="44">
        <v>30</v>
      </c>
      <c r="I9" s="45">
        <v>2300</v>
      </c>
    </row>
    <row r="10" spans="3:14" x14ac:dyDescent="0.25">
      <c r="C10" s="43" t="s">
        <v>79</v>
      </c>
      <c r="D10" s="44" t="s">
        <v>80</v>
      </c>
      <c r="E10" s="44" t="s">
        <v>76</v>
      </c>
      <c r="F10" s="44">
        <v>17</v>
      </c>
      <c r="G10" s="44">
        <v>20</v>
      </c>
      <c r="H10" s="44">
        <v>25</v>
      </c>
      <c r="I10" s="45">
        <v>2400</v>
      </c>
    </row>
    <row r="11" spans="3:14" x14ac:dyDescent="0.25">
      <c r="C11" s="43" t="s">
        <v>81</v>
      </c>
      <c r="D11" s="44" t="s">
        <v>82</v>
      </c>
      <c r="E11" s="44" t="s">
        <v>83</v>
      </c>
      <c r="F11" s="44">
        <v>14</v>
      </c>
      <c r="G11" s="44">
        <v>27</v>
      </c>
      <c r="H11" s="44">
        <v>33</v>
      </c>
      <c r="I11" s="45">
        <v>2500</v>
      </c>
    </row>
    <row r="12" spans="3:14" x14ac:dyDescent="0.25">
      <c r="C12" s="43" t="s">
        <v>84</v>
      </c>
      <c r="D12" s="44" t="s">
        <v>85</v>
      </c>
      <c r="E12" s="44" t="s">
        <v>83</v>
      </c>
      <c r="F12" s="44">
        <v>19</v>
      </c>
      <c r="G12" s="44">
        <v>22</v>
      </c>
      <c r="H12" s="44">
        <v>30</v>
      </c>
      <c r="I12" s="45">
        <v>2500</v>
      </c>
    </row>
    <row r="13" spans="3:14" ht="25.5" x14ac:dyDescent="0.25">
      <c r="C13" s="43" t="s">
        <v>86</v>
      </c>
      <c r="D13" s="44" t="s">
        <v>87</v>
      </c>
      <c r="E13" s="44" t="s">
        <v>88</v>
      </c>
      <c r="F13" s="44">
        <v>20</v>
      </c>
      <c r="G13" s="44">
        <v>24</v>
      </c>
      <c r="H13" s="44">
        <v>35</v>
      </c>
      <c r="I13" s="45">
        <v>2100</v>
      </c>
    </row>
    <row r="14" spans="3:14" x14ac:dyDescent="0.25">
      <c r="C14" s="43" t="s">
        <v>89</v>
      </c>
      <c r="D14" s="44" t="s">
        <v>90</v>
      </c>
      <c r="E14" s="44" t="s">
        <v>87</v>
      </c>
      <c r="F14" s="44">
        <v>8</v>
      </c>
      <c r="G14" s="44">
        <v>13</v>
      </c>
      <c r="H14" s="44">
        <v>15</v>
      </c>
      <c r="I14" s="45">
        <v>2000</v>
      </c>
    </row>
  </sheetData>
  <mergeCells count="5">
    <mergeCell ref="C3:C4"/>
    <mergeCell ref="D3:D4"/>
    <mergeCell ref="E3:E4"/>
    <mergeCell ref="F3:H3"/>
    <mergeCell ref="I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67BB-C2E1-4601-8F26-A2A7FFF65A15}">
  <dimension ref="B1:AD71"/>
  <sheetViews>
    <sheetView tabSelected="1" topLeftCell="A33" zoomScale="71" zoomScaleNormal="71" workbookViewId="0">
      <selection activeCell="U21" sqref="U21"/>
    </sheetView>
  </sheetViews>
  <sheetFormatPr defaultRowHeight="15" x14ac:dyDescent="0.25"/>
  <cols>
    <col min="1" max="1" width="3.7109375" customWidth="1"/>
    <col min="2" max="2" width="12.28515625" bestFit="1" customWidth="1"/>
    <col min="3" max="3" width="9.140625" customWidth="1"/>
    <col min="4" max="4" width="11.5703125" customWidth="1"/>
    <col min="5" max="5" width="10.28515625" customWidth="1"/>
    <col min="6" max="6" width="11.85546875" bestFit="1" customWidth="1"/>
    <col min="7" max="7" width="10.7109375" customWidth="1"/>
    <col min="8" max="8" width="13.42578125" bestFit="1" customWidth="1"/>
    <col min="9" max="9" width="3.28515625" customWidth="1"/>
    <col min="10" max="10" width="12.28515625" bestFit="1" customWidth="1"/>
    <col min="11" max="11" width="12.28515625" customWidth="1"/>
    <col min="12" max="12" width="11.85546875" bestFit="1" customWidth="1"/>
    <col min="13" max="13" width="10.85546875" customWidth="1"/>
    <col min="14" max="14" width="12.28515625" bestFit="1" customWidth="1"/>
    <col min="15" max="15" width="9.5703125" bestFit="1" customWidth="1"/>
    <col min="16" max="16" width="12.28515625" bestFit="1" customWidth="1"/>
    <col min="17" max="17" width="18.28515625" bestFit="1" customWidth="1"/>
    <col min="18" max="18" width="16.42578125" bestFit="1" customWidth="1"/>
    <col min="19" max="19" width="13.28515625" customWidth="1"/>
    <col min="20" max="20" width="12.140625" customWidth="1"/>
    <col min="22" max="22" width="12.28515625" bestFit="1" customWidth="1"/>
    <col min="24" max="24" width="11.28515625" bestFit="1" customWidth="1"/>
    <col min="26" max="26" width="11.28515625" bestFit="1" customWidth="1"/>
    <col min="28" max="28" width="11.28515625" bestFit="1" customWidth="1"/>
    <col min="30" max="30" width="11.28515625" bestFit="1" customWidth="1"/>
  </cols>
  <sheetData>
    <row r="1" spans="2:18" x14ac:dyDescent="0.25">
      <c r="B1" s="410" t="s">
        <v>58</v>
      </c>
      <c r="C1" s="412" t="s">
        <v>59</v>
      </c>
      <c r="D1" s="412" t="s">
        <v>60</v>
      </c>
      <c r="E1" s="412" t="s">
        <v>61</v>
      </c>
      <c r="F1" s="412"/>
      <c r="G1" s="414"/>
      <c r="H1" s="271" t="s">
        <v>62</v>
      </c>
      <c r="I1" s="272"/>
      <c r="J1" s="272"/>
      <c r="K1" s="272"/>
      <c r="L1" s="272"/>
      <c r="M1" s="272"/>
      <c r="N1" s="272"/>
      <c r="O1" s="272"/>
    </row>
    <row r="2" spans="2:18" ht="26.25" thickBot="1" x14ac:dyDescent="0.3">
      <c r="B2" s="411"/>
      <c r="C2" s="413"/>
      <c r="D2" s="413"/>
      <c r="E2" s="273" t="s">
        <v>64</v>
      </c>
      <c r="F2" s="273" t="s">
        <v>65</v>
      </c>
      <c r="G2" s="274" t="s">
        <v>66</v>
      </c>
      <c r="H2" s="274" t="s">
        <v>63</v>
      </c>
      <c r="I2" s="272"/>
      <c r="J2" s="275" t="s">
        <v>167</v>
      </c>
      <c r="K2" s="275" t="s">
        <v>103</v>
      </c>
      <c r="L2" s="275" t="s">
        <v>96</v>
      </c>
      <c r="M2" s="275" t="s">
        <v>168</v>
      </c>
      <c r="N2" s="275" t="s">
        <v>169</v>
      </c>
      <c r="O2" s="275" t="s">
        <v>170</v>
      </c>
    </row>
    <row r="3" spans="2:18" ht="26.25" thickBot="1" x14ac:dyDescent="0.3">
      <c r="B3" s="276" t="s">
        <v>67</v>
      </c>
      <c r="C3" s="277" t="s">
        <v>68</v>
      </c>
      <c r="D3" s="277" t="s">
        <v>69</v>
      </c>
      <c r="E3" s="277">
        <v>9</v>
      </c>
      <c r="F3" s="277">
        <v>9</v>
      </c>
      <c r="G3" s="277">
        <v>9</v>
      </c>
      <c r="H3" s="278">
        <v>1000</v>
      </c>
      <c r="J3" s="279">
        <f>(E3 +4*F3+G3)/6</f>
        <v>9</v>
      </c>
      <c r="K3" s="279">
        <f>((G3 - E3)/6)^2</f>
        <v>0</v>
      </c>
      <c r="L3" s="280">
        <f>B18</f>
        <v>7.3333333333357587</v>
      </c>
      <c r="M3" s="281" t="str">
        <f>IF(L3 = 0,"Yes","No")</f>
        <v>No</v>
      </c>
      <c r="N3" s="279">
        <f>IF(L3=0,J3,0)</f>
        <v>0</v>
      </c>
      <c r="O3" s="279">
        <f>IF(L3=0,K3,0)</f>
        <v>0</v>
      </c>
      <c r="Q3" s="282" t="s">
        <v>171</v>
      </c>
      <c r="R3" s="283">
        <v>44713</v>
      </c>
    </row>
    <row r="4" spans="2:18" ht="26.25" thickBot="1" x14ac:dyDescent="0.3">
      <c r="B4" s="276" t="s">
        <v>70</v>
      </c>
      <c r="C4" s="277" t="s">
        <v>71</v>
      </c>
      <c r="D4" s="277" t="s">
        <v>69</v>
      </c>
      <c r="E4" s="277">
        <v>10</v>
      </c>
      <c r="F4" s="277">
        <v>16</v>
      </c>
      <c r="G4" s="277">
        <v>24</v>
      </c>
      <c r="H4" s="278">
        <v>8000</v>
      </c>
      <c r="J4" s="284">
        <f t="shared" ref="J4:J12" si="0">(E4 + 4*F4 + G4)/6</f>
        <v>16.333333333333332</v>
      </c>
      <c r="K4" s="284">
        <f t="shared" ref="K4:K12" si="1">((G4 - E4)/6)^2</f>
        <v>5.4444444444444455</v>
      </c>
      <c r="L4" s="285">
        <f>B28</f>
        <v>0</v>
      </c>
      <c r="M4" s="286" t="str">
        <f t="shared" ref="M4:M12" si="2">IF(L4 = 0,"Yes","No")</f>
        <v>Yes</v>
      </c>
      <c r="N4" s="284">
        <f t="shared" ref="N4:N12" si="3">IF(L4=0,J4,0)</f>
        <v>16.333333333333332</v>
      </c>
      <c r="O4" s="284">
        <f t="shared" ref="O4:O12" si="4">IF(L4=0,K4,0)</f>
        <v>5.4444444444444455</v>
      </c>
      <c r="Q4" s="282" t="s">
        <v>172</v>
      </c>
      <c r="R4" s="283">
        <v>44865</v>
      </c>
    </row>
    <row r="5" spans="2:18" ht="30.75" thickBot="1" x14ac:dyDescent="0.3">
      <c r="B5" s="276" t="s">
        <v>72</v>
      </c>
      <c r="C5" s="277" t="s">
        <v>73</v>
      </c>
      <c r="D5" s="277" t="s">
        <v>74</v>
      </c>
      <c r="E5" s="277">
        <v>14</v>
      </c>
      <c r="F5" s="277">
        <v>21</v>
      </c>
      <c r="G5" s="277">
        <v>30</v>
      </c>
      <c r="H5" s="278">
        <v>12000</v>
      </c>
      <c r="J5" s="284">
        <f t="shared" si="0"/>
        <v>21.333333333333332</v>
      </c>
      <c r="K5" s="284">
        <f t="shared" si="1"/>
        <v>7.1111111111111107</v>
      </c>
      <c r="L5" s="285">
        <f>F23</f>
        <v>0</v>
      </c>
      <c r="M5" s="286" t="str">
        <f t="shared" si="2"/>
        <v>Yes</v>
      </c>
      <c r="N5" s="284">
        <f t="shared" si="3"/>
        <v>21.333333333333332</v>
      </c>
      <c r="O5" s="284">
        <f t="shared" si="4"/>
        <v>7.1111111111111107</v>
      </c>
      <c r="Q5" s="287" t="s">
        <v>173</v>
      </c>
      <c r="R5" s="288">
        <f>R4-R3</f>
        <v>152</v>
      </c>
    </row>
    <row r="6" spans="2:18" ht="15.75" thickBot="1" x14ac:dyDescent="0.3">
      <c r="B6" s="276" t="s">
        <v>75</v>
      </c>
      <c r="C6" s="277" t="s">
        <v>76</v>
      </c>
      <c r="D6" s="277" t="s">
        <v>73</v>
      </c>
      <c r="E6" s="277">
        <v>15</v>
      </c>
      <c r="F6" s="277">
        <v>24</v>
      </c>
      <c r="G6" s="277">
        <v>33</v>
      </c>
      <c r="H6" s="278">
        <v>4000</v>
      </c>
      <c r="J6" s="284">
        <f t="shared" si="0"/>
        <v>24</v>
      </c>
      <c r="K6" s="284">
        <f t="shared" si="1"/>
        <v>9</v>
      </c>
      <c r="L6" s="285">
        <f>J23</f>
        <v>0</v>
      </c>
      <c r="M6" s="286" t="str">
        <f t="shared" si="2"/>
        <v>Yes</v>
      </c>
      <c r="N6" s="284">
        <f t="shared" si="3"/>
        <v>24</v>
      </c>
      <c r="O6" s="284">
        <f t="shared" si="4"/>
        <v>9</v>
      </c>
    </row>
    <row r="7" spans="2:18" ht="30.75" thickBot="1" x14ac:dyDescent="0.3">
      <c r="B7" s="276" t="s">
        <v>77</v>
      </c>
      <c r="C7" s="277" t="s">
        <v>78</v>
      </c>
      <c r="D7" s="277" t="s">
        <v>76</v>
      </c>
      <c r="E7" s="277">
        <v>18</v>
      </c>
      <c r="F7" s="277">
        <v>25</v>
      </c>
      <c r="G7" s="277">
        <v>30</v>
      </c>
      <c r="H7" s="278">
        <v>2300</v>
      </c>
      <c r="J7" s="284">
        <f t="shared" si="0"/>
        <v>24.666666666666668</v>
      </c>
      <c r="K7" s="284">
        <f t="shared" si="1"/>
        <v>4</v>
      </c>
      <c r="L7" s="285">
        <f>N18</f>
        <v>0</v>
      </c>
      <c r="M7" s="286" t="str">
        <f t="shared" si="2"/>
        <v>Yes</v>
      </c>
      <c r="N7" s="284">
        <f t="shared" si="3"/>
        <v>24.666666666666668</v>
      </c>
      <c r="O7" s="284">
        <f t="shared" si="4"/>
        <v>4</v>
      </c>
      <c r="Q7" s="289" t="s">
        <v>174</v>
      </c>
      <c r="R7" s="290">
        <f>(R5-N13)/SQRT(O13)</f>
        <v>0.32966903407163584</v>
      </c>
    </row>
    <row r="8" spans="2:18" ht="15.75" thickBot="1" x14ac:dyDescent="0.3">
      <c r="B8" s="276" t="s">
        <v>79</v>
      </c>
      <c r="C8" s="277" t="s">
        <v>80</v>
      </c>
      <c r="D8" s="277" t="s">
        <v>76</v>
      </c>
      <c r="E8" s="277">
        <v>17</v>
      </c>
      <c r="F8" s="277">
        <v>20</v>
      </c>
      <c r="G8" s="277">
        <v>25</v>
      </c>
      <c r="H8" s="278">
        <v>2400</v>
      </c>
      <c r="J8" s="284">
        <f t="shared" si="0"/>
        <v>20.333333333333332</v>
      </c>
      <c r="K8" s="284">
        <f t="shared" si="1"/>
        <v>1.7777777777777777</v>
      </c>
      <c r="L8" s="285">
        <f>N28</f>
        <v>4.3333333333284827</v>
      </c>
      <c r="M8" s="286" t="str">
        <f t="shared" si="2"/>
        <v>No</v>
      </c>
      <c r="N8" s="284">
        <f t="shared" si="3"/>
        <v>0</v>
      </c>
      <c r="O8" s="284">
        <f t="shared" si="4"/>
        <v>0</v>
      </c>
      <c r="Q8" s="415" t="s">
        <v>175</v>
      </c>
      <c r="R8" s="14">
        <f>_xlfn.NORM.S.DIST(R7,TRUE)</f>
        <v>0.62917497296273295</v>
      </c>
    </row>
    <row r="9" spans="2:18" ht="15.75" thickBot="1" x14ac:dyDescent="0.3">
      <c r="B9" s="276" t="s">
        <v>81</v>
      </c>
      <c r="C9" s="277" t="s">
        <v>82</v>
      </c>
      <c r="D9" s="277" t="s">
        <v>83</v>
      </c>
      <c r="E9" s="277">
        <v>14</v>
      </c>
      <c r="F9" s="277">
        <v>27</v>
      </c>
      <c r="G9" s="277">
        <v>33</v>
      </c>
      <c r="H9" s="278">
        <v>2500</v>
      </c>
      <c r="J9" s="284">
        <f t="shared" si="0"/>
        <v>25.833333333333332</v>
      </c>
      <c r="K9" s="284">
        <f t="shared" si="1"/>
        <v>10.027777777777777</v>
      </c>
      <c r="L9" s="285">
        <f>T18</f>
        <v>0</v>
      </c>
      <c r="M9" s="286" t="str">
        <f t="shared" si="2"/>
        <v>Yes</v>
      </c>
      <c r="N9" s="284">
        <f t="shared" si="3"/>
        <v>25.833333333333332</v>
      </c>
      <c r="O9" s="284">
        <f t="shared" si="4"/>
        <v>10.027777777777777</v>
      </c>
      <c r="Q9" s="416"/>
      <c r="R9" s="291">
        <f>R8</f>
        <v>0.62917497296273295</v>
      </c>
    </row>
    <row r="10" spans="2:18" ht="15.75" thickBot="1" x14ac:dyDescent="0.3">
      <c r="B10" s="276" t="s">
        <v>84</v>
      </c>
      <c r="C10" s="277" t="s">
        <v>85</v>
      </c>
      <c r="D10" s="277" t="s">
        <v>83</v>
      </c>
      <c r="E10" s="277">
        <v>19</v>
      </c>
      <c r="F10" s="277">
        <v>22</v>
      </c>
      <c r="G10" s="277">
        <v>30</v>
      </c>
      <c r="H10" s="278">
        <v>2500</v>
      </c>
      <c r="J10" s="284">
        <f t="shared" si="0"/>
        <v>22.833333333333332</v>
      </c>
      <c r="K10" s="284">
        <f t="shared" si="1"/>
        <v>3.3611111111111107</v>
      </c>
      <c r="L10" s="285">
        <f>T28</f>
        <v>3</v>
      </c>
      <c r="M10" s="286" t="str">
        <f t="shared" si="2"/>
        <v>No</v>
      </c>
      <c r="N10" s="284">
        <f t="shared" si="3"/>
        <v>0</v>
      </c>
      <c r="O10" s="284">
        <f t="shared" si="4"/>
        <v>0</v>
      </c>
    </row>
    <row r="11" spans="2:18" ht="15.75" thickBot="1" x14ac:dyDescent="0.3">
      <c r="B11" s="276" t="s">
        <v>86</v>
      </c>
      <c r="C11" s="277" t="s">
        <v>87</v>
      </c>
      <c r="D11" s="277" t="s">
        <v>88</v>
      </c>
      <c r="E11" s="277">
        <v>20</v>
      </c>
      <c r="F11" s="277">
        <v>24</v>
      </c>
      <c r="G11" s="277">
        <v>35</v>
      </c>
      <c r="H11" s="278">
        <v>2100</v>
      </c>
      <c r="J11" s="284">
        <f t="shared" si="0"/>
        <v>25.166666666666668</v>
      </c>
      <c r="K11" s="284">
        <f t="shared" si="1"/>
        <v>6.25</v>
      </c>
      <c r="L11" s="285">
        <f>X23</f>
        <v>0</v>
      </c>
      <c r="M11" s="286" t="str">
        <f t="shared" si="2"/>
        <v>Yes</v>
      </c>
      <c r="N11" s="284">
        <f t="shared" si="3"/>
        <v>25.166666666666668</v>
      </c>
      <c r="O11" s="284">
        <f t="shared" si="4"/>
        <v>6.25</v>
      </c>
      <c r="Q11" s="417" t="s">
        <v>176</v>
      </c>
      <c r="R11" s="418"/>
    </row>
    <row r="12" spans="2:18" ht="15.75" thickBot="1" x14ac:dyDescent="0.3">
      <c r="B12" s="292" t="s">
        <v>89</v>
      </c>
      <c r="C12" s="293" t="s">
        <v>90</v>
      </c>
      <c r="D12" s="293" t="s">
        <v>87</v>
      </c>
      <c r="E12" s="293">
        <v>8</v>
      </c>
      <c r="F12" s="293">
        <v>13</v>
      </c>
      <c r="G12" s="293">
        <v>15</v>
      </c>
      <c r="H12" s="294">
        <v>2000</v>
      </c>
      <c r="J12" s="295">
        <f t="shared" si="0"/>
        <v>12.5</v>
      </c>
      <c r="K12" s="295">
        <f t="shared" si="1"/>
        <v>1.3611111111111114</v>
      </c>
      <c r="L12" s="296">
        <f>AB23</f>
        <v>0</v>
      </c>
      <c r="M12" s="297" t="str">
        <f t="shared" si="2"/>
        <v>Yes</v>
      </c>
      <c r="N12" s="295">
        <f t="shared" si="3"/>
        <v>12.5</v>
      </c>
      <c r="O12" s="295">
        <f t="shared" si="4"/>
        <v>1.3611111111111114</v>
      </c>
      <c r="Q12" s="298" t="s">
        <v>177</v>
      </c>
      <c r="R12" s="298" t="s">
        <v>178</v>
      </c>
    </row>
    <row r="13" spans="2:18" ht="15.75" thickBot="1" x14ac:dyDescent="0.3">
      <c r="B13" s="299"/>
      <c r="C13" s="300"/>
      <c r="D13" s="300"/>
      <c r="E13" s="300"/>
      <c r="F13" s="300"/>
      <c r="G13" s="300"/>
      <c r="H13" s="301"/>
      <c r="J13" s="302"/>
      <c r="K13" s="302"/>
      <c r="N13" s="303">
        <f>SUM(N3:N12)</f>
        <v>149.83333333333331</v>
      </c>
      <c r="O13" s="303">
        <f>SUM(O3:O12)</f>
        <v>43.19444444444445</v>
      </c>
      <c r="Q13" s="303">
        <f>N13-1.96*SQRT(O13)</f>
        <v>136.95172715328815</v>
      </c>
      <c r="R13" s="303">
        <f>N13+1.96*SQRT(O13)</f>
        <v>162.71493951337848</v>
      </c>
    </row>
    <row r="14" spans="2:18" ht="15.75" thickBot="1" x14ac:dyDescent="0.3">
      <c r="B14" s="299"/>
      <c r="C14" s="300"/>
      <c r="D14" s="300"/>
      <c r="E14" s="300"/>
      <c r="F14" s="300"/>
      <c r="G14" s="300"/>
      <c r="H14" s="301"/>
      <c r="J14" s="302"/>
      <c r="K14" s="302"/>
      <c r="N14" s="302"/>
      <c r="O14" s="302">
        <f>SQRT(O13)</f>
        <v>6.5722480510434513</v>
      </c>
      <c r="Q14" s="304">
        <f>R3+Q13</f>
        <v>44849.95172715329</v>
      </c>
      <c r="R14" s="304">
        <f>R3+R13</f>
        <v>44875.714939513382</v>
      </c>
    </row>
    <row r="15" spans="2:18" x14ac:dyDescent="0.25">
      <c r="B15" s="299"/>
      <c r="C15" s="300"/>
      <c r="D15" s="300"/>
      <c r="E15" s="300"/>
      <c r="F15" s="300"/>
      <c r="G15" s="300"/>
      <c r="H15" s="301"/>
      <c r="J15" s="302"/>
      <c r="K15" s="302"/>
      <c r="N15" s="302"/>
      <c r="O15" s="302"/>
    </row>
    <row r="16" spans="2:18" ht="15.75" thickBot="1" x14ac:dyDescent="0.3"/>
    <row r="17" spans="2:30" ht="15.75" thickTop="1" x14ac:dyDescent="0.25">
      <c r="B17" s="305">
        <v>44713</v>
      </c>
      <c r="C17" s="306" t="s">
        <v>68</v>
      </c>
      <c r="D17" s="307">
        <f>B17+C19</f>
        <v>44722</v>
      </c>
      <c r="N17" s="308">
        <f>L22</f>
        <v>44774.666666666672</v>
      </c>
      <c r="O17" s="306" t="s">
        <v>78</v>
      </c>
      <c r="P17" s="309">
        <f>N17+O19</f>
        <v>44799.333333333336</v>
      </c>
      <c r="Q17" s="310"/>
      <c r="R17" s="310"/>
      <c r="T17" s="308">
        <f>MAX(P17,P27)</f>
        <v>44799.333333333336</v>
      </c>
      <c r="U17" s="306" t="s">
        <v>82</v>
      </c>
      <c r="V17" s="309">
        <f>T17+U19</f>
        <v>44825.166666666672</v>
      </c>
    </row>
    <row r="18" spans="2:30" x14ac:dyDescent="0.25">
      <c r="B18" s="311">
        <f>B19-B17</f>
        <v>7.3333333333357587</v>
      </c>
      <c r="C18" s="389" t="s">
        <v>67</v>
      </c>
      <c r="D18" s="390"/>
      <c r="N18" s="311">
        <f>N19-N17</f>
        <v>0</v>
      </c>
      <c r="O18" s="389" t="s">
        <v>77</v>
      </c>
      <c r="P18" s="390"/>
      <c r="Q18" s="85"/>
      <c r="R18" s="85"/>
      <c r="T18" s="311">
        <f>T19-T17</f>
        <v>0</v>
      </c>
      <c r="U18" s="389" t="s">
        <v>81</v>
      </c>
      <c r="V18" s="390"/>
    </row>
    <row r="19" spans="2:30" ht="15.75" thickBot="1" x14ac:dyDescent="0.3">
      <c r="B19" s="312">
        <f>D19-C19</f>
        <v>44720.333333333336</v>
      </c>
      <c r="C19" s="313">
        <f>J3</f>
        <v>9</v>
      </c>
      <c r="D19" s="314">
        <f>F24</f>
        <v>44729.333333333336</v>
      </c>
      <c r="N19" s="312">
        <f>P19-O19</f>
        <v>44774.666666666672</v>
      </c>
      <c r="O19" s="313">
        <f>J7</f>
        <v>24.666666666666668</v>
      </c>
      <c r="P19" s="314">
        <f>MIN(T19,T29)</f>
        <v>44799.333333333336</v>
      </c>
      <c r="Q19" s="310"/>
      <c r="R19" s="310"/>
      <c r="T19" s="312">
        <f>V19-U19</f>
        <v>44799.333333333336</v>
      </c>
      <c r="U19" s="313">
        <f>J9</f>
        <v>25.833333333333332</v>
      </c>
      <c r="V19" s="314">
        <f>X24</f>
        <v>44825.166666666672</v>
      </c>
    </row>
    <row r="20" spans="2:30" ht="15.75" thickTop="1" x14ac:dyDescent="0.25">
      <c r="B20" s="85"/>
      <c r="C20" s="85"/>
      <c r="D20" s="85"/>
      <c r="N20" s="85"/>
      <c r="O20" s="85"/>
      <c r="P20" s="85"/>
      <c r="Q20" s="85"/>
      <c r="R20" s="85"/>
    </row>
    <row r="21" spans="2:30" ht="15.75" thickBot="1" x14ac:dyDescent="0.3">
      <c r="B21" s="85"/>
      <c r="C21" s="85"/>
      <c r="D21" s="85"/>
    </row>
    <row r="22" spans="2:30" ht="15.75" thickTop="1" x14ac:dyDescent="0.25">
      <c r="F22" s="308">
        <f>MAX(D17,D27)</f>
        <v>44729.333333333336</v>
      </c>
      <c r="G22" s="306" t="s">
        <v>73</v>
      </c>
      <c r="H22" s="309">
        <f>F22+G24</f>
        <v>44750.666666666672</v>
      </c>
      <c r="I22" s="85"/>
      <c r="J22" s="308">
        <f>H22</f>
        <v>44750.666666666672</v>
      </c>
      <c r="K22" s="306" t="s">
        <v>76</v>
      </c>
      <c r="L22" s="309">
        <f>J22+K24</f>
        <v>44774.666666666672</v>
      </c>
      <c r="M22" s="85"/>
      <c r="X22" s="308">
        <f>MAX(V17,V27)</f>
        <v>44825.166666666672</v>
      </c>
      <c r="Y22" s="306" t="s">
        <v>87</v>
      </c>
      <c r="Z22" s="309">
        <f>X22+Y24</f>
        <v>44850.333333333336</v>
      </c>
      <c r="AB22" s="308">
        <f>Z22</f>
        <v>44850.333333333336</v>
      </c>
      <c r="AC22" s="306" t="s">
        <v>90</v>
      </c>
      <c r="AD22" s="309">
        <f>AB22+AC24</f>
        <v>44862.833333333336</v>
      </c>
    </row>
    <row r="23" spans="2:30" x14ac:dyDescent="0.25">
      <c r="F23" s="311">
        <f>F24-F22</f>
        <v>0</v>
      </c>
      <c r="G23" s="389" t="s">
        <v>72</v>
      </c>
      <c r="H23" s="390"/>
      <c r="I23" s="85"/>
      <c r="J23" s="311">
        <f>J24-J22</f>
        <v>0</v>
      </c>
      <c r="K23" s="389" t="s">
        <v>75</v>
      </c>
      <c r="L23" s="390"/>
      <c r="M23" s="85"/>
      <c r="X23" s="311">
        <f>X24-X22</f>
        <v>0</v>
      </c>
      <c r="Y23" s="389" t="s">
        <v>86</v>
      </c>
      <c r="Z23" s="390"/>
      <c r="AB23" s="315">
        <f>AB24-AB22</f>
        <v>0</v>
      </c>
      <c r="AC23" s="389" t="s">
        <v>89</v>
      </c>
      <c r="AD23" s="390"/>
    </row>
    <row r="24" spans="2:30" ht="15.75" thickBot="1" x14ac:dyDescent="0.3">
      <c r="F24" s="312">
        <f>H24-G24</f>
        <v>44729.333333333336</v>
      </c>
      <c r="G24" s="313">
        <f>J5</f>
        <v>21.333333333333332</v>
      </c>
      <c r="H24" s="314">
        <f>J24</f>
        <v>44750.666666666672</v>
      </c>
      <c r="I24" s="85"/>
      <c r="J24" s="312">
        <f>L24-K24</f>
        <v>44750.666666666672</v>
      </c>
      <c r="K24" s="313">
        <f>J6</f>
        <v>24</v>
      </c>
      <c r="L24" s="314">
        <f>MIN(N19,N29)</f>
        <v>44774.666666666672</v>
      </c>
      <c r="M24" s="85"/>
      <c r="X24" s="312">
        <f>Z24-Y24</f>
        <v>44825.166666666672</v>
      </c>
      <c r="Y24" s="313">
        <f>J11</f>
        <v>25.166666666666668</v>
      </c>
      <c r="Z24" s="314">
        <f>AB24</f>
        <v>44850.333333333336</v>
      </c>
      <c r="AB24" s="312">
        <f>AD24-AC24</f>
        <v>44850.333333333336</v>
      </c>
      <c r="AC24" s="313">
        <f>J12</f>
        <v>12.5</v>
      </c>
      <c r="AD24" s="314">
        <f>AD22</f>
        <v>44862.833333333336</v>
      </c>
    </row>
    <row r="25" spans="2:30" ht="15.75" thickTop="1" x14ac:dyDescent="0.25"/>
    <row r="26" spans="2:30" ht="15.75" thickBot="1" x14ac:dyDescent="0.3"/>
    <row r="27" spans="2:30" ht="15.75" thickTop="1" x14ac:dyDescent="0.25">
      <c r="B27" s="305">
        <v>44713</v>
      </c>
      <c r="C27" s="306" t="s">
        <v>71</v>
      </c>
      <c r="D27" s="307">
        <f>B27+C29</f>
        <v>44729.333333333336</v>
      </c>
      <c r="N27" s="308">
        <f>L22</f>
        <v>44774.666666666672</v>
      </c>
      <c r="O27" s="306" t="s">
        <v>80</v>
      </c>
      <c r="P27" s="309">
        <f>N27+O29</f>
        <v>44795.000000000007</v>
      </c>
      <c r="Q27" s="310"/>
      <c r="R27" s="310"/>
      <c r="T27" s="308">
        <f>MAX(P27,P17)</f>
        <v>44799.333333333336</v>
      </c>
      <c r="U27" s="306" t="s">
        <v>85</v>
      </c>
      <c r="V27" s="309">
        <f>T27+U29</f>
        <v>44822.166666666672</v>
      </c>
      <c r="AD27" s="316"/>
    </row>
    <row r="28" spans="2:30" x14ac:dyDescent="0.25">
      <c r="B28" s="311">
        <f>B29-B27</f>
        <v>0</v>
      </c>
      <c r="C28" s="389" t="s">
        <v>70</v>
      </c>
      <c r="D28" s="390"/>
      <c r="N28" s="311">
        <f>N29-N27</f>
        <v>4.3333333333284827</v>
      </c>
      <c r="O28" s="389" t="s">
        <v>79</v>
      </c>
      <c r="P28" s="390"/>
      <c r="Q28" s="85"/>
      <c r="R28" s="85"/>
      <c r="T28" s="311">
        <f>T29-T27</f>
        <v>3</v>
      </c>
      <c r="U28" s="389" t="s">
        <v>84</v>
      </c>
      <c r="V28" s="390"/>
    </row>
    <row r="29" spans="2:30" ht="15.75" thickBot="1" x14ac:dyDescent="0.3">
      <c r="B29" s="312">
        <f>D29-C29</f>
        <v>44713</v>
      </c>
      <c r="C29" s="313">
        <f>J4</f>
        <v>16.333333333333332</v>
      </c>
      <c r="D29" s="314">
        <f>F24</f>
        <v>44729.333333333336</v>
      </c>
      <c r="N29" s="312">
        <f>P29-O29</f>
        <v>44779</v>
      </c>
      <c r="O29" s="313">
        <f>J8</f>
        <v>20.333333333333332</v>
      </c>
      <c r="P29" s="314">
        <f>MIN(T19,T29)</f>
        <v>44799.333333333336</v>
      </c>
      <c r="Q29" s="310"/>
      <c r="R29" s="310"/>
      <c r="T29" s="312">
        <f>V29-U29</f>
        <v>44802.333333333336</v>
      </c>
      <c r="U29" s="313">
        <f>J10</f>
        <v>22.833333333333332</v>
      </c>
      <c r="V29" s="314">
        <f>X24</f>
        <v>44825.166666666672</v>
      </c>
    </row>
    <row r="30" spans="2:30" ht="15.75" thickTop="1" x14ac:dyDescent="0.25">
      <c r="G30" s="317" t="s">
        <v>179</v>
      </c>
    </row>
    <row r="31" spans="2:30" ht="15.75" thickBot="1" x14ac:dyDescent="0.3"/>
    <row r="32" spans="2:30" ht="15" customHeight="1" thickBot="1" x14ac:dyDescent="0.3">
      <c r="N32" s="406" t="s">
        <v>180</v>
      </c>
      <c r="O32" s="407"/>
      <c r="P32" s="407"/>
      <c r="Q32" s="407"/>
      <c r="R32" s="407"/>
      <c r="S32" s="318">
        <f>N13</f>
        <v>149.83333333333331</v>
      </c>
      <c r="T32" s="319" t="s">
        <v>112</v>
      </c>
    </row>
    <row r="33" spans="2:22" ht="15.75" thickBot="1" x14ac:dyDescent="0.3">
      <c r="N33" s="408" t="s">
        <v>181</v>
      </c>
      <c r="O33" s="409"/>
      <c r="P33" s="409"/>
      <c r="Q33" s="409"/>
      <c r="R33" s="409"/>
      <c r="S33" s="320">
        <f>SUM(R3,S32)</f>
        <v>44862.833333333336</v>
      </c>
      <c r="T33" s="321"/>
    </row>
    <row r="34" spans="2:22" ht="15.75" thickBot="1" x14ac:dyDescent="0.3">
      <c r="N34" s="391"/>
      <c r="O34" s="392"/>
      <c r="P34" s="392"/>
      <c r="Q34" s="392"/>
      <c r="R34" s="392"/>
      <c r="S34" s="392"/>
      <c r="T34" s="393"/>
    </row>
    <row r="35" spans="2:22" ht="15.75" thickBot="1" x14ac:dyDescent="0.3">
      <c r="N35" s="394" t="s">
        <v>182</v>
      </c>
      <c r="O35" s="395"/>
      <c r="P35" s="395"/>
      <c r="Q35" s="395"/>
      <c r="R35" s="396"/>
      <c r="S35" s="322" t="str">
        <f t="shared" ref="S35:T37" si="5">Q12</f>
        <v>Lower Bound</v>
      </c>
      <c r="T35" s="322" t="str">
        <f t="shared" si="5"/>
        <v>Upper Bound</v>
      </c>
    </row>
    <row r="36" spans="2:22" ht="15.75" thickBot="1" x14ac:dyDescent="0.3">
      <c r="N36" s="397"/>
      <c r="O36" s="398"/>
      <c r="P36" s="398"/>
      <c r="Q36" s="398"/>
      <c r="R36" s="399"/>
      <c r="S36" s="323">
        <f t="shared" si="5"/>
        <v>136.95172715328815</v>
      </c>
      <c r="T36" s="324">
        <f t="shared" si="5"/>
        <v>162.71493951337848</v>
      </c>
      <c r="U36" s="325" t="s">
        <v>112</v>
      </c>
    </row>
    <row r="37" spans="2:22" ht="15.75" thickBot="1" x14ac:dyDescent="0.3">
      <c r="N37" s="400"/>
      <c r="O37" s="401"/>
      <c r="P37" s="401"/>
      <c r="Q37" s="401"/>
      <c r="R37" s="402"/>
      <c r="S37" s="326">
        <f t="shared" si="5"/>
        <v>44849.95172715329</v>
      </c>
      <c r="T37" s="327">
        <f t="shared" si="5"/>
        <v>44875.714939513382</v>
      </c>
      <c r="U37" s="325" t="s">
        <v>183</v>
      </c>
    </row>
    <row r="38" spans="2:22" ht="15.75" thickBot="1" x14ac:dyDescent="0.3">
      <c r="N38" s="391"/>
      <c r="O38" s="392"/>
      <c r="P38" s="392"/>
      <c r="Q38" s="392"/>
      <c r="R38" s="392"/>
      <c r="S38" s="392"/>
      <c r="T38" s="393"/>
    </row>
    <row r="39" spans="2:22" ht="27.75" customHeight="1" thickBot="1" x14ac:dyDescent="0.3">
      <c r="N39" s="403" t="s">
        <v>184</v>
      </c>
      <c r="O39" s="404"/>
      <c r="P39" s="404"/>
      <c r="Q39" s="404"/>
      <c r="R39" s="404"/>
      <c r="S39" s="328">
        <f>R9</f>
        <v>0.62917497296273295</v>
      </c>
      <c r="T39" s="329"/>
    </row>
    <row r="41" spans="2:22" ht="21" x14ac:dyDescent="0.35">
      <c r="B41" s="405" t="s">
        <v>185</v>
      </c>
      <c r="C41" s="405"/>
      <c r="D41" s="405"/>
      <c r="E41" s="405"/>
    </row>
    <row r="43" spans="2:22" ht="15.75" thickBot="1" x14ac:dyDescent="0.3"/>
    <row r="44" spans="2:22" ht="15.75" thickTop="1" x14ac:dyDescent="0.25">
      <c r="B44" s="305">
        <v>44713</v>
      </c>
      <c r="C44" s="306" t="s">
        <v>68</v>
      </c>
      <c r="D44" s="307">
        <f>B44+C46</f>
        <v>44722</v>
      </c>
      <c r="N44" s="308">
        <f>L49</f>
        <v>44759.666666666672</v>
      </c>
      <c r="O44" s="306" t="s">
        <v>78</v>
      </c>
      <c r="P44" s="309">
        <f>N44+O46</f>
        <v>44780.333333333336</v>
      </c>
      <c r="Q44" s="310"/>
      <c r="R44" s="310"/>
      <c r="T44" s="308">
        <f>MAX(P44,P54)</f>
        <v>44780.333333333336</v>
      </c>
      <c r="U44" s="306" t="s">
        <v>82</v>
      </c>
      <c r="V44" s="309">
        <f>T44+U46</f>
        <v>44804.166666666672</v>
      </c>
    </row>
    <row r="45" spans="2:22" x14ac:dyDescent="0.25">
      <c r="B45" s="311">
        <f>B46-B44</f>
        <v>2.3333333333357587</v>
      </c>
      <c r="C45" s="389" t="s">
        <v>67</v>
      </c>
      <c r="D45" s="390"/>
      <c r="N45" s="311">
        <f>N46-N44</f>
        <v>0</v>
      </c>
      <c r="O45" s="389" t="s">
        <v>77</v>
      </c>
      <c r="P45" s="390"/>
      <c r="Q45" s="85"/>
      <c r="R45" s="85"/>
      <c r="T45" s="311">
        <f>T46-T44</f>
        <v>0</v>
      </c>
      <c r="U45" s="389" t="s">
        <v>81</v>
      </c>
      <c r="V45" s="390"/>
    </row>
    <row r="46" spans="2:22" ht="15.75" thickBot="1" x14ac:dyDescent="0.3">
      <c r="B46" s="312">
        <f>D46-C46</f>
        <v>44715.333333333336</v>
      </c>
      <c r="C46" s="313">
        <f>J3</f>
        <v>9</v>
      </c>
      <c r="D46" s="314">
        <f>F51</f>
        <v>44724.333333333336</v>
      </c>
      <c r="N46" s="312">
        <f>P46-O46</f>
        <v>44759.666666666672</v>
      </c>
      <c r="O46" s="313">
        <f>J7-K64</f>
        <v>20.666666666666668</v>
      </c>
      <c r="P46" s="314">
        <f>MIN(T46,T56)</f>
        <v>44780.333333333336</v>
      </c>
      <c r="Q46" s="310"/>
      <c r="R46" s="310"/>
      <c r="T46" s="312">
        <f>V46-U46</f>
        <v>44780.333333333336</v>
      </c>
      <c r="U46" s="313">
        <f>J9-K65</f>
        <v>23.833333333333332</v>
      </c>
      <c r="V46" s="314">
        <f>X51</f>
        <v>44804.166666666672</v>
      </c>
    </row>
    <row r="47" spans="2:22" ht="15.75" thickTop="1" x14ac:dyDescent="0.25">
      <c r="B47" s="85"/>
      <c r="C47" s="85"/>
      <c r="D47" s="85"/>
      <c r="N47" s="85"/>
      <c r="O47" s="85"/>
      <c r="P47" s="85"/>
      <c r="Q47" s="85"/>
      <c r="R47" s="85"/>
    </row>
    <row r="48" spans="2:22" ht="15.75" thickBot="1" x14ac:dyDescent="0.3">
      <c r="B48" s="85"/>
      <c r="C48" s="85"/>
      <c r="D48" s="85"/>
    </row>
    <row r="49" spans="2:30" ht="15.75" thickTop="1" x14ac:dyDescent="0.25">
      <c r="F49" s="308">
        <f>MAX(D44,D54)</f>
        <v>44724.333333333336</v>
      </c>
      <c r="G49" s="306" t="s">
        <v>73</v>
      </c>
      <c r="H49" s="309">
        <f>F49+G51</f>
        <v>44740.666666666672</v>
      </c>
      <c r="I49" s="85"/>
      <c r="J49" s="308">
        <f>H49</f>
        <v>44740.666666666672</v>
      </c>
      <c r="K49" s="306" t="s">
        <v>76</v>
      </c>
      <c r="L49" s="309">
        <f>J49+K51</f>
        <v>44759.666666666672</v>
      </c>
      <c r="M49" s="85"/>
      <c r="X49" s="308">
        <f>MAX(V44,V54)</f>
        <v>44804.166666666672</v>
      </c>
      <c r="Y49" s="306" t="s">
        <v>87</v>
      </c>
      <c r="Z49" s="309">
        <f>X49+Y51</f>
        <v>44824.333333333336</v>
      </c>
      <c r="AB49" s="308">
        <f>Z49</f>
        <v>44824.333333333336</v>
      </c>
      <c r="AC49" s="306" t="s">
        <v>90</v>
      </c>
      <c r="AD49" s="309">
        <f>AB49+AC51</f>
        <v>44831.833333333336</v>
      </c>
    </row>
    <row r="50" spans="2:30" x14ac:dyDescent="0.25">
      <c r="F50" s="311">
        <f>F51-F49</f>
        <v>0</v>
      </c>
      <c r="G50" s="389" t="s">
        <v>72</v>
      </c>
      <c r="H50" s="390"/>
      <c r="I50" s="85"/>
      <c r="J50" s="311">
        <f>J51-J49</f>
        <v>0</v>
      </c>
      <c r="K50" s="389" t="s">
        <v>75</v>
      </c>
      <c r="L50" s="390"/>
      <c r="M50" s="85"/>
      <c r="X50" s="311">
        <f>X51-X49</f>
        <v>0</v>
      </c>
      <c r="Y50" s="389" t="s">
        <v>86</v>
      </c>
      <c r="Z50" s="390"/>
      <c r="AB50" s="315">
        <f>AB51-AB49</f>
        <v>0</v>
      </c>
      <c r="AC50" s="389" t="s">
        <v>89</v>
      </c>
      <c r="AD50" s="390"/>
    </row>
    <row r="51" spans="2:30" ht="15.75" thickBot="1" x14ac:dyDescent="0.3">
      <c r="F51" s="312">
        <f>H51-G51</f>
        <v>44724.333333333336</v>
      </c>
      <c r="G51" s="313">
        <f>J5-K68</f>
        <v>16.333333333333332</v>
      </c>
      <c r="H51" s="314">
        <f>J51</f>
        <v>44740.666666666672</v>
      </c>
      <c r="I51" s="85"/>
      <c r="J51" s="312">
        <f>L51-K51</f>
        <v>44740.666666666672</v>
      </c>
      <c r="K51" s="313">
        <f>J6-K66</f>
        <v>19</v>
      </c>
      <c r="L51" s="314">
        <f>MIN(N46,N56)</f>
        <v>44759.666666666672</v>
      </c>
      <c r="M51" s="85"/>
      <c r="X51" s="312">
        <f>Z51-Y51</f>
        <v>44804.166666666672</v>
      </c>
      <c r="Y51" s="313">
        <f>J11-K63</f>
        <v>20.166666666666668</v>
      </c>
      <c r="Z51" s="314">
        <f>AB51</f>
        <v>44824.333333333336</v>
      </c>
      <c r="AB51" s="312">
        <f>AD51-AC51</f>
        <v>44824.333333333336</v>
      </c>
      <c r="AC51" s="313">
        <f>J12-K62</f>
        <v>7.5</v>
      </c>
      <c r="AD51" s="314">
        <f>AD49</f>
        <v>44831.833333333336</v>
      </c>
    </row>
    <row r="52" spans="2:30" ht="15.75" thickTop="1" x14ac:dyDescent="0.25"/>
    <row r="53" spans="2:30" ht="15.75" thickBot="1" x14ac:dyDescent="0.3"/>
    <row r="54" spans="2:30" ht="15.75" thickTop="1" x14ac:dyDescent="0.25">
      <c r="B54" s="305">
        <v>44713</v>
      </c>
      <c r="C54" s="306" t="s">
        <v>71</v>
      </c>
      <c r="D54" s="307">
        <f>B54+C56</f>
        <v>44724.333333333336</v>
      </c>
      <c r="N54" s="308">
        <f>L49</f>
        <v>44759.666666666672</v>
      </c>
      <c r="O54" s="306" t="s">
        <v>80</v>
      </c>
      <c r="P54" s="309">
        <f>N54+O56</f>
        <v>44780.000000000007</v>
      </c>
      <c r="Q54" s="310"/>
      <c r="R54" s="310"/>
      <c r="T54" s="308">
        <f>MAX(P54,P44)</f>
        <v>44780.333333333336</v>
      </c>
      <c r="U54" s="306" t="s">
        <v>85</v>
      </c>
      <c r="V54" s="309">
        <f>T54+U56</f>
        <v>44803.166666666672</v>
      </c>
      <c r="AD54" s="316"/>
    </row>
    <row r="55" spans="2:30" x14ac:dyDescent="0.25">
      <c r="B55" s="311">
        <f>B56-B54</f>
        <v>0</v>
      </c>
      <c r="C55" s="389" t="s">
        <v>70</v>
      </c>
      <c r="D55" s="390"/>
      <c r="N55" s="311">
        <f>N56-N54</f>
        <v>0.33333333332848269</v>
      </c>
      <c r="O55" s="389" t="s">
        <v>79</v>
      </c>
      <c r="P55" s="390"/>
      <c r="Q55" s="85"/>
      <c r="R55" s="85"/>
      <c r="T55" s="311">
        <f>T56-T54</f>
        <v>1</v>
      </c>
      <c r="U55" s="389" t="s">
        <v>84</v>
      </c>
      <c r="V55" s="390"/>
    </row>
    <row r="56" spans="2:30" ht="15.75" thickBot="1" x14ac:dyDescent="0.3">
      <c r="B56" s="312">
        <f>D56-C56</f>
        <v>44713</v>
      </c>
      <c r="C56" s="313">
        <f>J4-K67</f>
        <v>11.333333333333332</v>
      </c>
      <c r="D56" s="314">
        <f>F51</f>
        <v>44724.333333333336</v>
      </c>
      <c r="N56" s="312">
        <f>P56-O56</f>
        <v>44760</v>
      </c>
      <c r="O56" s="313">
        <f>J8</f>
        <v>20.333333333333332</v>
      </c>
      <c r="P56" s="314">
        <f>MIN(T46,T56)</f>
        <v>44780.333333333336</v>
      </c>
      <c r="Q56" s="310"/>
      <c r="R56" s="310"/>
      <c r="T56" s="312">
        <f>V56-U56</f>
        <v>44781.333333333336</v>
      </c>
      <c r="U56" s="313">
        <f>J10</f>
        <v>22.833333333333332</v>
      </c>
      <c r="V56" s="314">
        <f>X51</f>
        <v>44804.166666666672</v>
      </c>
    </row>
    <row r="57" spans="2:30" ht="15.75" thickTop="1" x14ac:dyDescent="0.25"/>
    <row r="59" spans="2:30" x14ac:dyDescent="0.25">
      <c r="C59" t="s">
        <v>186</v>
      </c>
      <c r="N59" s="76"/>
    </row>
    <row r="60" spans="2:30" x14ac:dyDescent="0.25">
      <c r="C60" s="387" t="s">
        <v>187</v>
      </c>
      <c r="D60" s="387"/>
      <c r="E60" s="387"/>
      <c r="F60" s="387"/>
      <c r="G60" s="387"/>
      <c r="H60" s="387"/>
      <c r="I60" s="387"/>
      <c r="J60" s="387"/>
      <c r="K60" s="387"/>
      <c r="L60" s="387"/>
      <c r="M60" s="387"/>
      <c r="N60" s="387"/>
      <c r="O60" s="330"/>
      <c r="P60" s="330"/>
    </row>
    <row r="61" spans="2:30" x14ac:dyDescent="0.25">
      <c r="C61" s="387" t="s">
        <v>188</v>
      </c>
      <c r="D61" s="387"/>
      <c r="E61" s="387"/>
      <c r="F61" s="387"/>
      <c r="G61" s="387"/>
      <c r="H61" s="387"/>
      <c r="I61" s="387"/>
      <c r="J61" s="387"/>
      <c r="K61" s="387"/>
      <c r="L61" s="387"/>
      <c r="M61" s="331"/>
      <c r="N61" s="331"/>
      <c r="O61" s="330"/>
      <c r="P61" s="330"/>
    </row>
    <row r="62" spans="2:30" ht="18.75" x14ac:dyDescent="0.3">
      <c r="C62" s="388" t="s">
        <v>189</v>
      </c>
      <c r="D62" s="388"/>
      <c r="E62" s="388"/>
      <c r="F62" s="388"/>
      <c r="G62" s="388"/>
      <c r="H62" s="388"/>
      <c r="I62" s="388"/>
      <c r="J62" s="388"/>
      <c r="K62" s="332">
        <v>5</v>
      </c>
      <c r="L62" s="333">
        <f>H12*K62</f>
        <v>10000</v>
      </c>
    </row>
    <row r="63" spans="2:30" ht="18.75" x14ac:dyDescent="0.3">
      <c r="C63" s="388" t="s">
        <v>190</v>
      </c>
      <c r="D63" s="388"/>
      <c r="E63" s="388"/>
      <c r="F63" s="388"/>
      <c r="G63" s="388"/>
      <c r="H63" s="388"/>
      <c r="I63" s="388"/>
      <c r="J63" s="388"/>
      <c r="K63" s="332">
        <v>5</v>
      </c>
      <c r="L63" s="333">
        <f>H11*K63</f>
        <v>10500</v>
      </c>
    </row>
    <row r="64" spans="2:30" ht="18.75" x14ac:dyDescent="0.3">
      <c r="C64" s="383" t="s">
        <v>191</v>
      </c>
      <c r="D64" s="383"/>
      <c r="E64" s="383"/>
      <c r="F64" s="383"/>
      <c r="G64" s="383"/>
      <c r="H64" s="383"/>
      <c r="I64" s="383"/>
      <c r="J64" s="383"/>
      <c r="K64" s="332">
        <v>4</v>
      </c>
      <c r="L64" s="333">
        <f>H7*K64</f>
        <v>9200</v>
      </c>
    </row>
    <row r="65" spans="3:12" ht="18.75" x14ac:dyDescent="0.3">
      <c r="C65" s="383" t="s">
        <v>192</v>
      </c>
      <c r="D65" s="383"/>
      <c r="E65" s="383"/>
      <c r="F65" s="383"/>
      <c r="G65" s="383"/>
      <c r="H65" s="383"/>
      <c r="I65" s="383"/>
      <c r="J65" s="383"/>
      <c r="K65" s="332">
        <v>2</v>
      </c>
      <c r="L65" s="333">
        <f>H9*K65</f>
        <v>5000</v>
      </c>
    </row>
    <row r="66" spans="3:12" ht="18.75" x14ac:dyDescent="0.3">
      <c r="C66" s="383" t="s">
        <v>193</v>
      </c>
      <c r="D66" s="383"/>
      <c r="E66" s="383"/>
      <c r="F66" s="383"/>
      <c r="G66" s="383"/>
      <c r="H66" s="383"/>
      <c r="I66" s="383"/>
      <c r="J66" s="383"/>
      <c r="K66" s="332">
        <v>5</v>
      </c>
      <c r="L66" s="333">
        <f>H6*K66</f>
        <v>20000</v>
      </c>
    </row>
    <row r="67" spans="3:12" ht="18.75" x14ac:dyDescent="0.3">
      <c r="C67" s="383" t="s">
        <v>194</v>
      </c>
      <c r="D67" s="383"/>
      <c r="E67" s="383"/>
      <c r="F67" s="383"/>
      <c r="G67" s="383"/>
      <c r="H67" s="383"/>
      <c r="I67" s="383"/>
      <c r="J67" s="383"/>
      <c r="K67" s="332">
        <v>5</v>
      </c>
      <c r="L67" s="333">
        <f>H4*K67</f>
        <v>40000</v>
      </c>
    </row>
    <row r="68" spans="3:12" ht="33.75" customHeight="1" x14ac:dyDescent="0.25">
      <c r="C68" s="384" t="s">
        <v>195</v>
      </c>
      <c r="D68" s="384"/>
      <c r="E68" s="384"/>
      <c r="F68" s="384"/>
      <c r="G68" s="384"/>
      <c r="H68" s="384"/>
      <c r="I68" s="384"/>
      <c r="J68" s="384"/>
      <c r="K68" s="332">
        <v>5</v>
      </c>
      <c r="L68" s="333">
        <f>H5*K68</f>
        <v>60000</v>
      </c>
    </row>
    <row r="69" spans="3:12" ht="16.5" thickBot="1" x14ac:dyDescent="0.3">
      <c r="C69" s="385" t="s">
        <v>196</v>
      </c>
      <c r="D69" s="385"/>
      <c r="E69" s="385"/>
      <c r="F69" s="385"/>
      <c r="G69" s="385"/>
      <c r="H69" s="385"/>
      <c r="I69" s="385"/>
      <c r="J69" s="385"/>
      <c r="K69" s="334">
        <f>SUM(K62:K68)</f>
        <v>31</v>
      </c>
    </row>
    <row r="70" spans="3:12" ht="16.5" thickBot="1" x14ac:dyDescent="0.3">
      <c r="C70" s="385" t="s">
        <v>197</v>
      </c>
      <c r="D70" s="385"/>
      <c r="E70" s="385"/>
      <c r="F70" s="385"/>
      <c r="G70" s="385"/>
      <c r="H70" s="385"/>
      <c r="I70" s="385"/>
      <c r="J70" s="385"/>
      <c r="L70" s="335">
        <f>SUM(L62:L68)</f>
        <v>154700</v>
      </c>
    </row>
    <row r="71" spans="3:12" ht="15.75" thickBot="1" x14ac:dyDescent="0.3">
      <c r="C71" s="386" t="s">
        <v>198</v>
      </c>
      <c r="D71" s="386"/>
      <c r="E71" s="386"/>
      <c r="F71" s="386"/>
      <c r="G71" s="386"/>
      <c r="H71" s="386"/>
      <c r="I71" s="386"/>
      <c r="J71" s="386"/>
      <c r="K71" s="336">
        <f>AD24 - K69</f>
        <v>44831.833333333336</v>
      </c>
    </row>
  </sheetData>
  <mergeCells count="45">
    <mergeCell ref="Q11:R11"/>
    <mergeCell ref="B1:B2"/>
    <mergeCell ref="C1:C2"/>
    <mergeCell ref="D1:D2"/>
    <mergeCell ref="E1:G1"/>
    <mergeCell ref="Q8:Q9"/>
    <mergeCell ref="N33:R33"/>
    <mergeCell ref="C18:D18"/>
    <mergeCell ref="O18:P18"/>
    <mergeCell ref="U18:V18"/>
    <mergeCell ref="G23:H23"/>
    <mergeCell ref="K23:L23"/>
    <mergeCell ref="AC23:AD23"/>
    <mergeCell ref="C28:D28"/>
    <mergeCell ref="O28:P28"/>
    <mergeCell ref="U28:V28"/>
    <mergeCell ref="N32:R32"/>
    <mergeCell ref="Y23:Z23"/>
    <mergeCell ref="C55:D55"/>
    <mergeCell ref="O55:P55"/>
    <mergeCell ref="U55:V55"/>
    <mergeCell ref="N34:T34"/>
    <mergeCell ref="N35:R37"/>
    <mergeCell ref="N38:T38"/>
    <mergeCell ref="N39:R39"/>
    <mergeCell ref="B41:E41"/>
    <mergeCell ref="C45:D45"/>
    <mergeCell ref="O45:P45"/>
    <mergeCell ref="U45:V45"/>
    <mergeCell ref="G50:H50"/>
    <mergeCell ref="K50:L50"/>
    <mergeCell ref="Y50:Z50"/>
    <mergeCell ref="AC50:AD50"/>
    <mergeCell ref="C71:J71"/>
    <mergeCell ref="C60:N60"/>
    <mergeCell ref="C61:L61"/>
    <mergeCell ref="C62:J62"/>
    <mergeCell ref="C63:J63"/>
    <mergeCell ref="C64:J64"/>
    <mergeCell ref="C65:J65"/>
    <mergeCell ref="C66:J66"/>
    <mergeCell ref="C67:J67"/>
    <mergeCell ref="C68:J68"/>
    <mergeCell ref="C69:J69"/>
    <mergeCell ref="C70:J70"/>
  </mergeCells>
  <conditionalFormatting sqref="B17:D19">
    <cfRule type="expression" dxfId="61" priority="24">
      <formula>$B$18=0</formula>
    </cfRule>
  </conditionalFormatting>
  <conditionalFormatting sqref="F22:H24">
    <cfRule type="expression" dxfId="60" priority="22">
      <formula>$F$23=0</formula>
    </cfRule>
    <cfRule type="expression" dxfId="59" priority="23">
      <formula>$F$23</formula>
    </cfRule>
  </conditionalFormatting>
  <conditionalFormatting sqref="J22:L24">
    <cfRule type="expression" dxfId="58" priority="21">
      <formula>$J$23=0</formula>
    </cfRule>
  </conditionalFormatting>
  <conditionalFormatting sqref="N17:P19">
    <cfRule type="expression" dxfId="57" priority="20">
      <formula>$N$18=0</formula>
    </cfRule>
  </conditionalFormatting>
  <conditionalFormatting sqref="N27:P29">
    <cfRule type="expression" dxfId="56" priority="17">
      <formula>$N$28=0</formula>
    </cfRule>
    <cfRule type="expression" dxfId="55" priority="19">
      <formula>$N$28=0</formula>
    </cfRule>
  </conditionalFormatting>
  <conditionalFormatting sqref="B27:D29">
    <cfRule type="expression" dxfId="54" priority="18">
      <formula>$B$28=0</formula>
    </cfRule>
  </conditionalFormatting>
  <conditionalFormatting sqref="T17:V19">
    <cfRule type="expression" dxfId="53" priority="16">
      <formula>$T$18=0</formula>
    </cfRule>
  </conditionalFormatting>
  <conditionalFormatting sqref="T27:V29">
    <cfRule type="expression" dxfId="52" priority="15">
      <formula>$T$28=0</formula>
    </cfRule>
  </conditionalFormatting>
  <conditionalFormatting sqref="X22:Z24">
    <cfRule type="expression" dxfId="51" priority="14">
      <formula>$X$23=0</formula>
    </cfRule>
  </conditionalFormatting>
  <conditionalFormatting sqref="AB22:AD24">
    <cfRule type="expression" dxfId="50" priority="13">
      <formula>$AB$23=0</formula>
    </cfRule>
  </conditionalFormatting>
  <conditionalFormatting sqref="B44:D46">
    <cfRule type="expression" dxfId="49" priority="12">
      <formula>$B$18=0</formula>
    </cfRule>
  </conditionalFormatting>
  <conditionalFormatting sqref="F49:H51">
    <cfRule type="expression" dxfId="48" priority="10">
      <formula>$F$23=0</formula>
    </cfRule>
    <cfRule type="expression" dxfId="47" priority="11">
      <formula>$F$23</formula>
    </cfRule>
  </conditionalFormatting>
  <conditionalFormatting sqref="J49:L51">
    <cfRule type="expression" dxfId="46" priority="9">
      <formula>$J$23=0</formula>
    </cfRule>
  </conditionalFormatting>
  <conditionalFormatting sqref="N44:P46">
    <cfRule type="expression" dxfId="45" priority="8">
      <formula>$N$18=0</formula>
    </cfRule>
  </conditionalFormatting>
  <conditionalFormatting sqref="N54:P56">
    <cfRule type="expression" dxfId="44" priority="5">
      <formula>$N$28=0</formula>
    </cfRule>
    <cfRule type="expression" dxfId="43" priority="7">
      <formula>$N$28=0</formula>
    </cfRule>
  </conditionalFormatting>
  <conditionalFormatting sqref="B54:D56">
    <cfRule type="expression" dxfId="42" priority="6">
      <formula>$B$28=0</formula>
    </cfRule>
  </conditionalFormatting>
  <conditionalFormatting sqref="T44:V46">
    <cfRule type="expression" dxfId="41" priority="4">
      <formula>$T$18=0</formula>
    </cfRule>
  </conditionalFormatting>
  <conditionalFormatting sqref="T54:V56">
    <cfRule type="expression" dxfId="40" priority="3">
      <formula>$T$28=0</formula>
    </cfRule>
  </conditionalFormatting>
  <conditionalFormatting sqref="X49:Z51">
    <cfRule type="expression" dxfId="39" priority="2">
      <formula>$X$23=0</formula>
    </cfRule>
  </conditionalFormatting>
  <conditionalFormatting sqref="AB49:AD51">
    <cfRule type="expression" dxfId="38" priority="1">
      <formula>$AB$23=0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2B38-063F-4191-AE1D-AB7B3DC6ECF5}">
  <dimension ref="B1:AE38"/>
  <sheetViews>
    <sheetView showGridLines="0" topLeftCell="A4" zoomScale="71" zoomScaleNormal="71" workbookViewId="0">
      <selection activeCell="D21" sqref="D21"/>
    </sheetView>
  </sheetViews>
  <sheetFormatPr defaultRowHeight="15" x14ac:dyDescent="0.25"/>
  <cols>
    <col min="2" max="2" width="17.140625" bestFit="1" customWidth="1"/>
    <col min="4" max="4" width="15.140625" bestFit="1" customWidth="1"/>
    <col min="5" max="5" width="11.7109375" bestFit="1" customWidth="1"/>
    <col min="6" max="6" width="11.85546875" bestFit="1" customWidth="1"/>
    <col min="7" max="7" width="13.5703125" customWidth="1"/>
    <col min="8" max="8" width="12.42578125" customWidth="1"/>
    <col min="9" max="9" width="19.28515625" bestFit="1" customWidth="1"/>
    <col min="10" max="10" width="14.28515625" style="2" customWidth="1"/>
    <col min="11" max="11" width="18" bestFit="1" customWidth="1"/>
    <col min="12" max="12" width="16" customWidth="1"/>
    <col min="13" max="13" width="17.28515625" customWidth="1"/>
    <col min="15" max="15" width="36" bestFit="1" customWidth="1"/>
    <col min="16" max="16" width="17.5703125" bestFit="1" customWidth="1"/>
  </cols>
  <sheetData>
    <row r="1" spans="2:19" ht="15.75" thickBot="1" x14ac:dyDescent="0.3">
      <c r="C1" s="2"/>
      <c r="D1" s="2"/>
      <c r="E1" s="2"/>
      <c r="F1" s="2"/>
    </row>
    <row r="2" spans="2:19" ht="15.75" thickBot="1" x14ac:dyDescent="0.3">
      <c r="C2" s="2"/>
      <c r="D2" s="2"/>
      <c r="E2" s="2"/>
      <c r="F2" s="2"/>
      <c r="L2" s="419" t="s">
        <v>101</v>
      </c>
      <c r="M2" s="420"/>
      <c r="N2" s="420"/>
      <c r="O2" s="420"/>
      <c r="P2" s="420"/>
      <c r="Q2" s="420"/>
      <c r="R2" s="420"/>
      <c r="S2" s="421"/>
    </row>
    <row r="3" spans="2:19" ht="19.5" thickBot="1" x14ac:dyDescent="0.35">
      <c r="B3" s="79" t="s">
        <v>111</v>
      </c>
      <c r="C3" s="80"/>
      <c r="D3" s="81">
        <f>DATE(2022,10,31)</f>
        <v>44865</v>
      </c>
      <c r="E3" s="2"/>
      <c r="F3" s="2"/>
      <c r="L3" s="422"/>
      <c r="M3" s="423"/>
      <c r="N3" s="423"/>
      <c r="O3" s="423"/>
      <c r="P3" s="423"/>
      <c r="Q3" s="423"/>
      <c r="R3" s="423"/>
      <c r="S3" s="424"/>
    </row>
    <row r="4" spans="2:19" ht="15.75" thickBot="1" x14ac:dyDescent="0.3">
      <c r="C4" s="2"/>
      <c r="D4" s="2"/>
      <c r="E4" s="2"/>
      <c r="F4" s="2"/>
    </row>
    <row r="5" spans="2:19" ht="15.75" customHeight="1" thickBot="1" x14ac:dyDescent="0.3">
      <c r="B5" s="434" t="s">
        <v>58</v>
      </c>
      <c r="C5" s="436" t="s">
        <v>59</v>
      </c>
      <c r="D5" s="438" t="s">
        <v>92</v>
      </c>
      <c r="E5" s="438"/>
      <c r="F5" s="436"/>
      <c r="G5" s="431" t="s">
        <v>93</v>
      </c>
      <c r="H5" s="431" t="s">
        <v>94</v>
      </c>
      <c r="I5" s="431" t="s">
        <v>95</v>
      </c>
      <c r="J5" s="431" t="s">
        <v>96</v>
      </c>
      <c r="K5" s="431" t="s">
        <v>97</v>
      </c>
      <c r="L5" s="431" t="s">
        <v>98</v>
      </c>
      <c r="M5" s="431" t="s">
        <v>99</v>
      </c>
    </row>
    <row r="6" spans="2:19" ht="29.25" customHeight="1" thickBot="1" x14ac:dyDescent="0.3">
      <c r="B6" s="435"/>
      <c r="C6" s="437"/>
      <c r="D6" s="53" t="s">
        <v>64</v>
      </c>
      <c r="E6" s="53" t="s">
        <v>65</v>
      </c>
      <c r="F6" s="53" t="s">
        <v>66</v>
      </c>
      <c r="G6" s="433"/>
      <c r="H6" s="432"/>
      <c r="I6" s="432"/>
      <c r="J6" s="432"/>
      <c r="K6" s="432"/>
      <c r="L6" s="433"/>
      <c r="M6" s="433"/>
    </row>
    <row r="7" spans="2:19" x14ac:dyDescent="0.25">
      <c r="B7" s="46" t="str" cm="1">
        <f t="array" ref="B7:B16">'Project managemet-Master'!C5:C14</f>
        <v>Building Design</v>
      </c>
      <c r="C7" s="47" t="str" cm="1">
        <f t="array" ref="C7:C16">'Project managemet-Master'!D5:D14</f>
        <v>A</v>
      </c>
      <c r="D7" s="47" cm="1">
        <f t="array" ref="D7:D16">'Project managemet-Master'!F5:F14</f>
        <v>9</v>
      </c>
      <c r="E7" s="47" cm="1">
        <f t="array" ref="E7:E16">'Project managemet-Master'!G5:G14</f>
        <v>9</v>
      </c>
      <c r="F7" s="47" cm="1">
        <f t="array" ref="F7:F16">'Project managemet-Master'!H5:H14</f>
        <v>9</v>
      </c>
      <c r="G7" s="54" cm="1">
        <f t="array" ref="G7:G16">'Project managemet-Master'!I5:I14</f>
        <v>1000</v>
      </c>
      <c r="H7" s="33">
        <f>(D7+(4*E7)+F7)/6</f>
        <v>9</v>
      </c>
      <c r="I7" s="33">
        <f>((F7-D7)/6)^2</f>
        <v>0</v>
      </c>
      <c r="J7" s="64">
        <f>C29</f>
        <v>16.333333333333311</v>
      </c>
      <c r="K7" s="66" t="str">
        <f>IF(J7&gt;0,"No","Yes")</f>
        <v>No</v>
      </c>
      <c r="L7" s="69">
        <f>IF(K7="No",0,H7)</f>
        <v>0</v>
      </c>
      <c r="M7" s="69">
        <f>IF(K7="No",0,I7)</f>
        <v>0</v>
      </c>
    </row>
    <row r="8" spans="2:19" ht="18.75" x14ac:dyDescent="0.3">
      <c r="B8" s="48" t="str">
        <v>Site Preparation</v>
      </c>
      <c r="C8" s="49" t="str">
        <v>B</v>
      </c>
      <c r="D8" s="49">
        <v>10</v>
      </c>
      <c r="E8" s="49">
        <v>16</v>
      </c>
      <c r="F8" s="49">
        <v>24</v>
      </c>
      <c r="G8" s="54">
        <v>8000</v>
      </c>
      <c r="H8" s="33">
        <f t="shared" ref="H8:H16" si="0">(D8+(4*E8)+F8)/6</f>
        <v>16.333333333333332</v>
      </c>
      <c r="I8" s="33">
        <f t="shared" ref="I8:I16" si="1">((F8-D8)/6)^2</f>
        <v>5.4444444444444455</v>
      </c>
      <c r="J8" s="34">
        <f>C35</f>
        <v>0</v>
      </c>
      <c r="K8" s="67" t="str">
        <f t="shared" ref="K8:K16" si="2">IF(J8&gt;0,"No","Yes")</f>
        <v>Yes</v>
      </c>
      <c r="L8" s="71">
        <f>IF(K8="No",0,H8)</f>
        <v>16.333333333333332</v>
      </c>
      <c r="M8" s="70">
        <f>IF(K8="No",0,I8)</f>
        <v>5.4444444444444455</v>
      </c>
      <c r="O8" s="77" t="s">
        <v>142</v>
      </c>
      <c r="P8" s="82">
        <f>D3-K21</f>
        <v>152</v>
      </c>
      <c r="Q8" t="s">
        <v>112</v>
      </c>
    </row>
    <row r="9" spans="2:19" ht="18.75" x14ac:dyDescent="0.3">
      <c r="B9" s="48" t="str">
        <v>Lay Foundation</v>
      </c>
      <c r="C9" s="49" t="str">
        <v>C</v>
      </c>
      <c r="D9" s="49">
        <v>14</v>
      </c>
      <c r="E9" s="49">
        <v>21</v>
      </c>
      <c r="F9" s="49">
        <v>30</v>
      </c>
      <c r="G9" s="54">
        <v>12000</v>
      </c>
      <c r="H9" s="33">
        <f t="shared" si="0"/>
        <v>21.333333333333332</v>
      </c>
      <c r="I9" s="33">
        <f t="shared" si="1"/>
        <v>7.1111111111111107</v>
      </c>
      <c r="J9" s="34">
        <f>G32</f>
        <v>0</v>
      </c>
      <c r="K9" s="67" t="str">
        <f t="shared" si="2"/>
        <v>Yes</v>
      </c>
      <c r="L9" s="71">
        <f t="shared" ref="L9:L16" si="3">IF(K9="No",0,H9)</f>
        <v>21.333333333333332</v>
      </c>
      <c r="M9" s="70">
        <f>IF(K9="No",0,I9)</f>
        <v>7.1111111111111107</v>
      </c>
      <c r="O9" s="77" t="s">
        <v>102</v>
      </c>
      <c r="P9" s="83">
        <f>L17</f>
        <v>150</v>
      </c>
      <c r="Q9" t="s">
        <v>112</v>
      </c>
    </row>
    <row r="10" spans="2:19" ht="18.75" x14ac:dyDescent="0.3">
      <c r="B10" s="48" t="str">
        <v>Build Frame</v>
      </c>
      <c r="C10" s="49" t="str">
        <v>D</v>
      </c>
      <c r="D10" s="49">
        <v>15</v>
      </c>
      <c r="E10" s="49">
        <v>24</v>
      </c>
      <c r="F10" s="49">
        <v>33</v>
      </c>
      <c r="G10" s="54">
        <v>4000</v>
      </c>
      <c r="H10" s="33">
        <f t="shared" si="0"/>
        <v>24</v>
      </c>
      <c r="I10" s="33">
        <f t="shared" si="1"/>
        <v>9</v>
      </c>
      <c r="J10" s="34">
        <f>L32</f>
        <v>0</v>
      </c>
      <c r="K10" s="67" t="str">
        <f t="shared" si="2"/>
        <v>Yes</v>
      </c>
      <c r="L10" s="71">
        <f t="shared" si="3"/>
        <v>24</v>
      </c>
      <c r="M10" s="70">
        <f t="shared" ref="M10:M16" si="4">IF(K10="No",0,I10)</f>
        <v>9</v>
      </c>
      <c r="O10" s="77" t="s">
        <v>114</v>
      </c>
      <c r="P10" s="83">
        <f>SQRT(M17)</f>
        <v>6.5722480510434513</v>
      </c>
      <c r="Q10" t="s">
        <v>112</v>
      </c>
    </row>
    <row r="11" spans="2:19" ht="18.75" x14ac:dyDescent="0.3">
      <c r="B11" s="48" t="str">
        <v>Install Siding</v>
      </c>
      <c r="C11" s="49" t="str">
        <v>E</v>
      </c>
      <c r="D11" s="49">
        <v>18</v>
      </c>
      <c r="E11" s="49">
        <v>25</v>
      </c>
      <c r="F11" s="49">
        <v>30</v>
      </c>
      <c r="G11" s="54">
        <v>2300</v>
      </c>
      <c r="H11" s="33">
        <f t="shared" si="0"/>
        <v>24.666666666666668</v>
      </c>
      <c r="I11" s="33">
        <f t="shared" si="1"/>
        <v>4</v>
      </c>
      <c r="J11" s="34">
        <f>P27</f>
        <v>0</v>
      </c>
      <c r="K11" s="67" t="str">
        <f t="shared" si="2"/>
        <v>Yes</v>
      </c>
      <c r="L11" s="71">
        <f t="shared" si="3"/>
        <v>24.666666666666668</v>
      </c>
      <c r="M11" s="70">
        <f t="shared" si="4"/>
        <v>4</v>
      </c>
      <c r="O11" s="77" t="s">
        <v>113</v>
      </c>
      <c r="P11" s="84">
        <f>(D-P9)/P10</f>
        <v>0.30430987760458422</v>
      </c>
    </row>
    <row r="12" spans="2:19" ht="71.25" customHeight="1" x14ac:dyDescent="0.3">
      <c r="B12" s="48" t="str">
        <v>Install Roof</v>
      </c>
      <c r="C12" s="49" t="str">
        <v>F</v>
      </c>
      <c r="D12" s="49">
        <v>17</v>
      </c>
      <c r="E12" s="49">
        <v>20</v>
      </c>
      <c r="F12" s="49">
        <v>25</v>
      </c>
      <c r="G12" s="54">
        <v>2400</v>
      </c>
      <c r="H12" s="33">
        <f t="shared" si="0"/>
        <v>20.333333333333332</v>
      </c>
      <c r="I12" s="33">
        <f t="shared" si="1"/>
        <v>1.7777777777777777</v>
      </c>
      <c r="J12" s="33">
        <f>P37</f>
        <v>4.3333333333333215</v>
      </c>
      <c r="K12" s="67" t="str">
        <f t="shared" si="2"/>
        <v>No</v>
      </c>
      <c r="L12" s="71">
        <f t="shared" si="3"/>
        <v>0</v>
      </c>
      <c r="M12" s="70">
        <f t="shared" si="4"/>
        <v>0</v>
      </c>
      <c r="O12" s="110" t="s">
        <v>115</v>
      </c>
      <c r="P12" s="84">
        <f>_xlfn.NORM.S.DIST(P11,TRUE)</f>
        <v>0.61955408972313764</v>
      </c>
      <c r="Q12" s="78">
        <f>P12</f>
        <v>0.61955408972313764</v>
      </c>
    </row>
    <row r="13" spans="2:19" ht="18.75" x14ac:dyDescent="0.3">
      <c r="B13" s="48" t="str">
        <v>Electrical</v>
      </c>
      <c r="C13" s="49" t="str">
        <v>G</v>
      </c>
      <c r="D13" s="49">
        <v>14</v>
      </c>
      <c r="E13" s="49">
        <v>27</v>
      </c>
      <c r="F13" s="49">
        <v>33</v>
      </c>
      <c r="G13" s="54">
        <v>2500</v>
      </c>
      <c r="H13" s="33">
        <f t="shared" si="0"/>
        <v>25.833333333333332</v>
      </c>
      <c r="I13" s="33">
        <f t="shared" si="1"/>
        <v>10.027777777777777</v>
      </c>
      <c r="J13" s="34">
        <f>U23</f>
        <v>0</v>
      </c>
      <c r="K13" s="67" t="str">
        <f t="shared" si="2"/>
        <v>Yes</v>
      </c>
      <c r="L13" s="71">
        <f t="shared" si="3"/>
        <v>25.833333333333332</v>
      </c>
      <c r="M13" s="70">
        <f t="shared" si="4"/>
        <v>10.027777777777777</v>
      </c>
      <c r="O13" s="77" t="s">
        <v>116</v>
      </c>
      <c r="P13" s="83">
        <f>P9+(1.96*P10)</f>
        <v>162.88160618004517</v>
      </c>
      <c r="Q13" t="s">
        <v>112</v>
      </c>
    </row>
    <row r="14" spans="2:19" ht="18.75" x14ac:dyDescent="0.3">
      <c r="B14" s="48" t="str">
        <v>Plumbing</v>
      </c>
      <c r="C14" s="49" t="str">
        <v>H</v>
      </c>
      <c r="D14" s="49">
        <v>19</v>
      </c>
      <c r="E14" s="49">
        <v>22</v>
      </c>
      <c r="F14" s="49">
        <v>30</v>
      </c>
      <c r="G14" s="54">
        <v>2500</v>
      </c>
      <c r="H14" s="33">
        <f t="shared" si="0"/>
        <v>22.833333333333332</v>
      </c>
      <c r="I14" s="33">
        <f t="shared" si="1"/>
        <v>3.3611111111111107</v>
      </c>
      <c r="J14" s="33">
        <f>U34</f>
        <v>2.9999999999999858</v>
      </c>
      <c r="K14" s="67" t="str">
        <f t="shared" si="2"/>
        <v>No</v>
      </c>
      <c r="L14" s="71">
        <f t="shared" si="3"/>
        <v>0</v>
      </c>
      <c r="M14" s="70">
        <f t="shared" si="4"/>
        <v>0</v>
      </c>
      <c r="O14" s="77" t="s">
        <v>117</v>
      </c>
      <c r="P14" s="83">
        <f>P9-(1.96*P10)</f>
        <v>137.11839381995483</v>
      </c>
      <c r="Q14" t="s">
        <v>112</v>
      </c>
    </row>
    <row r="15" spans="2:19" ht="18.75" x14ac:dyDescent="0.3">
      <c r="B15" s="48" t="str">
        <v>Finish Interior</v>
      </c>
      <c r="C15" s="49" t="str">
        <v>I</v>
      </c>
      <c r="D15" s="49">
        <v>20</v>
      </c>
      <c r="E15" s="49">
        <v>24</v>
      </c>
      <c r="F15" s="49">
        <v>35</v>
      </c>
      <c r="G15" s="54">
        <v>2100</v>
      </c>
      <c r="H15" s="33">
        <f t="shared" si="0"/>
        <v>25.166666666666668</v>
      </c>
      <c r="I15" s="33">
        <f t="shared" si="1"/>
        <v>6.25</v>
      </c>
      <c r="J15" s="34">
        <f>Y28</f>
        <v>0</v>
      </c>
      <c r="K15" s="67" t="str">
        <f t="shared" si="2"/>
        <v>Yes</v>
      </c>
      <c r="L15" s="71">
        <f t="shared" si="3"/>
        <v>25.166666666666668</v>
      </c>
      <c r="M15" s="70">
        <f t="shared" si="4"/>
        <v>6.25</v>
      </c>
      <c r="O15" s="111" t="s">
        <v>143</v>
      </c>
      <c r="P15" s="83">
        <f>MAX(H7:H16)</f>
        <v>25.833333333333332</v>
      </c>
      <c r="Q15" t="s">
        <v>112</v>
      </c>
    </row>
    <row r="16" spans="2:19" ht="20.25" customHeight="1" thickBot="1" x14ac:dyDescent="0.35">
      <c r="B16" s="50" t="str">
        <v>Furnishings</v>
      </c>
      <c r="C16" s="51" t="str">
        <v>J</v>
      </c>
      <c r="D16" s="51">
        <v>8</v>
      </c>
      <c r="E16" s="51">
        <v>13</v>
      </c>
      <c r="F16" s="51">
        <v>15</v>
      </c>
      <c r="G16" s="55">
        <v>2000</v>
      </c>
      <c r="H16" s="63">
        <f t="shared" si="0"/>
        <v>12.5</v>
      </c>
      <c r="I16" s="63">
        <f t="shared" si="1"/>
        <v>1.3611111111111114</v>
      </c>
      <c r="J16" s="65">
        <f>AC28</f>
        <v>0</v>
      </c>
      <c r="K16" s="68" t="str">
        <f t="shared" si="2"/>
        <v>Yes</v>
      </c>
      <c r="L16" s="72">
        <f t="shared" si="3"/>
        <v>12.5</v>
      </c>
      <c r="M16" s="73">
        <f t="shared" si="4"/>
        <v>1.3611111111111114</v>
      </c>
      <c r="N16" s="52"/>
      <c r="O16" s="111" t="s">
        <v>141</v>
      </c>
      <c r="P16" s="83" t="str" cm="1">
        <f t="array" ref="P16">INDEX(B7:H16,MATCH(P15,H7:H16,1)-1,1)</f>
        <v>Finish Interior</v>
      </c>
    </row>
    <row r="17" spans="3:31" ht="21.75" thickBot="1" x14ac:dyDescent="0.4">
      <c r="L17" s="74">
        <f>ROUND(SUM(L7:L16),0)</f>
        <v>150</v>
      </c>
      <c r="M17" s="75">
        <f>SUM(M7:M16)</f>
        <v>43.19444444444445</v>
      </c>
    </row>
    <row r="18" spans="3:31" ht="21.75" thickBot="1" x14ac:dyDescent="0.4">
      <c r="J18" s="425" t="s">
        <v>110</v>
      </c>
      <c r="K18" s="426"/>
      <c r="L18" s="2" t="s">
        <v>100</v>
      </c>
      <c r="M18" s="2" t="s">
        <v>100</v>
      </c>
    </row>
    <row r="19" spans="3:31" ht="21" x14ac:dyDescent="0.35">
      <c r="J19" s="95" t="s">
        <v>102</v>
      </c>
      <c r="K19" s="96">
        <f>L17</f>
        <v>150</v>
      </c>
      <c r="L19" s="76" t="s">
        <v>100</v>
      </c>
    </row>
    <row r="20" spans="3:31" ht="21" x14ac:dyDescent="0.35">
      <c r="J20" s="97" t="s">
        <v>103</v>
      </c>
      <c r="K20" s="98">
        <f>M17</f>
        <v>43.19444444444445</v>
      </c>
      <c r="L20" s="76" t="s">
        <v>100</v>
      </c>
    </row>
    <row r="21" spans="3:31" ht="21.75" thickBot="1" x14ac:dyDescent="0.4">
      <c r="J21" s="97" t="s">
        <v>104</v>
      </c>
      <c r="K21" s="99">
        <f>DATE(2022,6,1)</f>
        <v>44713</v>
      </c>
    </row>
    <row r="22" spans="3:31" ht="21" x14ac:dyDescent="0.35">
      <c r="J22" s="97" t="s">
        <v>105</v>
      </c>
      <c r="K22" s="99">
        <f>K21+K19</f>
        <v>44863</v>
      </c>
      <c r="U22" s="58">
        <f>MAX(R26,R36)</f>
        <v>86.333333333333329</v>
      </c>
      <c r="V22" s="8" t="s">
        <v>82</v>
      </c>
      <c r="W22" s="57">
        <f>U22+V24</f>
        <v>112.16666666666666</v>
      </c>
    </row>
    <row r="23" spans="3:31" ht="21" x14ac:dyDescent="0.35">
      <c r="J23" s="97" t="s">
        <v>106</v>
      </c>
      <c r="K23" s="99">
        <f>K21+C28</f>
        <v>44713</v>
      </c>
      <c r="U23" s="62">
        <f>U24-U22</f>
        <v>0</v>
      </c>
      <c r="V23" s="428" t="str">
        <f>B13</f>
        <v>Electrical</v>
      </c>
      <c r="W23" s="429"/>
    </row>
    <row r="24" spans="3:31" ht="21.75" thickBot="1" x14ac:dyDescent="0.4">
      <c r="J24" s="97" t="s">
        <v>107</v>
      </c>
      <c r="K24" s="99">
        <f>K21+E28</f>
        <v>44722</v>
      </c>
      <c r="U24" s="60">
        <f>W24-V24</f>
        <v>86.333333333333314</v>
      </c>
      <c r="V24" s="56">
        <f>H13</f>
        <v>25.833333333333332</v>
      </c>
      <c r="W24" s="59">
        <f>Y29</f>
        <v>112.16666666666664</v>
      </c>
    </row>
    <row r="25" spans="3:31" ht="21.75" thickBot="1" x14ac:dyDescent="0.4">
      <c r="J25" s="97" t="s">
        <v>108</v>
      </c>
      <c r="K25" s="99">
        <f>K21+AE27</f>
        <v>44862.833333333336</v>
      </c>
    </row>
    <row r="26" spans="3:31" ht="21.75" thickBot="1" x14ac:dyDescent="0.4">
      <c r="J26" s="100" t="s">
        <v>109</v>
      </c>
      <c r="K26" s="101">
        <f>K23+AE29</f>
        <v>44862.833333333336</v>
      </c>
      <c r="P26" s="58">
        <f>N31</f>
        <v>61.666666666666664</v>
      </c>
      <c r="Q26" s="8" t="s">
        <v>78</v>
      </c>
      <c r="R26" s="57">
        <f>P26+Q28</f>
        <v>86.333333333333329</v>
      </c>
    </row>
    <row r="27" spans="3:31" ht="15.75" thickBot="1" x14ac:dyDescent="0.3">
      <c r="P27" s="62">
        <f>P28-P26</f>
        <v>0</v>
      </c>
      <c r="Q27" s="428" t="str">
        <f>B11</f>
        <v>Install Siding</v>
      </c>
      <c r="R27" s="429"/>
      <c r="Y27" s="58">
        <f>MAX(W22,W33)</f>
        <v>112.16666666666666</v>
      </c>
      <c r="Z27" s="8" t="s">
        <v>87</v>
      </c>
      <c r="AA27" s="57">
        <f>Y27+Z29</f>
        <v>137.33333333333331</v>
      </c>
      <c r="AC27" s="58">
        <f>AA27</f>
        <v>137.33333333333331</v>
      </c>
      <c r="AD27" s="8" t="s">
        <v>90</v>
      </c>
      <c r="AE27" s="57">
        <f>AC27+AD29</f>
        <v>149.83333333333331</v>
      </c>
    </row>
    <row r="28" spans="3:31" ht="15.75" thickBot="1" x14ac:dyDescent="0.3">
      <c r="C28" s="13">
        <v>0</v>
      </c>
      <c r="D28" s="8" t="s">
        <v>68</v>
      </c>
      <c r="E28" s="57">
        <f>C28+D30</f>
        <v>9</v>
      </c>
      <c r="P28" s="60">
        <f>R28-Q28</f>
        <v>61.666666666666643</v>
      </c>
      <c r="Q28" s="56">
        <f>H11</f>
        <v>24.666666666666668</v>
      </c>
      <c r="R28" s="59">
        <f>MIN(U24,U35)</f>
        <v>86.333333333333314</v>
      </c>
      <c r="Y28" s="62">
        <f>Y29-Y27</f>
        <v>0</v>
      </c>
      <c r="Z28" s="428" t="str">
        <f>B15</f>
        <v>Finish Interior</v>
      </c>
      <c r="AA28" s="429"/>
      <c r="AC28" s="61">
        <f>AC29-AC27</f>
        <v>0</v>
      </c>
      <c r="AD28" s="389" t="str">
        <f>B16</f>
        <v>Furnishings</v>
      </c>
      <c r="AE28" s="430"/>
    </row>
    <row r="29" spans="3:31" ht="15.75" thickBot="1" x14ac:dyDescent="0.3">
      <c r="C29" s="61">
        <f>C30-C28</f>
        <v>16.333333333333311</v>
      </c>
      <c r="D29" s="428" t="str">
        <f>B7</f>
        <v>Building Design</v>
      </c>
      <c r="E29" s="429"/>
      <c r="Y29" s="60">
        <f>AA29-Z29</f>
        <v>112.16666666666664</v>
      </c>
      <c r="Z29" s="56">
        <f>H15</f>
        <v>25.166666666666668</v>
      </c>
      <c r="AA29" s="59">
        <f>AC29</f>
        <v>137.33333333333331</v>
      </c>
      <c r="AC29" s="60">
        <f>AE29-AD29</f>
        <v>137.33333333333331</v>
      </c>
      <c r="AD29" s="56">
        <f>H16</f>
        <v>12.5</v>
      </c>
      <c r="AE29" s="59">
        <f>AE27</f>
        <v>149.83333333333331</v>
      </c>
    </row>
    <row r="30" spans="3:31" ht="15.75" thickBot="1" x14ac:dyDescent="0.3">
      <c r="C30" s="60">
        <f>E30-B30</f>
        <v>16.333333333333311</v>
      </c>
      <c r="D30" s="56">
        <f>H7</f>
        <v>9</v>
      </c>
      <c r="E30" s="59">
        <f>G33</f>
        <v>16.333333333333311</v>
      </c>
      <c r="U30" s="20"/>
      <c r="V30" s="15"/>
      <c r="W30" s="20"/>
    </row>
    <row r="31" spans="3:31" x14ac:dyDescent="0.25">
      <c r="G31" s="58">
        <f>MAX(E28,E34)</f>
        <v>16.333333333333332</v>
      </c>
      <c r="H31" s="8" t="s">
        <v>73</v>
      </c>
      <c r="I31" s="39">
        <f>G31+H33</f>
        <v>37.666666666666664</v>
      </c>
      <c r="L31" s="58">
        <f>I31</f>
        <v>37.666666666666664</v>
      </c>
      <c r="M31" s="8" t="s">
        <v>76</v>
      </c>
      <c r="N31" s="57">
        <f>L31+M33</f>
        <v>61.666666666666664</v>
      </c>
      <c r="U31" s="20"/>
      <c r="V31" s="427"/>
      <c r="W31" s="427"/>
    </row>
    <row r="32" spans="3:31" ht="15.75" thickBot="1" x14ac:dyDescent="0.3">
      <c r="G32" s="62">
        <f>G33-G31</f>
        <v>0</v>
      </c>
      <c r="H32" s="428" t="str">
        <f>B9</f>
        <v>Lay Foundation</v>
      </c>
      <c r="I32" s="429"/>
      <c r="L32" s="62">
        <f>L33-L31</f>
        <v>0</v>
      </c>
      <c r="M32" s="428" t="str">
        <f>B10</f>
        <v>Build Frame</v>
      </c>
      <c r="N32" s="429"/>
      <c r="U32" s="20"/>
      <c r="V32" s="20"/>
      <c r="W32" s="20"/>
    </row>
    <row r="33" spans="3:23" ht="15.75" thickBot="1" x14ac:dyDescent="0.3">
      <c r="G33" s="60">
        <f>I33-H33</f>
        <v>16.333333333333311</v>
      </c>
      <c r="H33" s="56">
        <f>H9</f>
        <v>21.333333333333332</v>
      </c>
      <c r="I33" s="59">
        <f>L33</f>
        <v>37.666666666666643</v>
      </c>
      <c r="L33" s="60">
        <f>N33-M33</f>
        <v>37.666666666666643</v>
      </c>
      <c r="M33" s="56">
        <f>H10</f>
        <v>24</v>
      </c>
      <c r="N33" s="59">
        <f>MIN(P28,P38)</f>
        <v>61.666666666666643</v>
      </c>
      <c r="U33" s="58">
        <f>MAX(R26,R36)</f>
        <v>86.333333333333329</v>
      </c>
      <c r="V33" s="8" t="s">
        <v>85</v>
      </c>
      <c r="W33" s="57">
        <f>U33+V35</f>
        <v>109.16666666666666</v>
      </c>
    </row>
    <row r="34" spans="3:23" x14ac:dyDescent="0.25">
      <c r="C34" s="13">
        <v>0</v>
      </c>
      <c r="D34" s="8" t="s">
        <v>71</v>
      </c>
      <c r="E34" s="57">
        <f>C34+D36</f>
        <v>16.333333333333332</v>
      </c>
      <c r="U34" s="61">
        <f>U35-U33</f>
        <v>2.9999999999999858</v>
      </c>
      <c r="V34" s="428" t="str">
        <f>B14</f>
        <v>Plumbing</v>
      </c>
      <c r="W34" s="429"/>
    </row>
    <row r="35" spans="3:23" ht="15.75" thickBot="1" x14ac:dyDescent="0.3">
      <c r="C35" s="62">
        <f>C36-C34</f>
        <v>0</v>
      </c>
      <c r="D35" s="428" t="str">
        <f>B8</f>
        <v>Site Preparation</v>
      </c>
      <c r="E35" s="429"/>
      <c r="U35" s="60">
        <f>W35-V35</f>
        <v>89.333333333333314</v>
      </c>
      <c r="V35" s="56">
        <f>H14</f>
        <v>22.833333333333332</v>
      </c>
      <c r="W35" s="59">
        <f>Y29</f>
        <v>112.16666666666664</v>
      </c>
    </row>
    <row r="36" spans="3:23" ht="15.75" thickBot="1" x14ac:dyDescent="0.3">
      <c r="C36" s="60">
        <f>E36-D36</f>
        <v>0</v>
      </c>
      <c r="D36" s="56">
        <f>H8</f>
        <v>16.333333333333332</v>
      </c>
      <c r="E36" s="59">
        <f>G33</f>
        <v>16.333333333333311</v>
      </c>
      <c r="P36" s="58">
        <f>N31</f>
        <v>61.666666666666664</v>
      </c>
      <c r="Q36" s="8" t="s">
        <v>80</v>
      </c>
      <c r="R36" s="57">
        <f>P36+Q38</f>
        <v>82</v>
      </c>
    </row>
    <row r="37" spans="3:23" x14ac:dyDescent="0.25">
      <c r="P37" s="61">
        <f>P38-P36</f>
        <v>4.3333333333333215</v>
      </c>
      <c r="Q37" s="428" t="str">
        <f>B12</f>
        <v>Install Roof</v>
      </c>
      <c r="R37" s="429"/>
    </row>
    <row r="38" spans="3:23" ht="15.75" thickBot="1" x14ac:dyDescent="0.3">
      <c r="P38" s="60">
        <f>R38-Q38</f>
        <v>65.999999999999986</v>
      </c>
      <c r="Q38" s="56">
        <f>H12</f>
        <v>20.333333333333332</v>
      </c>
      <c r="R38" s="59">
        <f>MIN(U24,U35)</f>
        <v>86.333333333333314</v>
      </c>
    </row>
  </sheetData>
  <mergeCells count="23">
    <mergeCell ref="B5:B6"/>
    <mergeCell ref="C5:C6"/>
    <mergeCell ref="D5:F5"/>
    <mergeCell ref="G5:G6"/>
    <mergeCell ref="D29:E29"/>
    <mergeCell ref="D35:E35"/>
    <mergeCell ref="H32:I32"/>
    <mergeCell ref="M32:N32"/>
    <mergeCell ref="Q27:R27"/>
    <mergeCell ref="Q37:R37"/>
    <mergeCell ref="Z28:AA28"/>
    <mergeCell ref="AD28:AE28"/>
    <mergeCell ref="H5:H6"/>
    <mergeCell ref="I5:I6"/>
    <mergeCell ref="J5:J6"/>
    <mergeCell ref="K5:K6"/>
    <mergeCell ref="L5:L6"/>
    <mergeCell ref="M5:M6"/>
    <mergeCell ref="L2:S3"/>
    <mergeCell ref="J18:K18"/>
    <mergeCell ref="V31:W31"/>
    <mergeCell ref="V23:W23"/>
    <mergeCell ref="V34:W34"/>
  </mergeCells>
  <conditionalFormatting sqref="C28:E30">
    <cfRule type="expression" dxfId="37" priority="10">
      <formula>$C$29=0</formula>
    </cfRule>
    <cfRule type="cellIs" dxfId="36" priority="12" operator="equal">
      <formula>$C$29=0</formula>
    </cfRule>
  </conditionalFormatting>
  <conditionalFormatting sqref="C34:E36">
    <cfRule type="expression" dxfId="35" priority="9">
      <formula>$C$35=0</formula>
    </cfRule>
    <cfRule type="cellIs" dxfId="34" priority="11" operator="equal">
      <formula>$C$35=0</formula>
    </cfRule>
  </conditionalFormatting>
  <conditionalFormatting sqref="G31:I33">
    <cfRule type="expression" dxfId="33" priority="8">
      <formula>$G$32=0</formula>
    </cfRule>
  </conditionalFormatting>
  <conditionalFormatting sqref="L31:N33">
    <cfRule type="expression" dxfId="32" priority="7">
      <formula>$L$32=0</formula>
    </cfRule>
  </conditionalFormatting>
  <conditionalFormatting sqref="P26:R28">
    <cfRule type="expression" dxfId="31" priority="6">
      <formula>$P$27=0</formula>
    </cfRule>
  </conditionalFormatting>
  <conditionalFormatting sqref="P36:R38">
    <cfRule type="expression" dxfId="30" priority="5">
      <formula>$P$37=0</formula>
    </cfRule>
  </conditionalFormatting>
  <conditionalFormatting sqref="U22:W24">
    <cfRule type="expression" dxfId="29" priority="4">
      <formula>$U$23=0</formula>
    </cfRule>
  </conditionalFormatting>
  <conditionalFormatting sqref="U33:W35">
    <cfRule type="expression" dxfId="28" priority="3">
      <formula>$U$34=0</formula>
    </cfRule>
  </conditionalFormatting>
  <conditionalFormatting sqref="Y27:AA29">
    <cfRule type="expression" dxfId="27" priority="2">
      <formula>$Y$28=0</formula>
    </cfRule>
  </conditionalFormatting>
  <conditionalFormatting sqref="AC27:AE29">
    <cfRule type="expression" dxfId="26" priority="1">
      <formula>$AC$28=0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3450-2217-45BB-AA14-DA375729661F}">
  <dimension ref="B1:AE38"/>
  <sheetViews>
    <sheetView showGridLines="0" topLeftCell="B1" zoomScale="62" zoomScaleNormal="62" workbookViewId="0">
      <selection activeCell="D21" sqref="D21"/>
    </sheetView>
  </sheetViews>
  <sheetFormatPr defaultRowHeight="15" x14ac:dyDescent="0.25"/>
  <cols>
    <col min="2" max="2" width="17.140625" bestFit="1" customWidth="1"/>
    <col min="4" max="4" width="17.7109375" customWidth="1"/>
    <col min="5" max="5" width="11.7109375" bestFit="1" customWidth="1"/>
    <col min="6" max="6" width="15" bestFit="1" customWidth="1"/>
    <col min="7" max="7" width="13.5703125" customWidth="1"/>
    <col min="8" max="8" width="14.7109375" customWidth="1"/>
    <col min="9" max="9" width="19.28515625" bestFit="1" customWidth="1"/>
    <col min="10" max="10" width="14.28515625" style="30" customWidth="1"/>
    <col min="11" max="11" width="18" bestFit="1" customWidth="1"/>
    <col min="12" max="12" width="16" customWidth="1"/>
    <col min="13" max="13" width="17.28515625" customWidth="1"/>
    <col min="15" max="15" width="26.42578125" bestFit="1" customWidth="1"/>
    <col min="16" max="16" width="14.42578125" bestFit="1" customWidth="1"/>
    <col min="19" max="19" width="29" bestFit="1" customWidth="1"/>
    <col min="20" max="20" width="19.42578125" bestFit="1" customWidth="1"/>
    <col min="21" max="21" width="18.7109375" bestFit="1" customWidth="1"/>
  </cols>
  <sheetData>
    <row r="1" spans="2:26" ht="15.75" thickBot="1" x14ac:dyDescent="0.3">
      <c r="C1" s="30"/>
      <c r="D1" s="30"/>
      <c r="E1" s="30"/>
      <c r="F1" s="30"/>
    </row>
    <row r="2" spans="2:26" ht="15.75" thickBot="1" x14ac:dyDescent="0.3">
      <c r="C2" s="30"/>
      <c r="D2" s="30"/>
      <c r="E2" s="30"/>
      <c r="F2" s="30"/>
      <c r="L2" s="419" t="s">
        <v>138</v>
      </c>
      <c r="M2" s="420"/>
      <c r="N2" s="420"/>
      <c r="O2" s="420"/>
      <c r="P2" s="420"/>
      <c r="Q2" s="420"/>
      <c r="R2" s="420"/>
      <c r="S2" s="421"/>
    </row>
    <row r="3" spans="2:26" ht="21.75" thickBot="1" x14ac:dyDescent="0.4">
      <c r="B3" s="79" t="s">
        <v>111</v>
      </c>
      <c r="C3" s="265"/>
      <c r="D3" s="266">
        <f>DATE(2022,10,31)</f>
        <v>44865</v>
      </c>
      <c r="E3" s="30"/>
      <c r="F3" s="30"/>
      <c r="L3" s="422"/>
      <c r="M3" s="423"/>
      <c r="N3" s="423"/>
      <c r="O3" s="423"/>
      <c r="P3" s="423"/>
      <c r="Q3" s="423"/>
      <c r="R3" s="423"/>
      <c r="S3" s="424"/>
    </row>
    <row r="4" spans="2:26" ht="15.75" thickBot="1" x14ac:dyDescent="0.3">
      <c r="C4" s="30"/>
      <c r="D4" s="30"/>
      <c r="E4" s="30"/>
      <c r="F4" s="30"/>
    </row>
    <row r="5" spans="2:26" ht="15.75" customHeight="1" thickBot="1" x14ac:dyDescent="0.3">
      <c r="B5" s="439" t="s">
        <v>58</v>
      </c>
      <c r="C5" s="441" t="s">
        <v>59</v>
      </c>
      <c r="D5" s="443" t="s">
        <v>92</v>
      </c>
      <c r="E5" s="443"/>
      <c r="F5" s="441"/>
      <c r="G5" s="444" t="s">
        <v>93</v>
      </c>
      <c r="H5" s="444" t="s">
        <v>147</v>
      </c>
      <c r="I5" s="444" t="s">
        <v>95</v>
      </c>
      <c r="J5" s="444" t="s">
        <v>96</v>
      </c>
      <c r="K5" s="444" t="s">
        <v>97</v>
      </c>
      <c r="L5" s="444" t="s">
        <v>98</v>
      </c>
      <c r="M5" s="444" t="s">
        <v>99</v>
      </c>
    </row>
    <row r="6" spans="2:26" ht="21.75" thickBot="1" x14ac:dyDescent="0.4">
      <c r="B6" s="440"/>
      <c r="C6" s="442"/>
      <c r="D6" s="242" t="s">
        <v>64</v>
      </c>
      <c r="E6" s="242" t="s">
        <v>65</v>
      </c>
      <c r="F6" s="242" t="s">
        <v>66</v>
      </c>
      <c r="G6" s="445"/>
      <c r="H6" s="446"/>
      <c r="I6" s="446"/>
      <c r="J6" s="446"/>
      <c r="K6" s="446"/>
      <c r="L6" s="445"/>
      <c r="M6" s="445"/>
      <c r="S6" s="405" t="s">
        <v>134</v>
      </c>
      <c r="T6" s="405"/>
      <c r="U6" s="405"/>
      <c r="V6" s="405"/>
      <c r="W6" s="405"/>
    </row>
    <row r="7" spans="2:26" ht="21" x14ac:dyDescent="0.35">
      <c r="B7" s="243" t="str" cm="1">
        <f t="array" ref="B7:B16">'Project managemet-Master'!C5:C14</f>
        <v>Building Design</v>
      </c>
      <c r="C7" s="244" t="str" cm="1">
        <f t="array" ref="C7:C16">'Project managemet-Master'!D5:D14</f>
        <v>A</v>
      </c>
      <c r="D7" s="244" cm="1">
        <f t="array" ref="D7:D16">'Project managemet-Master'!F5:F14</f>
        <v>9</v>
      </c>
      <c r="E7" s="244" cm="1">
        <f t="array" ref="E7:E16">'Project managemet-Master'!G5:G14</f>
        <v>9</v>
      </c>
      <c r="F7" s="244" cm="1">
        <f t="array" ref="F7:F16">'Project managemet-Master'!H5:H14</f>
        <v>9</v>
      </c>
      <c r="G7" s="245" cm="1">
        <f t="array" ref="G7:G16">'Project managemet-Master'!I5:I14</f>
        <v>1000</v>
      </c>
      <c r="H7" s="246">
        <f>(D7+(4*E7)+F7)/6</f>
        <v>9</v>
      </c>
      <c r="I7" s="246">
        <f>((F7-D7)/6)^2</f>
        <v>0</v>
      </c>
      <c r="J7" s="247">
        <f>C29</f>
        <v>11.333333333333325</v>
      </c>
      <c r="K7" s="248" t="str">
        <f>IF(J7&gt;0,"No","Yes")</f>
        <v>No</v>
      </c>
      <c r="L7" s="249">
        <f>IF(K7="No",0,H7)</f>
        <v>0</v>
      </c>
      <c r="M7" s="249">
        <f>IF(K7="No",0,I7)</f>
        <v>0</v>
      </c>
      <c r="S7" s="112" t="s">
        <v>58</v>
      </c>
      <c r="T7" s="113" t="s">
        <v>133</v>
      </c>
      <c r="U7" s="113" t="s">
        <v>148</v>
      </c>
      <c r="V7" s="89"/>
      <c r="W7" s="89"/>
    </row>
    <row r="8" spans="2:26" ht="21" x14ac:dyDescent="0.35">
      <c r="B8" s="250" t="str">
        <v>Site Preparation</v>
      </c>
      <c r="C8" s="251" t="str">
        <v>B</v>
      </c>
      <c r="D8" s="251">
        <v>10</v>
      </c>
      <c r="E8" s="251">
        <v>16</v>
      </c>
      <c r="F8" s="251">
        <v>24</v>
      </c>
      <c r="G8" s="245">
        <v>8000</v>
      </c>
      <c r="H8" s="246">
        <f>(D8+(4*E8)+F8)/6 -T13</f>
        <v>11.333333333333332</v>
      </c>
      <c r="I8" s="246">
        <f t="shared" ref="I8:I16" si="0">((F8-D8)/6)^2</f>
        <v>5.4444444444444455</v>
      </c>
      <c r="J8" s="252">
        <f>C35</f>
        <v>0</v>
      </c>
      <c r="K8" s="253" t="str">
        <f t="shared" ref="K8:K16" si="1">IF(J8&gt;0,"No","Yes")</f>
        <v>Yes</v>
      </c>
      <c r="L8" s="254">
        <f>IF(K8="No",0,H8)</f>
        <v>11.333333333333332</v>
      </c>
      <c r="M8" s="255">
        <f>IF(K8="No",0,I8)</f>
        <v>5.4444444444444455</v>
      </c>
      <c r="O8" s="116"/>
      <c r="P8" s="117"/>
      <c r="Q8" s="118"/>
      <c r="S8" s="250" t="s">
        <v>132</v>
      </c>
      <c r="T8" s="199">
        <v>5</v>
      </c>
      <c r="U8" s="267">
        <f>T8*G16</f>
        <v>10000</v>
      </c>
      <c r="V8" s="89"/>
      <c r="W8" s="89"/>
      <c r="Z8">
        <v>1</v>
      </c>
    </row>
    <row r="9" spans="2:26" ht="21" x14ac:dyDescent="0.35">
      <c r="B9" s="250" t="str">
        <v>Lay Foundation</v>
      </c>
      <c r="C9" s="251" t="str">
        <v>C</v>
      </c>
      <c r="D9" s="251">
        <v>14</v>
      </c>
      <c r="E9" s="251">
        <v>21</v>
      </c>
      <c r="F9" s="251">
        <v>30</v>
      </c>
      <c r="G9" s="245">
        <v>12000</v>
      </c>
      <c r="H9" s="246">
        <f>(D9+(4*E9)+F9)/6-T14</f>
        <v>16.333333333333332</v>
      </c>
      <c r="I9" s="246">
        <f t="shared" si="0"/>
        <v>7.1111111111111107</v>
      </c>
      <c r="J9" s="252">
        <f>G32</f>
        <v>0</v>
      </c>
      <c r="K9" s="253" t="str">
        <f t="shared" si="1"/>
        <v>Yes</v>
      </c>
      <c r="L9" s="254">
        <f t="shared" ref="L9:L16" si="2">IF(K9="No",0,H9)</f>
        <v>16.333333333333332</v>
      </c>
      <c r="M9" s="255">
        <f>IF(K9="No",0,I9)</f>
        <v>7.1111111111111107</v>
      </c>
      <c r="O9" s="116"/>
      <c r="P9" s="119"/>
      <c r="Q9" s="118"/>
      <c r="S9" s="250" t="s">
        <v>86</v>
      </c>
      <c r="T9" s="199">
        <v>5</v>
      </c>
      <c r="U9" s="267">
        <f>T9*G15</f>
        <v>10500</v>
      </c>
      <c r="V9" s="89"/>
      <c r="W9" s="89"/>
      <c r="Z9">
        <v>2</v>
      </c>
    </row>
    <row r="10" spans="2:26" ht="21" x14ac:dyDescent="0.35">
      <c r="B10" s="250" t="str">
        <v>Build Frame</v>
      </c>
      <c r="C10" s="251" t="str">
        <v>D</v>
      </c>
      <c r="D10" s="251">
        <v>15</v>
      </c>
      <c r="E10" s="251">
        <v>24</v>
      </c>
      <c r="F10" s="251">
        <v>33</v>
      </c>
      <c r="G10" s="245">
        <v>4000</v>
      </c>
      <c r="H10" s="246">
        <f>(D10+(4*E10)+F10)/6-T12</f>
        <v>19</v>
      </c>
      <c r="I10" s="246">
        <f t="shared" si="0"/>
        <v>9</v>
      </c>
      <c r="J10" s="252">
        <f>L32</f>
        <v>0</v>
      </c>
      <c r="K10" s="253" t="str">
        <f t="shared" si="1"/>
        <v>Yes</v>
      </c>
      <c r="L10" s="254">
        <f t="shared" si="2"/>
        <v>19</v>
      </c>
      <c r="M10" s="255">
        <f t="shared" ref="M10:M16" si="3">IF(K10="No",0,I10)</f>
        <v>9</v>
      </c>
      <c r="O10" s="77"/>
      <c r="P10" s="82"/>
      <c r="Q10" s="118"/>
      <c r="S10" s="250" t="s">
        <v>135</v>
      </c>
      <c r="T10" s="199">
        <v>4</v>
      </c>
      <c r="U10" s="267">
        <f>T10*G11</f>
        <v>9200</v>
      </c>
      <c r="V10" s="89"/>
      <c r="W10" s="89"/>
      <c r="Z10">
        <v>3</v>
      </c>
    </row>
    <row r="11" spans="2:26" ht="21" x14ac:dyDescent="0.35">
      <c r="B11" s="250" t="str">
        <v>Install Siding</v>
      </c>
      <c r="C11" s="251" t="str">
        <v>E</v>
      </c>
      <c r="D11" s="251">
        <v>18</v>
      </c>
      <c r="E11" s="251">
        <v>25</v>
      </c>
      <c r="F11" s="251">
        <v>30</v>
      </c>
      <c r="G11" s="245">
        <v>2300</v>
      </c>
      <c r="H11" s="246">
        <f>(D11+(4*E11)+F11)/6-T10</f>
        <v>20.666666666666668</v>
      </c>
      <c r="I11" s="246">
        <f t="shared" si="0"/>
        <v>4</v>
      </c>
      <c r="J11" s="252">
        <f>P27</f>
        <v>0</v>
      </c>
      <c r="K11" s="253" t="str">
        <f t="shared" si="1"/>
        <v>Yes</v>
      </c>
      <c r="L11" s="254">
        <f t="shared" si="2"/>
        <v>20.666666666666668</v>
      </c>
      <c r="M11" s="255">
        <f t="shared" si="3"/>
        <v>4</v>
      </c>
      <c r="O11" s="77"/>
      <c r="P11" s="83"/>
      <c r="Q11" s="118"/>
      <c r="S11" s="250" t="s">
        <v>81</v>
      </c>
      <c r="T11" s="268">
        <v>2</v>
      </c>
      <c r="U11" s="267">
        <f>G13*T11</f>
        <v>5000</v>
      </c>
      <c r="V11" s="89"/>
      <c r="W11" s="89"/>
      <c r="Z11">
        <v>4</v>
      </c>
    </row>
    <row r="12" spans="2:26" ht="62.25" customHeight="1" x14ac:dyDescent="0.35">
      <c r="B12" s="250" t="str">
        <v>Install Roof</v>
      </c>
      <c r="C12" s="251" t="str">
        <v>F</v>
      </c>
      <c r="D12" s="251">
        <v>17</v>
      </c>
      <c r="E12" s="251">
        <v>20</v>
      </c>
      <c r="F12" s="251">
        <v>25</v>
      </c>
      <c r="G12" s="245">
        <v>2400</v>
      </c>
      <c r="H12" s="246">
        <f>(D12+(4*E12)+F12)/6</f>
        <v>20.333333333333332</v>
      </c>
      <c r="I12" s="246">
        <f t="shared" si="0"/>
        <v>1.7777777777777777</v>
      </c>
      <c r="J12" s="246">
        <f>P37</f>
        <v>0.3333333333333357</v>
      </c>
      <c r="K12" s="253" t="str">
        <f t="shared" si="1"/>
        <v>No</v>
      </c>
      <c r="L12" s="254">
        <f t="shared" si="2"/>
        <v>0</v>
      </c>
      <c r="M12" s="255">
        <f t="shared" si="3"/>
        <v>0</v>
      </c>
      <c r="O12" s="77"/>
      <c r="P12" s="83"/>
      <c r="Q12" s="120"/>
      <c r="S12" s="250" t="s">
        <v>136</v>
      </c>
      <c r="T12" s="268">
        <v>5</v>
      </c>
      <c r="U12" s="267">
        <f>G10*T12</f>
        <v>20000</v>
      </c>
      <c r="V12" s="89"/>
      <c r="W12" s="89"/>
      <c r="Z12">
        <v>5</v>
      </c>
    </row>
    <row r="13" spans="2:26" ht="21" x14ac:dyDescent="0.35">
      <c r="B13" s="250" t="str">
        <v>Electrical</v>
      </c>
      <c r="C13" s="251" t="str">
        <v>G</v>
      </c>
      <c r="D13" s="251">
        <v>14</v>
      </c>
      <c r="E13" s="251">
        <v>27</v>
      </c>
      <c r="F13" s="251">
        <v>33</v>
      </c>
      <c r="G13" s="245">
        <v>2500</v>
      </c>
      <c r="H13" s="246">
        <f>(D13+(4*E13)+F13)/6-T11</f>
        <v>23.833333333333332</v>
      </c>
      <c r="I13" s="246">
        <f t="shared" si="0"/>
        <v>10.027777777777777</v>
      </c>
      <c r="J13" s="252">
        <f>U23</f>
        <v>0</v>
      </c>
      <c r="K13" s="253" t="str">
        <f t="shared" si="1"/>
        <v>Yes</v>
      </c>
      <c r="L13" s="254">
        <f t="shared" si="2"/>
        <v>23.833333333333332</v>
      </c>
      <c r="M13" s="255">
        <f t="shared" si="3"/>
        <v>10.027777777777777</v>
      </c>
      <c r="O13" s="77"/>
      <c r="P13" s="84"/>
      <c r="Q13" s="118"/>
      <c r="S13" s="250" t="s">
        <v>137</v>
      </c>
      <c r="T13" s="268">
        <v>5</v>
      </c>
      <c r="U13" s="267">
        <f>T13*G8</f>
        <v>40000</v>
      </c>
      <c r="V13" s="89"/>
      <c r="W13" s="89"/>
    </row>
    <row r="14" spans="2:26" ht="21.75" thickBot="1" x14ac:dyDescent="0.4">
      <c r="B14" s="250" t="str">
        <v>Plumbing</v>
      </c>
      <c r="C14" s="251" t="str">
        <v>H</v>
      </c>
      <c r="D14" s="251">
        <v>19</v>
      </c>
      <c r="E14" s="251">
        <v>22</v>
      </c>
      <c r="F14" s="251">
        <v>30</v>
      </c>
      <c r="G14" s="245">
        <v>2500</v>
      </c>
      <c r="H14" s="246">
        <f t="shared" ref="H14" si="4">(D14+(4*E14)+F14)/6</f>
        <v>22.833333333333332</v>
      </c>
      <c r="I14" s="246">
        <f t="shared" si="0"/>
        <v>3.3611111111111107</v>
      </c>
      <c r="J14" s="246">
        <f>U34</f>
        <v>1</v>
      </c>
      <c r="K14" s="253" t="str">
        <f t="shared" si="1"/>
        <v>No</v>
      </c>
      <c r="L14" s="254">
        <f t="shared" si="2"/>
        <v>0</v>
      </c>
      <c r="M14" s="255">
        <f t="shared" si="3"/>
        <v>0</v>
      </c>
      <c r="O14" s="110"/>
      <c r="P14" s="84"/>
      <c r="Q14" s="118"/>
      <c r="S14" s="250" t="s">
        <v>144</v>
      </c>
      <c r="T14" s="269">
        <v>5</v>
      </c>
      <c r="U14" s="270">
        <f>T14*G9</f>
        <v>60000</v>
      </c>
      <c r="V14" s="89"/>
      <c r="W14" s="89"/>
    </row>
    <row r="15" spans="2:26" ht="21.75" thickBot="1" x14ac:dyDescent="0.4">
      <c r="B15" s="250" t="str">
        <v>Finish Interior</v>
      </c>
      <c r="C15" s="251" t="str">
        <v>I</v>
      </c>
      <c r="D15" s="251">
        <v>20</v>
      </c>
      <c r="E15" s="251">
        <v>24</v>
      </c>
      <c r="F15" s="251">
        <v>35</v>
      </c>
      <c r="G15" s="245">
        <v>2100</v>
      </c>
      <c r="H15" s="246">
        <f>(D15+(4*E15)+F15)/6-T9</f>
        <v>20.166666666666668</v>
      </c>
      <c r="I15" s="246">
        <f t="shared" si="0"/>
        <v>6.25</v>
      </c>
      <c r="J15" s="252">
        <f>Y28</f>
        <v>0</v>
      </c>
      <c r="K15" s="253" t="str">
        <f t="shared" si="1"/>
        <v>Yes</v>
      </c>
      <c r="L15" s="254">
        <f t="shared" si="2"/>
        <v>20.166666666666668</v>
      </c>
      <c r="M15" s="255">
        <f t="shared" si="3"/>
        <v>6.25</v>
      </c>
      <c r="O15" s="77"/>
      <c r="P15" s="83"/>
      <c r="Q15" s="118"/>
      <c r="S15" s="114" t="s">
        <v>145</v>
      </c>
      <c r="T15" s="114">
        <f>SUM(T8:T14)</f>
        <v>31</v>
      </c>
      <c r="U15" s="89" t="s">
        <v>112</v>
      </c>
      <c r="V15" s="89"/>
      <c r="W15" s="89"/>
    </row>
    <row r="16" spans="2:26" ht="21.75" thickBot="1" x14ac:dyDescent="0.4">
      <c r="B16" s="256" t="str">
        <v>Furnishings</v>
      </c>
      <c r="C16" s="257" t="str">
        <v>J</v>
      </c>
      <c r="D16" s="257">
        <v>8</v>
      </c>
      <c r="E16" s="257">
        <v>13</v>
      </c>
      <c r="F16" s="257">
        <v>15</v>
      </c>
      <c r="G16" s="258">
        <v>2000</v>
      </c>
      <c r="H16" s="259">
        <f>(D16+(4*E16)+F16)/6-T8</f>
        <v>7.5</v>
      </c>
      <c r="I16" s="259">
        <f t="shared" si="0"/>
        <v>1.3611111111111114</v>
      </c>
      <c r="J16" s="260">
        <f>AC28</f>
        <v>0</v>
      </c>
      <c r="K16" s="261" t="str">
        <f t="shared" si="1"/>
        <v>Yes</v>
      </c>
      <c r="L16" s="262">
        <f t="shared" si="2"/>
        <v>7.5</v>
      </c>
      <c r="M16" s="263">
        <f t="shared" si="3"/>
        <v>1.3611111111111114</v>
      </c>
      <c r="N16" s="52"/>
      <c r="O16" s="339"/>
      <c r="P16" s="340"/>
      <c r="S16" s="114" t="s">
        <v>146</v>
      </c>
      <c r="T16" s="115">
        <f>SUM(U8:U14)</f>
        <v>154700</v>
      </c>
      <c r="U16" s="89"/>
      <c r="V16" s="89"/>
      <c r="W16" s="89"/>
    </row>
    <row r="17" spans="2:31" ht="21.75" thickBot="1" x14ac:dyDescent="0.4">
      <c r="B17" s="89"/>
      <c r="C17" s="89"/>
      <c r="D17" s="89"/>
      <c r="E17" s="89"/>
      <c r="F17" s="89"/>
      <c r="G17" s="89"/>
      <c r="H17" s="89"/>
      <c r="I17" s="89"/>
      <c r="J17" s="264"/>
      <c r="K17" s="89"/>
      <c r="L17" s="74">
        <f>SUM(L7:L16)</f>
        <v>118.83333333333333</v>
      </c>
      <c r="M17" s="75">
        <f>SUM(M7:M16)</f>
        <v>43.19444444444445</v>
      </c>
      <c r="O17" s="116"/>
      <c r="P17" s="119"/>
    </row>
    <row r="18" spans="2:31" ht="21" x14ac:dyDescent="0.35">
      <c r="B18" s="89"/>
      <c r="C18" s="89"/>
      <c r="D18" s="89"/>
      <c r="E18" s="89"/>
      <c r="F18" s="89"/>
      <c r="G18" s="89"/>
      <c r="H18" s="89"/>
      <c r="I18" s="89"/>
      <c r="J18" s="447"/>
      <c r="K18" s="447"/>
      <c r="L18" s="264" t="s">
        <v>100</v>
      </c>
      <c r="M18" s="264" t="s">
        <v>100</v>
      </c>
      <c r="O18" s="116"/>
      <c r="P18" s="119"/>
    </row>
    <row r="19" spans="2:31" x14ac:dyDescent="0.25">
      <c r="J19" s="94"/>
      <c r="K19" s="121"/>
      <c r="L19" s="76"/>
      <c r="U19" s="93"/>
    </row>
    <row r="20" spans="2:31" x14ac:dyDescent="0.25">
      <c r="J20" s="94"/>
      <c r="K20" s="121"/>
      <c r="L20" s="76"/>
    </row>
    <row r="21" spans="2:31" ht="15.75" thickBot="1" x14ac:dyDescent="0.3">
      <c r="J21" s="94"/>
      <c r="K21" s="122"/>
    </row>
    <row r="22" spans="2:31" x14ac:dyDescent="0.25">
      <c r="J22" s="94"/>
      <c r="K22" s="122"/>
      <c r="U22" s="58">
        <f>MAX(R26,R36)</f>
        <v>67.333333333333329</v>
      </c>
      <c r="V22" s="8" t="s">
        <v>82</v>
      </c>
      <c r="W22" s="57">
        <f>U22+V24</f>
        <v>91.166666666666657</v>
      </c>
    </row>
    <row r="23" spans="2:31" x14ac:dyDescent="0.25">
      <c r="J23" s="94"/>
      <c r="K23" s="122"/>
      <c r="U23" s="62">
        <f>U24-U22</f>
        <v>0</v>
      </c>
      <c r="V23" s="428" t="str">
        <f>B13</f>
        <v>Electrical</v>
      </c>
      <c r="W23" s="429"/>
    </row>
    <row r="24" spans="2:31" ht="15.75" thickBot="1" x14ac:dyDescent="0.3">
      <c r="J24" s="94"/>
      <c r="K24" s="122"/>
      <c r="U24" s="60">
        <f>W24-V24</f>
        <v>67.333333333333329</v>
      </c>
      <c r="V24" s="56">
        <f>H13</f>
        <v>23.833333333333332</v>
      </c>
      <c r="W24" s="59">
        <f>Y29</f>
        <v>91.166666666666657</v>
      </c>
    </row>
    <row r="25" spans="2:31" ht="15.75" thickBot="1" x14ac:dyDescent="0.3">
      <c r="J25" s="94"/>
      <c r="K25" s="122"/>
    </row>
    <row r="26" spans="2:31" ht="15.75" thickBot="1" x14ac:dyDescent="0.3">
      <c r="J26" s="94"/>
      <c r="K26" s="122"/>
      <c r="P26" s="58">
        <f>N31</f>
        <v>46.666666666666664</v>
      </c>
      <c r="Q26" s="8" t="s">
        <v>78</v>
      </c>
      <c r="R26" s="57">
        <f>P26+Q28</f>
        <v>67.333333333333329</v>
      </c>
    </row>
    <row r="27" spans="2:31" ht="15.75" thickBot="1" x14ac:dyDescent="0.3">
      <c r="P27" s="62">
        <f>P28-P26</f>
        <v>0</v>
      </c>
      <c r="Q27" s="428" t="str">
        <f>B11</f>
        <v>Install Siding</v>
      </c>
      <c r="R27" s="429"/>
      <c r="Y27" s="58">
        <f>MAX(W22,W33)</f>
        <v>91.166666666666657</v>
      </c>
      <c r="Z27" s="8" t="s">
        <v>87</v>
      </c>
      <c r="AA27" s="57">
        <f>Y27+Z29</f>
        <v>111.33333333333333</v>
      </c>
      <c r="AC27" s="58">
        <f>AA27</f>
        <v>111.33333333333333</v>
      </c>
      <c r="AD27" s="8" t="s">
        <v>90</v>
      </c>
      <c r="AE27" s="57">
        <f>AC27+AD29</f>
        <v>123.83333333333333</v>
      </c>
    </row>
    <row r="28" spans="2:31" ht="15.75" thickBot="1" x14ac:dyDescent="0.3">
      <c r="C28" s="13">
        <v>0</v>
      </c>
      <c r="D28" s="8" t="s">
        <v>68</v>
      </c>
      <c r="E28" s="57">
        <f>C28+D30</f>
        <v>9</v>
      </c>
      <c r="P28" s="60">
        <f>R28-Q28</f>
        <v>46.666666666666657</v>
      </c>
      <c r="Q28" s="56">
        <f>H11</f>
        <v>20.666666666666668</v>
      </c>
      <c r="R28" s="59">
        <f>MIN(U24,U35)</f>
        <v>67.333333333333329</v>
      </c>
      <c r="Y28" s="62">
        <f>Y29-Y27</f>
        <v>0</v>
      </c>
      <c r="Z28" s="428" t="str">
        <f>B15</f>
        <v>Finish Interior</v>
      </c>
      <c r="AA28" s="429"/>
      <c r="AC28" s="61">
        <f>AC29-AC27</f>
        <v>0</v>
      </c>
      <c r="AD28" s="428" t="str">
        <f>B16</f>
        <v>Furnishings</v>
      </c>
      <c r="AE28" s="429"/>
    </row>
    <row r="29" spans="2:31" ht="15.75" thickBot="1" x14ac:dyDescent="0.3">
      <c r="C29" s="61">
        <f>C30-C28</f>
        <v>11.333333333333325</v>
      </c>
      <c r="D29" s="428" t="str">
        <f>B7</f>
        <v>Building Design</v>
      </c>
      <c r="E29" s="429"/>
      <c r="Y29" s="60">
        <f>AA29-Z29</f>
        <v>91.166666666666657</v>
      </c>
      <c r="Z29" s="56">
        <f>H15</f>
        <v>20.166666666666668</v>
      </c>
      <c r="AA29" s="59">
        <f>AC29</f>
        <v>111.33333333333333</v>
      </c>
      <c r="AC29" s="60">
        <f>AE29-AD29</f>
        <v>111.33333333333333</v>
      </c>
      <c r="AD29" s="56">
        <v>12.5</v>
      </c>
      <c r="AE29" s="59">
        <f>AE27</f>
        <v>123.83333333333333</v>
      </c>
    </row>
    <row r="30" spans="2:31" ht="15.75" thickBot="1" x14ac:dyDescent="0.3">
      <c r="C30" s="60">
        <f>E30-B30</f>
        <v>11.333333333333325</v>
      </c>
      <c r="D30" s="56">
        <f>H7</f>
        <v>9</v>
      </c>
      <c r="E30" s="59">
        <f>G33</f>
        <v>11.333333333333325</v>
      </c>
      <c r="U30" s="20"/>
      <c r="V30" s="15"/>
      <c r="W30" s="20"/>
    </row>
    <row r="31" spans="2:31" x14ac:dyDescent="0.25">
      <c r="G31" s="58">
        <f>MAX(E28,E34)</f>
        <v>11.333333333333332</v>
      </c>
      <c r="H31" s="8" t="s">
        <v>73</v>
      </c>
      <c r="I31" s="39">
        <f>G31+H33</f>
        <v>27.666666666666664</v>
      </c>
      <c r="L31" s="58">
        <f>I31</f>
        <v>27.666666666666664</v>
      </c>
      <c r="M31" s="8" t="s">
        <v>76</v>
      </c>
      <c r="N31" s="57">
        <f>L31+M33</f>
        <v>46.666666666666664</v>
      </c>
      <c r="U31" s="20"/>
      <c r="V31" s="427"/>
      <c r="W31" s="427"/>
    </row>
    <row r="32" spans="2:31" ht="15.75" thickBot="1" x14ac:dyDescent="0.3">
      <c r="G32" s="62">
        <f>G33-G31</f>
        <v>0</v>
      </c>
      <c r="H32" s="428" t="str">
        <f>B9</f>
        <v>Lay Foundation</v>
      </c>
      <c r="I32" s="429"/>
      <c r="L32" s="62">
        <f>L33-L31</f>
        <v>0</v>
      </c>
      <c r="M32" s="428" t="str">
        <f>B10</f>
        <v>Build Frame</v>
      </c>
      <c r="N32" s="429"/>
      <c r="U32" s="20"/>
      <c r="V32" s="20"/>
      <c r="W32" s="20"/>
    </row>
    <row r="33" spans="3:23" ht="15.75" thickBot="1" x14ac:dyDescent="0.3">
      <c r="G33" s="60">
        <f>I33-H33</f>
        <v>11.333333333333325</v>
      </c>
      <c r="H33" s="56">
        <f>H9</f>
        <v>16.333333333333332</v>
      </c>
      <c r="I33" s="59">
        <f>L33</f>
        <v>27.666666666666657</v>
      </c>
      <c r="L33" s="60">
        <f>N33-M33</f>
        <v>27.666666666666657</v>
      </c>
      <c r="M33" s="56">
        <f>H10</f>
        <v>19</v>
      </c>
      <c r="N33" s="59">
        <f>MIN(P28,P38)</f>
        <v>46.666666666666657</v>
      </c>
      <c r="U33" s="58">
        <f>MAX(R26,R36)</f>
        <v>67.333333333333329</v>
      </c>
      <c r="V33" s="8" t="s">
        <v>85</v>
      </c>
      <c r="W33" s="57">
        <f>U33+V35</f>
        <v>90.166666666666657</v>
      </c>
    </row>
    <row r="34" spans="3:23" x14ac:dyDescent="0.25">
      <c r="C34" s="13">
        <v>0</v>
      </c>
      <c r="D34" s="8" t="s">
        <v>71</v>
      </c>
      <c r="E34" s="57">
        <f>C34+D36</f>
        <v>11.333333333333332</v>
      </c>
      <c r="U34" s="61">
        <f>U35-U33</f>
        <v>1</v>
      </c>
      <c r="V34" s="428" t="str">
        <f>B14</f>
        <v>Plumbing</v>
      </c>
      <c r="W34" s="429"/>
    </row>
    <row r="35" spans="3:23" ht="15.75" thickBot="1" x14ac:dyDescent="0.3">
      <c r="C35" s="62">
        <f>C36-C34</f>
        <v>0</v>
      </c>
      <c r="D35" s="428" t="str">
        <f>B8</f>
        <v>Site Preparation</v>
      </c>
      <c r="E35" s="429"/>
      <c r="U35" s="60">
        <f>W35-V35</f>
        <v>68.333333333333329</v>
      </c>
      <c r="V35" s="56">
        <f>H14</f>
        <v>22.833333333333332</v>
      </c>
      <c r="W35" s="59">
        <f>Y29</f>
        <v>91.166666666666657</v>
      </c>
    </row>
    <row r="36" spans="3:23" ht="15.75" thickBot="1" x14ac:dyDescent="0.3">
      <c r="C36" s="60">
        <f>E36-D36</f>
        <v>0</v>
      </c>
      <c r="D36" s="56">
        <f>H8</f>
        <v>11.333333333333332</v>
      </c>
      <c r="E36" s="59">
        <f>G33</f>
        <v>11.333333333333325</v>
      </c>
      <c r="P36" s="58">
        <f>N31</f>
        <v>46.666666666666664</v>
      </c>
      <c r="Q36" s="8" t="s">
        <v>80</v>
      </c>
      <c r="R36" s="57">
        <f>P36+Q38</f>
        <v>67</v>
      </c>
    </row>
    <row r="37" spans="3:23" x14ac:dyDescent="0.25">
      <c r="P37" s="61">
        <f>P38-P36</f>
        <v>0.3333333333333357</v>
      </c>
      <c r="Q37" s="428" t="str">
        <f>B12</f>
        <v>Install Roof</v>
      </c>
      <c r="R37" s="429"/>
    </row>
    <row r="38" spans="3:23" ht="15.75" thickBot="1" x14ac:dyDescent="0.3">
      <c r="P38" s="60">
        <f>R38-Q38</f>
        <v>47</v>
      </c>
      <c r="Q38" s="56">
        <f>H12</f>
        <v>20.333333333333332</v>
      </c>
      <c r="R38" s="59">
        <f>MIN(U24,U35)</f>
        <v>67.333333333333329</v>
      </c>
    </row>
  </sheetData>
  <mergeCells count="24">
    <mergeCell ref="Q37:R37"/>
    <mergeCell ref="S6:W6"/>
    <mergeCell ref="D29:E29"/>
    <mergeCell ref="V31:W31"/>
    <mergeCell ref="H32:I32"/>
    <mergeCell ref="M32:N32"/>
    <mergeCell ref="V34:W34"/>
    <mergeCell ref="D35:E35"/>
    <mergeCell ref="M5:M6"/>
    <mergeCell ref="J18:K18"/>
    <mergeCell ref="V23:W23"/>
    <mergeCell ref="Q27:R27"/>
    <mergeCell ref="Z28:AA28"/>
    <mergeCell ref="AD28:AE28"/>
    <mergeCell ref="L2:S3"/>
    <mergeCell ref="B5:B6"/>
    <mergeCell ref="C5:C6"/>
    <mergeCell ref="D5:F5"/>
    <mergeCell ref="G5:G6"/>
    <mergeCell ref="H5:H6"/>
    <mergeCell ref="I5:I6"/>
    <mergeCell ref="J5:J6"/>
    <mergeCell ref="K5:K6"/>
    <mergeCell ref="L5:L6"/>
  </mergeCells>
  <conditionalFormatting sqref="C28:E30">
    <cfRule type="expression" dxfId="25" priority="11">
      <formula>$C$29=0</formula>
    </cfRule>
    <cfRule type="cellIs" dxfId="24" priority="13" operator="equal">
      <formula>$C$29=0</formula>
    </cfRule>
  </conditionalFormatting>
  <conditionalFormatting sqref="C34:E36">
    <cfRule type="expression" dxfId="23" priority="10">
      <formula>$C$35=0</formula>
    </cfRule>
    <cfRule type="cellIs" dxfId="22" priority="12" operator="equal">
      <formula>$C$35=0</formula>
    </cfRule>
  </conditionalFormatting>
  <conditionalFormatting sqref="G31:I33">
    <cfRule type="expression" dxfId="21" priority="9">
      <formula>$G$32=0</formula>
    </cfRule>
  </conditionalFormatting>
  <conditionalFormatting sqref="L31:N33">
    <cfRule type="expression" dxfId="20" priority="8">
      <formula>$L$32=0</formula>
    </cfRule>
  </conditionalFormatting>
  <conditionalFormatting sqref="P26:R28">
    <cfRule type="expression" dxfId="19" priority="7">
      <formula>$P$27=0</formula>
    </cfRule>
  </conditionalFormatting>
  <conditionalFormatting sqref="P36:R38">
    <cfRule type="expression" dxfId="18" priority="6">
      <formula>$P$37=0</formula>
    </cfRule>
  </conditionalFormatting>
  <conditionalFormatting sqref="U22:W24">
    <cfRule type="expression" dxfId="17" priority="5">
      <formula>$U$23=0</formula>
    </cfRule>
  </conditionalFormatting>
  <conditionalFormatting sqref="U33:W35">
    <cfRule type="expression" dxfId="16" priority="4">
      <formula>$U$34=0</formula>
    </cfRule>
  </conditionalFormatting>
  <conditionalFormatting sqref="Y27:AA29">
    <cfRule type="expression" dxfId="15" priority="3">
      <formula>$Y$28=0</formula>
    </cfRule>
  </conditionalFormatting>
  <conditionalFormatting sqref="AC27:AE27 AC29:AE29 AC28">
    <cfRule type="expression" dxfId="14" priority="2">
      <formula>$AC$28=0</formula>
    </cfRule>
  </conditionalFormatting>
  <conditionalFormatting sqref="AD28:AE28">
    <cfRule type="expression" dxfId="13" priority="1">
      <formula>$P$27=0</formula>
    </cfRule>
  </conditionalFormatting>
  <dataValidations disablePrompts="1" count="1">
    <dataValidation type="list" allowBlank="1" showInputMessage="1" showErrorMessage="1" sqref="T8:T14" xr:uid="{926A905F-6A85-4D1B-B588-BB6ADD35F746}">
      <formula1>$Z$8:$Z$12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4BE9-837E-41BD-AD37-DA723022754F}">
  <dimension ref="B1:AE38"/>
  <sheetViews>
    <sheetView showGridLines="0" topLeftCell="F3" zoomScale="62" zoomScaleNormal="62" workbookViewId="0">
      <selection activeCell="I41" sqref="I41"/>
    </sheetView>
  </sheetViews>
  <sheetFormatPr defaultRowHeight="15" x14ac:dyDescent="0.25"/>
  <cols>
    <col min="2" max="2" width="17.140625" bestFit="1" customWidth="1"/>
    <col min="4" max="4" width="17.7109375" customWidth="1"/>
    <col min="5" max="5" width="11.7109375" bestFit="1" customWidth="1"/>
    <col min="6" max="6" width="15" bestFit="1" customWidth="1"/>
    <col min="7" max="7" width="13.5703125" customWidth="1"/>
    <col min="8" max="8" width="14.7109375" customWidth="1"/>
    <col min="9" max="9" width="19.28515625" bestFit="1" customWidth="1"/>
    <col min="10" max="10" width="14.28515625" style="85" customWidth="1"/>
    <col min="11" max="11" width="18" bestFit="1" customWidth="1"/>
    <col min="12" max="12" width="16" customWidth="1"/>
    <col min="13" max="13" width="17.28515625" customWidth="1"/>
    <col min="15" max="15" width="29" bestFit="1" customWidth="1"/>
    <col min="16" max="16" width="14.85546875" customWidth="1"/>
    <col min="17" max="17" width="10.28515625" bestFit="1" customWidth="1"/>
    <col min="19" max="19" width="29" bestFit="1" customWidth="1"/>
    <col min="20" max="20" width="19.42578125" bestFit="1" customWidth="1"/>
    <col min="21" max="21" width="18.7109375" bestFit="1" customWidth="1"/>
  </cols>
  <sheetData>
    <row r="1" spans="2:26" ht="15.75" thickBot="1" x14ac:dyDescent="0.3">
      <c r="C1" s="85"/>
      <c r="D1" s="85"/>
      <c r="E1" s="85"/>
      <c r="F1" s="85"/>
    </row>
    <row r="2" spans="2:26" ht="15.75" thickBot="1" x14ac:dyDescent="0.3">
      <c r="C2" s="85"/>
      <c r="D2" s="85"/>
      <c r="E2" s="85"/>
      <c r="F2" s="85"/>
      <c r="L2" s="419" t="s">
        <v>138</v>
      </c>
      <c r="M2" s="420"/>
      <c r="N2" s="420"/>
      <c r="O2" s="420"/>
      <c r="P2" s="420"/>
      <c r="Q2" s="420"/>
      <c r="R2" s="420"/>
      <c r="S2" s="421"/>
    </row>
    <row r="3" spans="2:26" ht="21.75" thickBot="1" x14ac:dyDescent="0.4">
      <c r="B3" s="79" t="s">
        <v>111</v>
      </c>
      <c r="C3" s="265"/>
      <c r="D3" s="266">
        <f>DATE(2022,10,31)</f>
        <v>44865</v>
      </c>
      <c r="E3" s="85"/>
      <c r="F3" s="85"/>
      <c r="L3" s="422"/>
      <c r="M3" s="423"/>
      <c r="N3" s="423"/>
      <c r="O3" s="423"/>
      <c r="P3" s="423"/>
      <c r="Q3" s="423"/>
      <c r="R3" s="423"/>
      <c r="S3" s="424"/>
    </row>
    <row r="4" spans="2:26" ht="15.75" thickBot="1" x14ac:dyDescent="0.3">
      <c r="C4" s="85"/>
      <c r="D4" s="85"/>
      <c r="E4" s="85"/>
      <c r="F4" s="85"/>
    </row>
    <row r="5" spans="2:26" ht="15.75" customHeight="1" thickBot="1" x14ac:dyDescent="0.3">
      <c r="B5" s="439" t="s">
        <v>58</v>
      </c>
      <c r="C5" s="441" t="s">
        <v>59</v>
      </c>
      <c r="D5" s="443" t="s">
        <v>92</v>
      </c>
      <c r="E5" s="443"/>
      <c r="F5" s="441"/>
      <c r="G5" s="444" t="s">
        <v>93</v>
      </c>
      <c r="H5" s="444" t="s">
        <v>147</v>
      </c>
      <c r="I5" s="444" t="s">
        <v>95</v>
      </c>
      <c r="J5" s="444" t="s">
        <v>96</v>
      </c>
      <c r="K5" s="444" t="s">
        <v>97</v>
      </c>
      <c r="L5" s="444" t="s">
        <v>98</v>
      </c>
      <c r="M5" s="444" t="s">
        <v>99</v>
      </c>
    </row>
    <row r="6" spans="2:26" ht="21.75" thickBot="1" x14ac:dyDescent="0.4">
      <c r="B6" s="440"/>
      <c r="C6" s="442"/>
      <c r="D6" s="242" t="s">
        <v>64</v>
      </c>
      <c r="E6" s="242" t="s">
        <v>65</v>
      </c>
      <c r="F6" s="242" t="s">
        <v>66</v>
      </c>
      <c r="G6" s="445"/>
      <c r="H6" s="446"/>
      <c r="I6" s="446"/>
      <c r="J6" s="446"/>
      <c r="K6" s="446"/>
      <c r="L6" s="445"/>
      <c r="M6" s="445"/>
      <c r="S6" s="405" t="s">
        <v>134</v>
      </c>
      <c r="T6" s="405"/>
      <c r="U6" s="405"/>
      <c r="V6" s="405"/>
      <c r="W6" s="405"/>
    </row>
    <row r="7" spans="2:26" ht="21.75" thickBot="1" x14ac:dyDescent="0.4">
      <c r="B7" s="341" t="str" cm="1">
        <f t="array" ref="B7:B16">'[1]Project managemet-Master'!C5:C14</f>
        <v>Building Design</v>
      </c>
      <c r="C7" s="244" t="str" cm="1">
        <f t="array" ref="C7:C16">'[1]Project managemet-Master'!D5:D14</f>
        <v>A</v>
      </c>
      <c r="D7" s="244" cm="1">
        <f t="array" ref="D7:D16">'[1]Project managemet-Master'!F5:F14</f>
        <v>9</v>
      </c>
      <c r="E7" s="244" cm="1">
        <f t="array" ref="E7:E16">'[1]Project managemet-Master'!G5:G14</f>
        <v>9</v>
      </c>
      <c r="F7" s="244" cm="1">
        <f t="array" ref="F7:F16">'[1]Project managemet-Master'!H5:H14</f>
        <v>9</v>
      </c>
      <c r="G7" s="245" cm="1">
        <f t="array" ref="G7:G16">'[1]Project managemet-Master'!I5:I14</f>
        <v>1000</v>
      </c>
      <c r="H7" s="246">
        <f>(D7+(4*E7)+F7)/6</f>
        <v>9</v>
      </c>
      <c r="I7" s="246">
        <f>((F7-D7)/6)^2</f>
        <v>0</v>
      </c>
      <c r="J7" s="247">
        <f>C29</f>
        <v>11.333333333333325</v>
      </c>
      <c r="K7" s="248" t="str">
        <f>IF(J7&gt;0,"No","Yes")</f>
        <v>No</v>
      </c>
      <c r="L7" s="249">
        <f>IF(K7="No",0,H7)</f>
        <v>0</v>
      </c>
      <c r="M7" s="249">
        <f>IF(K7="No",0,I7)</f>
        <v>0</v>
      </c>
      <c r="O7" s="448"/>
      <c r="P7" s="448"/>
      <c r="S7" s="112" t="s">
        <v>58</v>
      </c>
      <c r="T7" s="113" t="s">
        <v>133</v>
      </c>
      <c r="U7" s="113" t="s">
        <v>148</v>
      </c>
      <c r="V7" s="89"/>
      <c r="W7" s="89"/>
      <c r="Z7">
        <v>0</v>
      </c>
    </row>
    <row r="8" spans="2:26" ht="21" x14ac:dyDescent="0.35">
      <c r="B8" s="342" t="str">
        <v>Site Preparation</v>
      </c>
      <c r="C8" s="251" t="str">
        <v>B</v>
      </c>
      <c r="D8" s="251">
        <v>10</v>
      </c>
      <c r="E8" s="251">
        <v>16</v>
      </c>
      <c r="F8" s="251">
        <v>24</v>
      </c>
      <c r="G8" s="245">
        <v>8000</v>
      </c>
      <c r="H8" s="246">
        <f>(D8+(4*E8)+F8)/6 -T13</f>
        <v>11.333333333333332</v>
      </c>
      <c r="I8" s="246">
        <f t="shared" ref="I8:I16" si="0">((F8-D8)/6)^2</f>
        <v>5.4444444444444455</v>
      </c>
      <c r="J8" s="252">
        <f>C35</f>
        <v>0</v>
      </c>
      <c r="K8" s="253" t="str">
        <f t="shared" ref="K8:K16" si="1">IF(J8&gt;0,"No","Yes")</f>
        <v>Yes</v>
      </c>
      <c r="L8" s="254">
        <f>IF(K8="No",0,H8)</f>
        <v>11.333333333333332</v>
      </c>
      <c r="M8" s="255">
        <f>IF(K8="No",0,I8)</f>
        <v>5.4444444444444455</v>
      </c>
      <c r="O8" s="112" t="s">
        <v>142</v>
      </c>
      <c r="P8" s="344">
        <f>(D3-K21)+1</f>
        <v>153</v>
      </c>
      <c r="Q8" s="89" t="s">
        <v>112</v>
      </c>
      <c r="S8" s="342" t="s">
        <v>132</v>
      </c>
      <c r="T8" s="199">
        <v>5</v>
      </c>
      <c r="U8" s="267">
        <f>T8*G16</f>
        <v>10000</v>
      </c>
      <c r="V8" s="89"/>
      <c r="W8" s="89"/>
      <c r="Z8">
        <v>1</v>
      </c>
    </row>
    <row r="9" spans="2:26" ht="21" x14ac:dyDescent="0.35">
      <c r="B9" s="342" t="str">
        <v>Lay Foundation</v>
      </c>
      <c r="C9" s="251" t="str">
        <v>C</v>
      </c>
      <c r="D9" s="251">
        <v>14</v>
      </c>
      <c r="E9" s="251">
        <v>21</v>
      </c>
      <c r="F9" s="251">
        <v>30</v>
      </c>
      <c r="G9" s="245">
        <v>12000</v>
      </c>
      <c r="H9" s="246">
        <f>(D9+(4*E9)+F9)/6-T14</f>
        <v>16.333333333333332</v>
      </c>
      <c r="I9" s="246">
        <f t="shared" si="0"/>
        <v>7.1111111111111107</v>
      </c>
      <c r="J9" s="252">
        <f>G32</f>
        <v>0</v>
      </c>
      <c r="K9" s="253" t="str">
        <f t="shared" si="1"/>
        <v>Yes</v>
      </c>
      <c r="L9" s="254">
        <f t="shared" ref="L9:L16" si="2">IF(K9="No",0,H9)</f>
        <v>16.333333333333332</v>
      </c>
      <c r="M9" s="255">
        <f>IF(K9="No",0,I9)</f>
        <v>7.1111111111111107</v>
      </c>
      <c r="O9" s="345" t="s">
        <v>102</v>
      </c>
      <c r="P9" s="254">
        <f>ROUNDUP(L17,0)</f>
        <v>119</v>
      </c>
      <c r="Q9" s="89" t="s">
        <v>112</v>
      </c>
      <c r="S9" s="342" t="s">
        <v>86</v>
      </c>
      <c r="T9" s="199">
        <v>5</v>
      </c>
      <c r="U9" s="267">
        <f>T9*G15</f>
        <v>10500</v>
      </c>
      <c r="V9" s="89"/>
      <c r="W9" s="89"/>
      <c r="Z9">
        <v>2</v>
      </c>
    </row>
    <row r="10" spans="2:26" ht="21" x14ac:dyDescent="0.35">
      <c r="B10" s="342" t="str">
        <v>Build Frame</v>
      </c>
      <c r="C10" s="251" t="str">
        <v>D</v>
      </c>
      <c r="D10" s="251">
        <v>15</v>
      </c>
      <c r="E10" s="251">
        <v>24</v>
      </c>
      <c r="F10" s="251">
        <v>33</v>
      </c>
      <c r="G10" s="245">
        <v>4000</v>
      </c>
      <c r="H10" s="246">
        <f>(D10+(4*E10)+F10)/6-T12</f>
        <v>19</v>
      </c>
      <c r="I10" s="246">
        <f t="shared" si="0"/>
        <v>9</v>
      </c>
      <c r="J10" s="252">
        <f>L32</f>
        <v>0</v>
      </c>
      <c r="K10" s="253" t="str">
        <f t="shared" si="1"/>
        <v>Yes</v>
      </c>
      <c r="L10" s="254">
        <f t="shared" si="2"/>
        <v>19</v>
      </c>
      <c r="M10" s="255">
        <f t="shared" ref="M10:M16" si="3">IF(K10="No",0,I10)</f>
        <v>9</v>
      </c>
      <c r="O10" s="345" t="s">
        <v>114</v>
      </c>
      <c r="P10" s="254">
        <f>SQRT(M17)</f>
        <v>6.5722480510434513</v>
      </c>
      <c r="Q10" s="89"/>
      <c r="S10" s="342" t="s">
        <v>135</v>
      </c>
      <c r="T10" s="199">
        <v>4</v>
      </c>
      <c r="U10" s="267">
        <f>T10*G11</f>
        <v>9200</v>
      </c>
      <c r="V10" s="89"/>
      <c r="W10" s="89"/>
      <c r="Z10">
        <v>3</v>
      </c>
    </row>
    <row r="11" spans="2:26" ht="21" x14ac:dyDescent="0.35">
      <c r="B11" s="342" t="str">
        <v>Install Siding</v>
      </c>
      <c r="C11" s="251" t="str">
        <v>E</v>
      </c>
      <c r="D11" s="251">
        <v>18</v>
      </c>
      <c r="E11" s="251">
        <v>25</v>
      </c>
      <c r="F11" s="251">
        <v>30</v>
      </c>
      <c r="G11" s="245">
        <v>2300</v>
      </c>
      <c r="H11" s="246">
        <f>(D11+(4*E11)+F11)/6-T10</f>
        <v>20.666666666666668</v>
      </c>
      <c r="I11" s="246">
        <f t="shared" si="0"/>
        <v>4</v>
      </c>
      <c r="J11" s="252">
        <f>P27</f>
        <v>0</v>
      </c>
      <c r="K11" s="253" t="str">
        <f t="shared" si="1"/>
        <v>Yes</v>
      </c>
      <c r="L11" s="254">
        <f t="shared" si="2"/>
        <v>20.666666666666668</v>
      </c>
      <c r="M11" s="255">
        <f t="shared" si="3"/>
        <v>4</v>
      </c>
      <c r="O11" s="345" t="s">
        <v>113</v>
      </c>
      <c r="P11" s="346">
        <f>(D-P9)/P10</f>
        <v>5.1732679192779321</v>
      </c>
      <c r="Q11" s="89"/>
      <c r="S11" s="342" t="s">
        <v>81</v>
      </c>
      <c r="T11" s="199">
        <v>2</v>
      </c>
      <c r="U11" s="267">
        <f>G13*T11</f>
        <v>5000</v>
      </c>
      <c r="V11" s="89"/>
      <c r="W11" s="89"/>
      <c r="Z11">
        <v>4</v>
      </c>
    </row>
    <row r="12" spans="2:26" ht="62.25" customHeight="1" thickBot="1" x14ac:dyDescent="0.4">
      <c r="B12" s="342" t="str">
        <v>Install Roof</v>
      </c>
      <c r="C12" s="251" t="str">
        <v>F</v>
      </c>
      <c r="D12" s="251">
        <v>17</v>
      </c>
      <c r="E12" s="251">
        <v>20</v>
      </c>
      <c r="F12" s="251">
        <v>25</v>
      </c>
      <c r="G12" s="245">
        <v>2400</v>
      </c>
      <c r="H12" s="246">
        <f>(D12+(4*E12)+F12)/6</f>
        <v>20.333333333333332</v>
      </c>
      <c r="I12" s="246">
        <f t="shared" si="0"/>
        <v>1.7777777777777777</v>
      </c>
      <c r="J12" s="246">
        <f>P37</f>
        <v>0.3333333333333357</v>
      </c>
      <c r="K12" s="253" t="str">
        <f t="shared" si="1"/>
        <v>No</v>
      </c>
      <c r="L12" s="254">
        <f t="shared" si="2"/>
        <v>0</v>
      </c>
      <c r="M12" s="255">
        <f t="shared" si="3"/>
        <v>0</v>
      </c>
      <c r="O12" s="347" t="s">
        <v>115</v>
      </c>
      <c r="P12" s="262">
        <f>_xlfn.NORM.S.DIST(P11,TRUE)</f>
        <v>0.99999988498260128</v>
      </c>
      <c r="Q12" s="348">
        <f>P12</f>
        <v>0.99999988498260128</v>
      </c>
      <c r="S12" s="342" t="s">
        <v>136</v>
      </c>
      <c r="T12" s="199">
        <v>5</v>
      </c>
      <c r="U12" s="267">
        <f>G10*T12</f>
        <v>20000</v>
      </c>
      <c r="V12" s="89"/>
      <c r="W12" s="89"/>
      <c r="Z12">
        <v>5</v>
      </c>
    </row>
    <row r="13" spans="2:26" ht="21" x14ac:dyDescent="0.35">
      <c r="B13" s="342" t="str">
        <v>Electrical</v>
      </c>
      <c r="C13" s="251" t="str">
        <v>G</v>
      </c>
      <c r="D13" s="251">
        <v>14</v>
      </c>
      <c r="E13" s="251">
        <v>27</v>
      </c>
      <c r="F13" s="251">
        <v>33</v>
      </c>
      <c r="G13" s="245">
        <v>2500</v>
      </c>
      <c r="H13" s="246">
        <f>(D13+(4*E13)+F13)/6-T11</f>
        <v>23.833333333333332</v>
      </c>
      <c r="I13" s="246">
        <f t="shared" si="0"/>
        <v>10.027777777777777</v>
      </c>
      <c r="J13" s="252">
        <f>U23</f>
        <v>0</v>
      </c>
      <c r="K13" s="253" t="str">
        <f t="shared" si="1"/>
        <v>Yes</v>
      </c>
      <c r="L13" s="254">
        <f t="shared" si="2"/>
        <v>23.833333333333332</v>
      </c>
      <c r="M13" s="255">
        <f t="shared" si="3"/>
        <v>10.027777777777777</v>
      </c>
      <c r="O13" s="349"/>
      <c r="P13" s="350"/>
      <c r="S13" s="342" t="s">
        <v>137</v>
      </c>
      <c r="T13" s="199">
        <v>5</v>
      </c>
      <c r="U13" s="267">
        <f>T13*G8</f>
        <v>40000</v>
      </c>
      <c r="V13" s="89"/>
      <c r="W13" s="89"/>
    </row>
    <row r="14" spans="2:26" ht="21.75" thickBot="1" x14ac:dyDescent="0.4">
      <c r="B14" s="342" t="str">
        <v>Plumbing</v>
      </c>
      <c r="C14" s="251" t="str">
        <v>H</v>
      </c>
      <c r="D14" s="251">
        <v>19</v>
      </c>
      <c r="E14" s="251">
        <v>22</v>
      </c>
      <c r="F14" s="251">
        <v>30</v>
      </c>
      <c r="G14" s="245">
        <v>2500</v>
      </c>
      <c r="H14" s="246">
        <f t="shared" ref="H14" si="4">(D14+(4*E14)+F14)/6</f>
        <v>22.833333333333332</v>
      </c>
      <c r="I14" s="246">
        <f t="shared" si="0"/>
        <v>3.3611111111111107</v>
      </c>
      <c r="J14" s="246">
        <f>U34</f>
        <v>1</v>
      </c>
      <c r="K14" s="253" t="str">
        <f t="shared" si="1"/>
        <v>No</v>
      </c>
      <c r="L14" s="254">
        <f t="shared" si="2"/>
        <v>0</v>
      </c>
      <c r="M14" s="255">
        <f t="shared" si="3"/>
        <v>0</v>
      </c>
      <c r="O14" s="349"/>
      <c r="P14" s="350"/>
      <c r="S14" s="342" t="s">
        <v>144</v>
      </c>
      <c r="T14" s="351">
        <v>5</v>
      </c>
      <c r="U14" s="270">
        <f>T14*G9</f>
        <v>60000</v>
      </c>
      <c r="V14" s="89"/>
      <c r="W14" s="89"/>
    </row>
    <row r="15" spans="2:26" ht="21.75" thickBot="1" x14ac:dyDescent="0.4">
      <c r="B15" s="342" t="str">
        <v>Finish Interior</v>
      </c>
      <c r="C15" s="251" t="str">
        <v>I</v>
      </c>
      <c r="D15" s="251">
        <v>20</v>
      </c>
      <c r="E15" s="251">
        <v>24</v>
      </c>
      <c r="F15" s="251">
        <v>35</v>
      </c>
      <c r="G15" s="245">
        <v>2100</v>
      </c>
      <c r="H15" s="246">
        <f>(D15+(4*E15)+F15)/6-T9</f>
        <v>20.166666666666668</v>
      </c>
      <c r="I15" s="246">
        <f t="shared" si="0"/>
        <v>6.25</v>
      </c>
      <c r="J15" s="252">
        <f>Y28</f>
        <v>0</v>
      </c>
      <c r="K15" s="253" t="str">
        <f t="shared" si="1"/>
        <v>Yes</v>
      </c>
      <c r="L15" s="254">
        <f t="shared" si="2"/>
        <v>20.166666666666668</v>
      </c>
      <c r="M15" s="255">
        <f t="shared" si="3"/>
        <v>6.25</v>
      </c>
      <c r="S15" s="114" t="s">
        <v>145</v>
      </c>
      <c r="T15" s="352">
        <f>SUM(T8:T14)</f>
        <v>31</v>
      </c>
      <c r="U15" s="89" t="s">
        <v>112</v>
      </c>
      <c r="V15" s="89"/>
      <c r="W15" s="89"/>
    </row>
    <row r="16" spans="2:26" ht="21.75" thickBot="1" x14ac:dyDescent="0.4">
      <c r="B16" s="343" t="str">
        <v>Furnishings</v>
      </c>
      <c r="C16" s="257" t="str">
        <v>J</v>
      </c>
      <c r="D16" s="257">
        <v>8</v>
      </c>
      <c r="E16" s="257">
        <v>13</v>
      </c>
      <c r="F16" s="257">
        <v>15</v>
      </c>
      <c r="G16" s="258">
        <v>2000</v>
      </c>
      <c r="H16" s="259">
        <f>(D16+(4*E16)+F16)/6-T8</f>
        <v>7.5</v>
      </c>
      <c r="I16" s="259">
        <f t="shared" si="0"/>
        <v>1.3611111111111114</v>
      </c>
      <c r="J16" s="260">
        <f>AC28</f>
        <v>0</v>
      </c>
      <c r="K16" s="261" t="str">
        <f t="shared" si="1"/>
        <v>Yes</v>
      </c>
      <c r="L16" s="262">
        <f t="shared" si="2"/>
        <v>7.5</v>
      </c>
      <c r="M16" s="263">
        <f t="shared" si="3"/>
        <v>1.3611111111111114</v>
      </c>
      <c r="S16" s="114" t="s">
        <v>146</v>
      </c>
      <c r="T16" s="115">
        <f>SUM(U8:U14)</f>
        <v>154700</v>
      </c>
      <c r="U16" s="89"/>
      <c r="V16" s="89"/>
      <c r="W16" s="89"/>
    </row>
    <row r="17" spans="2:31" ht="21.75" thickBot="1" x14ac:dyDescent="0.4">
      <c r="B17" s="89"/>
      <c r="C17" s="89"/>
      <c r="D17" s="89"/>
      <c r="E17" s="89"/>
      <c r="F17" s="89"/>
      <c r="G17" s="89"/>
      <c r="H17" s="89"/>
      <c r="I17" s="89"/>
      <c r="J17" s="264"/>
      <c r="K17" s="89"/>
      <c r="L17" s="74">
        <f>SUM(L7:L16)</f>
        <v>118.83333333333333</v>
      </c>
      <c r="M17" s="75">
        <f>SUM(M7:M16)</f>
        <v>43.19444444444445</v>
      </c>
    </row>
    <row r="18" spans="2:31" ht="21" x14ac:dyDescent="0.35">
      <c r="B18" s="89"/>
      <c r="C18" s="89"/>
      <c r="D18" s="89"/>
      <c r="E18" s="89"/>
      <c r="F18" s="89"/>
      <c r="G18" s="89"/>
      <c r="H18" s="89"/>
      <c r="I18" s="89"/>
      <c r="J18" s="405"/>
      <c r="K18" s="405"/>
      <c r="L18" s="264" t="s">
        <v>100</v>
      </c>
      <c r="M18" s="264" t="s">
        <v>100</v>
      </c>
    </row>
    <row r="19" spans="2:31" x14ac:dyDescent="0.25">
      <c r="K19" s="353"/>
      <c r="L19" s="76"/>
      <c r="U19" s="93"/>
    </row>
    <row r="20" spans="2:31" ht="15.75" thickBot="1" x14ac:dyDescent="0.3">
      <c r="K20" s="353"/>
      <c r="L20" s="76"/>
    </row>
    <row r="21" spans="2:31" ht="21.75" thickBot="1" x14ac:dyDescent="0.4">
      <c r="J21" s="196" t="s">
        <v>104</v>
      </c>
      <c r="K21" s="354">
        <f>DATE(2022,6,1)</f>
        <v>44713</v>
      </c>
    </row>
    <row r="22" spans="2:31" x14ac:dyDescent="0.25">
      <c r="K22" s="355"/>
      <c r="U22" s="58">
        <f>MAX(R26,R36)</f>
        <v>67.333333333333329</v>
      </c>
      <c r="V22" s="8" t="s">
        <v>82</v>
      </c>
      <c r="W22" s="57">
        <f>U22+V24</f>
        <v>91.166666666666657</v>
      </c>
    </row>
    <row r="23" spans="2:31" x14ac:dyDescent="0.25">
      <c r="K23" s="355"/>
      <c r="U23" s="62">
        <f>U24-U22</f>
        <v>0</v>
      </c>
      <c r="V23" s="428" t="str">
        <f>B13</f>
        <v>Electrical</v>
      </c>
      <c r="W23" s="429"/>
    </row>
    <row r="24" spans="2:31" ht="15.75" thickBot="1" x14ac:dyDescent="0.3">
      <c r="K24" s="355"/>
      <c r="U24" s="60">
        <f>W24-V24</f>
        <v>67.333333333333329</v>
      </c>
      <c r="V24" s="56">
        <f>H13</f>
        <v>23.833333333333332</v>
      </c>
      <c r="W24" s="59">
        <f>Y29</f>
        <v>91.166666666666657</v>
      </c>
    </row>
    <row r="25" spans="2:31" ht="15.75" thickBot="1" x14ac:dyDescent="0.3">
      <c r="K25" s="355"/>
    </row>
    <row r="26" spans="2:31" ht="15.75" thickBot="1" x14ac:dyDescent="0.3">
      <c r="K26" s="355"/>
      <c r="P26" s="58">
        <f>N31</f>
        <v>46.666666666666664</v>
      </c>
      <c r="Q26" s="8" t="s">
        <v>78</v>
      </c>
      <c r="R26" s="57">
        <f>P26+Q28</f>
        <v>67.333333333333329</v>
      </c>
    </row>
    <row r="27" spans="2:31" ht="15.75" thickBot="1" x14ac:dyDescent="0.3">
      <c r="P27" s="62">
        <f>P28-P26</f>
        <v>0</v>
      </c>
      <c r="Q27" s="428" t="str">
        <f>B11</f>
        <v>Install Siding</v>
      </c>
      <c r="R27" s="429"/>
      <c r="Y27" s="58">
        <f>MAX(W22,W33)</f>
        <v>91.166666666666657</v>
      </c>
      <c r="Z27" s="8" t="s">
        <v>87</v>
      </c>
      <c r="AA27" s="57">
        <f>Y27+Z29</f>
        <v>111.33333333333333</v>
      </c>
      <c r="AC27" s="58">
        <f>AA27</f>
        <v>111.33333333333333</v>
      </c>
      <c r="AD27" s="8" t="s">
        <v>90</v>
      </c>
      <c r="AE27" s="57">
        <f>AC27+AD29</f>
        <v>123.83333333333333</v>
      </c>
    </row>
    <row r="28" spans="2:31" ht="15.75" thickBot="1" x14ac:dyDescent="0.3">
      <c r="C28" s="13">
        <v>0</v>
      </c>
      <c r="D28" s="8" t="s">
        <v>68</v>
      </c>
      <c r="E28" s="57">
        <f>C28+D30</f>
        <v>9</v>
      </c>
      <c r="P28" s="60">
        <f>R28-Q28</f>
        <v>46.666666666666657</v>
      </c>
      <c r="Q28" s="56">
        <f>H11</f>
        <v>20.666666666666668</v>
      </c>
      <c r="R28" s="59">
        <f>MIN(U24,U35)</f>
        <v>67.333333333333329</v>
      </c>
      <c r="Y28" s="62">
        <f>Y29-Y27</f>
        <v>0</v>
      </c>
      <c r="Z28" s="428" t="str">
        <f>B15</f>
        <v>Finish Interior</v>
      </c>
      <c r="AA28" s="429"/>
      <c r="AC28" s="61">
        <f>AC29-AC27</f>
        <v>0</v>
      </c>
      <c r="AD28" s="428" t="str">
        <f>B16</f>
        <v>Furnishings</v>
      </c>
      <c r="AE28" s="429"/>
    </row>
    <row r="29" spans="2:31" ht="15.75" thickBot="1" x14ac:dyDescent="0.3">
      <c r="C29" s="61">
        <f>C30-C28</f>
        <v>11.333333333333325</v>
      </c>
      <c r="D29" s="428" t="str">
        <f>B7</f>
        <v>Building Design</v>
      </c>
      <c r="E29" s="429"/>
      <c r="Y29" s="60">
        <f>AA29-Z29</f>
        <v>91.166666666666657</v>
      </c>
      <c r="Z29" s="56">
        <f>H15</f>
        <v>20.166666666666668</v>
      </c>
      <c r="AA29" s="59">
        <f>AC29</f>
        <v>111.33333333333333</v>
      </c>
      <c r="AC29" s="60">
        <f>AE29-AD29</f>
        <v>111.33333333333333</v>
      </c>
      <c r="AD29" s="56">
        <v>12.5</v>
      </c>
      <c r="AE29" s="59">
        <f>AE27</f>
        <v>123.83333333333333</v>
      </c>
    </row>
    <row r="30" spans="2:31" ht="15.75" thickBot="1" x14ac:dyDescent="0.3">
      <c r="C30" s="60">
        <f>E30-B30</f>
        <v>11.333333333333325</v>
      </c>
      <c r="D30" s="56">
        <f>H7</f>
        <v>9</v>
      </c>
      <c r="E30" s="59">
        <f>G33</f>
        <v>11.333333333333325</v>
      </c>
      <c r="V30" s="1"/>
    </row>
    <row r="31" spans="2:31" x14ac:dyDescent="0.25">
      <c r="G31" s="58">
        <f>MAX(E28,E34)</f>
        <v>11.333333333333332</v>
      </c>
      <c r="H31" s="8" t="s">
        <v>73</v>
      </c>
      <c r="I31" s="39">
        <f>G31+H33</f>
        <v>27.666666666666664</v>
      </c>
      <c r="L31" s="58">
        <f>I31</f>
        <v>27.666666666666664</v>
      </c>
      <c r="M31" s="8" t="s">
        <v>76</v>
      </c>
      <c r="N31" s="57">
        <f>L31+M33</f>
        <v>46.666666666666664</v>
      </c>
      <c r="V31" s="388"/>
      <c r="W31" s="388"/>
    </row>
    <row r="32" spans="2:31" ht="15.75" thickBot="1" x14ac:dyDescent="0.3">
      <c r="G32" s="62">
        <f>G33-G31</f>
        <v>0</v>
      </c>
      <c r="H32" s="428" t="str">
        <f>B9</f>
        <v>Lay Foundation</v>
      </c>
      <c r="I32" s="429"/>
      <c r="L32" s="62">
        <f>L33-L31</f>
        <v>0</v>
      </c>
      <c r="M32" s="428" t="str">
        <f>B10</f>
        <v>Build Frame</v>
      </c>
      <c r="N32" s="429"/>
    </row>
    <row r="33" spans="3:23" ht="15.75" thickBot="1" x14ac:dyDescent="0.3">
      <c r="G33" s="60">
        <f>I33-H33</f>
        <v>11.333333333333325</v>
      </c>
      <c r="H33" s="56">
        <f>H9</f>
        <v>16.333333333333332</v>
      </c>
      <c r="I33" s="59">
        <f>L33</f>
        <v>27.666666666666657</v>
      </c>
      <c r="L33" s="60">
        <f>N33-M33</f>
        <v>27.666666666666657</v>
      </c>
      <c r="M33" s="56">
        <f>H10</f>
        <v>19</v>
      </c>
      <c r="N33" s="59">
        <f>MIN(P28,P38)</f>
        <v>46.666666666666657</v>
      </c>
      <c r="U33" s="58">
        <f>MAX(R26,R36)</f>
        <v>67.333333333333329</v>
      </c>
      <c r="V33" s="8" t="s">
        <v>85</v>
      </c>
      <c r="W33" s="57">
        <f>U33+V35</f>
        <v>90.166666666666657</v>
      </c>
    </row>
    <row r="34" spans="3:23" x14ac:dyDescent="0.25">
      <c r="C34" s="13">
        <v>0</v>
      </c>
      <c r="D34" s="8" t="s">
        <v>71</v>
      </c>
      <c r="E34" s="57">
        <f>C34+D36</f>
        <v>11.333333333333332</v>
      </c>
      <c r="U34" s="61">
        <f>U35-U33</f>
        <v>1</v>
      </c>
      <c r="V34" s="428" t="str">
        <f>B14</f>
        <v>Plumbing</v>
      </c>
      <c r="W34" s="429"/>
    </row>
    <row r="35" spans="3:23" ht="15.75" thickBot="1" x14ac:dyDescent="0.3">
      <c r="C35" s="62">
        <f>C36-C34</f>
        <v>0</v>
      </c>
      <c r="D35" s="428" t="str">
        <f>B8</f>
        <v>Site Preparation</v>
      </c>
      <c r="E35" s="429"/>
      <c r="U35" s="60">
        <f>W35-V35</f>
        <v>68.333333333333329</v>
      </c>
      <c r="V35" s="56">
        <f>H14</f>
        <v>22.833333333333332</v>
      </c>
      <c r="W35" s="59">
        <f>Y29</f>
        <v>91.166666666666657</v>
      </c>
    </row>
    <row r="36" spans="3:23" ht="15.75" thickBot="1" x14ac:dyDescent="0.3">
      <c r="C36" s="60">
        <f>E36-D36</f>
        <v>0</v>
      </c>
      <c r="D36" s="56">
        <f>H8</f>
        <v>11.333333333333332</v>
      </c>
      <c r="E36" s="59">
        <f>G33</f>
        <v>11.333333333333325</v>
      </c>
      <c r="P36" s="58">
        <f>N31</f>
        <v>46.666666666666664</v>
      </c>
      <c r="Q36" s="8" t="s">
        <v>80</v>
      </c>
      <c r="R36" s="57">
        <f>P36+Q38</f>
        <v>67</v>
      </c>
    </row>
    <row r="37" spans="3:23" x14ac:dyDescent="0.25">
      <c r="P37" s="61">
        <f>P38-P36</f>
        <v>0.3333333333333357</v>
      </c>
      <c r="Q37" s="428" t="str">
        <f>B12</f>
        <v>Install Roof</v>
      </c>
      <c r="R37" s="429"/>
    </row>
    <row r="38" spans="3:23" ht="15.75" thickBot="1" x14ac:dyDescent="0.3">
      <c r="P38" s="60">
        <f>R38-Q38</f>
        <v>47</v>
      </c>
      <c r="Q38" s="56">
        <f>H12</f>
        <v>20.333333333333332</v>
      </c>
      <c r="R38" s="59">
        <f>MIN(U24,U35)</f>
        <v>67.333333333333329</v>
      </c>
    </row>
  </sheetData>
  <mergeCells count="25">
    <mergeCell ref="Q27:R27"/>
    <mergeCell ref="L2:S3"/>
    <mergeCell ref="B5:B6"/>
    <mergeCell ref="C5:C6"/>
    <mergeCell ref="D5:F5"/>
    <mergeCell ref="G5:G6"/>
    <mergeCell ref="H5:H6"/>
    <mergeCell ref="I5:I6"/>
    <mergeCell ref="J5:J6"/>
    <mergeCell ref="K5:K6"/>
    <mergeCell ref="L5:L6"/>
    <mergeCell ref="M5:M6"/>
    <mergeCell ref="S6:W6"/>
    <mergeCell ref="O7:P7"/>
    <mergeCell ref="J18:K18"/>
    <mergeCell ref="V23:W23"/>
    <mergeCell ref="V34:W34"/>
    <mergeCell ref="D35:E35"/>
    <mergeCell ref="Q37:R37"/>
    <mergeCell ref="Z28:AA28"/>
    <mergeCell ref="AD28:AE28"/>
    <mergeCell ref="D29:E29"/>
    <mergeCell ref="V31:W31"/>
    <mergeCell ref="H32:I32"/>
    <mergeCell ref="M32:N32"/>
  </mergeCells>
  <conditionalFormatting sqref="C28:E30">
    <cfRule type="expression" dxfId="12" priority="11">
      <formula>$C$29=0</formula>
    </cfRule>
    <cfRule type="cellIs" dxfId="11" priority="13" operator="equal">
      <formula>$C$29=0</formula>
    </cfRule>
  </conditionalFormatting>
  <conditionalFormatting sqref="C34:E36">
    <cfRule type="expression" dxfId="10" priority="10">
      <formula>$C$35=0</formula>
    </cfRule>
    <cfRule type="cellIs" dxfId="9" priority="12" operator="equal">
      <formula>$C$35=0</formula>
    </cfRule>
  </conditionalFormatting>
  <conditionalFormatting sqref="G31:I33">
    <cfRule type="expression" dxfId="8" priority="9">
      <formula>$G$32=0</formula>
    </cfRule>
  </conditionalFormatting>
  <conditionalFormatting sqref="L31:N33">
    <cfRule type="expression" dxfId="7" priority="8">
      <formula>$L$32=0</formula>
    </cfRule>
  </conditionalFormatting>
  <conditionalFormatting sqref="P26:R28">
    <cfRule type="expression" dxfId="6" priority="7">
      <formula>$P$27=0</formula>
    </cfRule>
  </conditionalFormatting>
  <conditionalFormatting sqref="P36:R38">
    <cfRule type="expression" dxfId="5" priority="6">
      <formula>$P$37=0</formula>
    </cfRule>
  </conditionalFormatting>
  <conditionalFormatting sqref="U22:W24">
    <cfRule type="expression" dxfId="4" priority="5">
      <formula>$U$23=0</formula>
    </cfRule>
  </conditionalFormatting>
  <conditionalFormatting sqref="U33:W35">
    <cfRule type="expression" dxfId="3" priority="4">
      <formula>$U$34=0</formula>
    </cfRule>
  </conditionalFormatting>
  <conditionalFormatting sqref="Y27:AA29">
    <cfRule type="expression" dxfId="2" priority="3">
      <formula>$Y$28=0</formula>
    </cfRule>
  </conditionalFormatting>
  <conditionalFormatting sqref="AC27:AE27 AC29:AE29 AC28">
    <cfRule type="expression" dxfId="1" priority="2">
      <formula>$AC$28=0</formula>
    </cfRule>
  </conditionalFormatting>
  <conditionalFormatting sqref="AD28:AE28">
    <cfRule type="expression" dxfId="0" priority="1">
      <formula>$P$27=0</formula>
    </cfRule>
  </conditionalFormatting>
  <dataValidations count="1">
    <dataValidation type="list" allowBlank="1" showInputMessage="1" showErrorMessage="1" sqref="T8:T14" xr:uid="{47A169EB-74AC-4B9B-B145-D765BFCCAF61}">
      <formula1>$Z$7:$Z$12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A348-88DC-4C27-A13D-E796A76E1A6C}">
  <dimension ref="A1:J48"/>
  <sheetViews>
    <sheetView showGridLines="0" workbookViewId="0">
      <selection activeCell="E46" sqref="E46"/>
    </sheetView>
  </sheetViews>
  <sheetFormatPr defaultRowHeight="15" x14ac:dyDescent="0.25"/>
  <cols>
    <col min="1" max="1" width="37" bestFit="1" customWidth="1"/>
    <col min="2" max="2" width="29.85546875" style="2" customWidth="1"/>
    <col min="3" max="3" width="18.7109375" customWidth="1"/>
    <col min="4" max="4" width="14.140625" bestFit="1" customWidth="1"/>
    <col min="5" max="6" width="18" bestFit="1" customWidth="1"/>
    <col min="7" max="8" width="17.5703125" bestFit="1" customWidth="1"/>
    <col min="9" max="9" width="13.85546875" bestFit="1" customWidth="1"/>
  </cols>
  <sheetData>
    <row r="1" spans="1:10" s="388" customFormat="1" ht="15.75" thickBot="1" x14ac:dyDescent="0.3"/>
    <row r="2" spans="1:10" ht="19.5" thickBot="1" x14ac:dyDescent="0.35">
      <c r="D2" s="449" t="s">
        <v>54</v>
      </c>
      <c r="E2" s="450"/>
      <c r="F2" s="450"/>
      <c r="G2" s="450"/>
      <c r="H2" s="450"/>
      <c r="I2" s="450"/>
      <c r="J2" s="451"/>
    </row>
    <row r="4" spans="1:10" x14ac:dyDescent="0.25">
      <c r="A4" s="7" t="s">
        <v>45</v>
      </c>
      <c r="B4" s="87">
        <v>4.4999999999999998E-2</v>
      </c>
    </row>
    <row r="5" spans="1:10" x14ac:dyDescent="0.25">
      <c r="A5" s="7" t="s">
        <v>46</v>
      </c>
      <c r="B5" s="22">
        <f>B4/12</f>
        <v>3.7499999999999999E-3</v>
      </c>
    </row>
    <row r="6" spans="1:10" x14ac:dyDescent="0.25">
      <c r="A6" s="23" t="s">
        <v>36</v>
      </c>
      <c r="B6" s="24">
        <v>3500000</v>
      </c>
    </row>
    <row r="7" spans="1:10" x14ac:dyDescent="0.25">
      <c r="A7" s="23" t="s">
        <v>37</v>
      </c>
      <c r="B7" s="24">
        <v>100000</v>
      </c>
    </row>
    <row r="8" spans="1:10" x14ac:dyDescent="0.25">
      <c r="A8" s="23" t="s">
        <v>42</v>
      </c>
      <c r="B8" s="25">
        <v>0.2</v>
      </c>
    </row>
    <row r="9" spans="1:10" x14ac:dyDescent="0.25">
      <c r="A9" s="23" t="s">
        <v>43</v>
      </c>
      <c r="B9" s="25">
        <v>0.2</v>
      </c>
    </row>
    <row r="10" spans="1:10" x14ac:dyDescent="0.25">
      <c r="A10" s="23" t="s">
        <v>38</v>
      </c>
      <c r="B10" s="25">
        <v>1.1000000000000001</v>
      </c>
    </row>
    <row r="11" spans="1:10" x14ac:dyDescent="0.25">
      <c r="A11" s="23" t="s">
        <v>47</v>
      </c>
      <c r="B11" s="24">
        <v>15000</v>
      </c>
    </row>
    <row r="12" spans="1:10" x14ac:dyDescent="0.25">
      <c r="A12" s="23" t="s">
        <v>48</v>
      </c>
      <c r="B12" s="24">
        <v>6000</v>
      </c>
    </row>
    <row r="13" spans="1:10" x14ac:dyDescent="0.25">
      <c r="A13" s="26" t="s">
        <v>39</v>
      </c>
      <c r="B13" s="27">
        <f>'Logistic Optimization-2023'!A19*'Logistic Optimization-2023'!B19/12</f>
        <v>72959.691369135107</v>
      </c>
    </row>
    <row r="14" spans="1:10" x14ac:dyDescent="0.25">
      <c r="A14" s="28" t="s">
        <v>40</v>
      </c>
      <c r="B14" s="27">
        <f>Buffer_percent*B13</f>
        <v>80255.660506048618</v>
      </c>
    </row>
    <row r="15" spans="1:10" x14ac:dyDescent="0.25">
      <c r="A15" s="28" t="s">
        <v>41</v>
      </c>
      <c r="B15" s="29">
        <f>(B14/10000)*B7</f>
        <v>802556.60506048624</v>
      </c>
    </row>
    <row r="16" spans="1:10" x14ac:dyDescent="0.25">
      <c r="A16" s="28" t="s">
        <v>50</v>
      </c>
      <c r="B16" s="31">
        <f>C16</f>
        <v>44863</v>
      </c>
      <c r="C16" s="103">
        <f>'Project managemet-Node model'!K22</f>
        <v>44863</v>
      </c>
    </row>
    <row r="17" spans="1:9" x14ac:dyDescent="0.25">
      <c r="A17" s="28" t="s">
        <v>51</v>
      </c>
      <c r="B17" s="31">
        <v>44865</v>
      </c>
    </row>
    <row r="18" spans="1:9" x14ac:dyDescent="0.25">
      <c r="A18" s="28" t="s">
        <v>52</v>
      </c>
      <c r="B18" s="6">
        <f>ROUND(IF(B16&gt;B17,((B16-B17)/7),0),0)</f>
        <v>0</v>
      </c>
    </row>
    <row r="19" spans="1:9" ht="15.75" thickBot="1" x14ac:dyDescent="0.3"/>
    <row r="20" spans="1:9" x14ac:dyDescent="0.25">
      <c r="A20" s="36" t="s">
        <v>44</v>
      </c>
      <c r="B20" s="37">
        <v>44713</v>
      </c>
      <c r="C20" s="37">
        <f>DATE(2022,6,30)</f>
        <v>44742</v>
      </c>
      <c r="D20" s="37">
        <v>44773</v>
      </c>
      <c r="E20" s="37">
        <v>44804</v>
      </c>
      <c r="F20" s="37">
        <v>44834</v>
      </c>
      <c r="G20" s="38">
        <v>44865</v>
      </c>
      <c r="H20" s="37">
        <v>44895</v>
      </c>
      <c r="I20" s="17"/>
    </row>
    <row r="21" spans="1:9" x14ac:dyDescent="0.25">
      <c r="A21" s="9" t="s">
        <v>118</v>
      </c>
      <c r="B21" s="21">
        <f>B6*B8</f>
        <v>700000</v>
      </c>
      <c r="C21" s="21">
        <f>((0.6*B6)+B15)/4</f>
        <v>725639.15126512153</v>
      </c>
      <c r="D21" s="21">
        <f>C21</f>
        <v>725639.15126512153</v>
      </c>
      <c r="E21" s="21">
        <f>D21</f>
        <v>725639.15126512153</v>
      </c>
      <c r="F21" s="21">
        <f>C21</f>
        <v>725639.15126512153</v>
      </c>
      <c r="G21" s="86">
        <f>$B$6*B9</f>
        <v>700000</v>
      </c>
      <c r="H21" s="21">
        <f>$B$12*$B$18</f>
        <v>0</v>
      </c>
      <c r="I21" s="17"/>
    </row>
    <row r="22" spans="1:9" x14ac:dyDescent="0.25">
      <c r="A22" s="9" t="s">
        <v>119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f>B18*B11</f>
        <v>0</v>
      </c>
      <c r="H22" s="21">
        <f>$B$11*$B$18</f>
        <v>0</v>
      </c>
    </row>
    <row r="23" spans="1:9" x14ac:dyDescent="0.25">
      <c r="A23" s="9" t="s">
        <v>49</v>
      </c>
      <c r="B23" s="21">
        <f>B22-B21</f>
        <v>-700000</v>
      </c>
      <c r="C23" s="21">
        <f t="shared" ref="C23:E23" si="0">C22-C21</f>
        <v>-725639.15126512153</v>
      </c>
      <c r="D23" s="21">
        <f t="shared" si="0"/>
        <v>-725639.15126512153</v>
      </c>
      <c r="E23" s="21">
        <f t="shared" si="0"/>
        <v>-725639.15126512153</v>
      </c>
      <c r="F23" s="21">
        <f>F22-F21</f>
        <v>-725639.15126512153</v>
      </c>
      <c r="G23" s="86">
        <f>G22-G21</f>
        <v>-700000</v>
      </c>
      <c r="H23" s="21">
        <f>H22-H21</f>
        <v>0</v>
      </c>
    </row>
    <row r="24" spans="1:9" ht="15.75" thickBot="1" x14ac:dyDescent="0.3">
      <c r="A24" s="19"/>
      <c r="B24" s="18"/>
      <c r="C24" s="18"/>
      <c r="D24" s="18"/>
      <c r="E24" s="18"/>
      <c r="F24" s="18"/>
      <c r="G24" s="18"/>
      <c r="H24" s="16"/>
    </row>
    <row r="25" spans="1:9" ht="15.75" thickBot="1" x14ac:dyDescent="0.3">
      <c r="A25" s="35" t="s">
        <v>53</v>
      </c>
      <c r="B25" s="88">
        <f>-(NPV(B5,C23:H23)+B23)</f>
        <v>4262569.265458568</v>
      </c>
    </row>
    <row r="28" spans="1:9" ht="15.75" thickBot="1" x14ac:dyDescent="0.3">
      <c r="A28" s="105"/>
      <c r="B28" s="104">
        <f>B25</f>
        <v>4262569.265458568</v>
      </c>
    </row>
    <row r="29" spans="1:9" ht="15.75" thickBot="1" x14ac:dyDescent="0.3">
      <c r="A29" s="106" t="s">
        <v>140</v>
      </c>
      <c r="B29" s="107" t="e">
        <f t="dataTable" ref="B29:B48" dt2D="0" dtr="0" r1="B5"/>
        <v>#VALUE!</v>
      </c>
    </row>
    <row r="30" spans="1:9" ht="15.75" thickBot="1" x14ac:dyDescent="0.3">
      <c r="A30" s="108">
        <v>1E-3</v>
      </c>
      <c r="B30" s="88">
        <v>4291825.1765229777</v>
      </c>
    </row>
    <row r="31" spans="1:9" ht="15.75" thickBot="1" x14ac:dyDescent="0.3">
      <c r="A31" s="108">
        <v>1.5E-3</v>
      </c>
      <c r="B31" s="88">
        <v>4286478.1286023427</v>
      </c>
    </row>
    <row r="32" spans="1:9" ht="15.75" thickBot="1" x14ac:dyDescent="0.3">
      <c r="A32" s="108">
        <v>2E-3</v>
      </c>
      <c r="B32" s="88">
        <v>4281143.4754177369</v>
      </c>
    </row>
    <row r="33" spans="1:2" ht="15.75" thickBot="1" x14ac:dyDescent="0.3">
      <c r="A33" s="108">
        <v>2.5000000000000001E-3</v>
      </c>
      <c r="B33" s="88">
        <v>4275821.180013245</v>
      </c>
    </row>
    <row r="34" spans="1:2" ht="15.75" thickBot="1" x14ac:dyDescent="0.3">
      <c r="A34" s="108">
        <v>3.0000000000000001E-3</v>
      </c>
      <c r="B34" s="88">
        <v>4270511.2055651881</v>
      </c>
    </row>
    <row r="35" spans="1:2" ht="15.75" thickBot="1" x14ac:dyDescent="0.3">
      <c r="A35" s="108">
        <v>3.5000000000000001E-3</v>
      </c>
      <c r="B35" s="88">
        <v>4265213.5153815756</v>
      </c>
    </row>
    <row r="36" spans="1:2" ht="15.75" thickBot="1" x14ac:dyDescent="0.3">
      <c r="A36" s="108">
        <v>4.0000000000000001E-3</v>
      </c>
      <c r="B36" s="88">
        <v>4259928.0729015693</v>
      </c>
    </row>
    <row r="37" spans="1:2" ht="15.75" thickBot="1" x14ac:dyDescent="0.3">
      <c r="A37" s="108">
        <v>4.4999999999999997E-3</v>
      </c>
      <c r="B37" s="88">
        <v>4254654.8416949287</v>
      </c>
    </row>
    <row r="38" spans="1:2" ht="15.75" thickBot="1" x14ac:dyDescent="0.3">
      <c r="A38" s="108">
        <v>5.0000000000000001E-3</v>
      </c>
      <c r="B38" s="88">
        <v>4249393.7854614723</v>
      </c>
    </row>
    <row r="39" spans="1:2" ht="15.75" thickBot="1" x14ac:dyDescent="0.3">
      <c r="A39" s="108">
        <v>5.4999999999999997E-3</v>
      </c>
      <c r="B39" s="88">
        <v>4244144.8680305481</v>
      </c>
    </row>
    <row r="40" spans="1:2" ht="15.75" thickBot="1" x14ac:dyDescent="0.3">
      <c r="A40" s="108">
        <v>6.0000000000000001E-3</v>
      </c>
      <c r="B40" s="88">
        <v>4238908.0533604976</v>
      </c>
    </row>
    <row r="41" spans="1:2" ht="15.75" thickBot="1" x14ac:dyDescent="0.3">
      <c r="A41" s="108">
        <v>6.4999999999999997E-3</v>
      </c>
      <c r="B41" s="88">
        <v>4233683.3055381151</v>
      </c>
    </row>
    <row r="42" spans="1:2" ht="15.75" thickBot="1" x14ac:dyDescent="0.3">
      <c r="A42" s="108">
        <v>7.0000000000000001E-3</v>
      </c>
      <c r="B42" s="88">
        <v>4228470.5887781233</v>
      </c>
    </row>
    <row r="43" spans="1:2" ht="15.75" thickBot="1" x14ac:dyDescent="0.3">
      <c r="A43" s="108">
        <v>7.4999999999999997E-3</v>
      </c>
      <c r="B43" s="88">
        <v>4223269.8674226413</v>
      </c>
    </row>
    <row r="44" spans="1:2" ht="15.75" thickBot="1" x14ac:dyDescent="0.3">
      <c r="A44" s="108">
        <v>8.0000000000000002E-3</v>
      </c>
      <c r="B44" s="88">
        <v>4218081.1059406772</v>
      </c>
    </row>
    <row r="45" spans="1:2" ht="15.75" thickBot="1" x14ac:dyDescent="0.3">
      <c r="A45" s="108">
        <v>8.5000000000000006E-3</v>
      </c>
      <c r="B45" s="88">
        <v>4212904.2689275797</v>
      </c>
    </row>
    <row r="46" spans="1:2" ht="15.75" thickBot="1" x14ac:dyDescent="0.3">
      <c r="A46" s="108">
        <v>8.9999999999999993E-3</v>
      </c>
      <c r="B46" s="88">
        <v>4207739.3211045312</v>
      </c>
    </row>
    <row r="47" spans="1:2" ht="15.75" thickBot="1" x14ac:dyDescent="0.3">
      <c r="A47" s="108">
        <v>9.4999999999999998E-3</v>
      </c>
      <c r="B47" s="88">
        <v>4202586.2273180317</v>
      </c>
    </row>
    <row r="48" spans="1:2" ht="15.75" thickBot="1" x14ac:dyDescent="0.3">
      <c r="A48" s="109">
        <v>0.01</v>
      </c>
      <c r="B48" s="88">
        <v>4197444.9525393844</v>
      </c>
    </row>
  </sheetData>
  <mergeCells count="2">
    <mergeCell ref="D2:J2"/>
    <mergeCell ref="A1:XFD1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4F00-C6CE-4B42-92CE-21EB61B6B36A}">
  <dimension ref="A1:Q22"/>
  <sheetViews>
    <sheetView showGridLines="0" topLeftCell="A2" zoomScale="60" zoomScaleNormal="60" workbookViewId="0">
      <selection activeCell="A16" sqref="A16"/>
    </sheetView>
  </sheetViews>
  <sheetFormatPr defaultRowHeight="15" x14ac:dyDescent="0.25"/>
  <cols>
    <col min="1" max="1" width="40.5703125" bestFit="1" customWidth="1"/>
    <col min="2" max="2" width="16.5703125" bestFit="1" customWidth="1"/>
    <col min="3" max="3" width="11.85546875" bestFit="1" customWidth="1"/>
    <col min="4" max="4" width="40.5703125" bestFit="1" customWidth="1"/>
    <col min="5" max="5" width="16.7109375" bestFit="1" customWidth="1"/>
    <col min="8" max="8" width="14.85546875" customWidth="1"/>
    <col min="9" max="9" width="16.5703125" customWidth="1"/>
  </cols>
  <sheetData>
    <row r="1" spans="1:17" x14ac:dyDescent="0.25">
      <c r="G1" s="461" t="s">
        <v>131</v>
      </c>
      <c r="H1" s="462"/>
      <c r="I1" s="462"/>
      <c r="J1" s="462"/>
      <c r="K1" s="462"/>
      <c r="L1" s="462"/>
      <c r="M1" s="463"/>
    </row>
    <row r="2" spans="1:17" ht="15.75" thickBot="1" x14ac:dyDescent="0.3">
      <c r="G2" s="464"/>
      <c r="H2" s="465"/>
      <c r="I2" s="465"/>
      <c r="J2" s="465"/>
      <c r="K2" s="465"/>
      <c r="L2" s="465"/>
      <c r="M2" s="466"/>
    </row>
    <row r="3" spans="1:17" ht="15.75" thickBot="1" x14ac:dyDescent="0.3"/>
    <row r="4" spans="1:17" ht="21.75" thickBot="1" x14ac:dyDescent="0.4">
      <c r="A4" s="181">
        <v>2018</v>
      </c>
      <c r="B4" s="89"/>
    </row>
    <row r="5" spans="1:17" ht="21.75" thickBot="1" x14ac:dyDescent="0.4">
      <c r="A5" s="182" t="s">
        <v>17</v>
      </c>
      <c r="B5" s="183">
        <v>1000</v>
      </c>
      <c r="I5" s="452" t="s">
        <v>20</v>
      </c>
      <c r="J5" s="453"/>
      <c r="K5" s="454"/>
      <c r="O5" s="452" t="s">
        <v>21</v>
      </c>
      <c r="P5" s="453"/>
      <c r="Q5" s="454"/>
    </row>
    <row r="6" spans="1:17" ht="24.75" thickBot="1" x14ac:dyDescent="0.5">
      <c r="A6" s="184" t="s">
        <v>159</v>
      </c>
      <c r="B6" s="185">
        <v>1200</v>
      </c>
      <c r="I6" s="455"/>
      <c r="J6" s="456"/>
      <c r="K6" s="457"/>
      <c r="M6" s="91" t="s">
        <v>24</v>
      </c>
      <c r="O6" s="455"/>
      <c r="P6" s="456"/>
      <c r="Q6" s="457"/>
    </row>
    <row r="7" spans="1:17" ht="21.75" thickBot="1" x14ac:dyDescent="0.4">
      <c r="A7" s="184" t="s">
        <v>18</v>
      </c>
      <c r="B7" s="185">
        <v>600</v>
      </c>
      <c r="I7" s="455"/>
      <c r="J7" s="456"/>
      <c r="K7" s="457"/>
      <c r="O7" s="455"/>
      <c r="P7" s="456"/>
      <c r="Q7" s="457"/>
    </row>
    <row r="8" spans="1:17" ht="21.75" thickBot="1" x14ac:dyDescent="0.4">
      <c r="A8" s="184" t="s">
        <v>19</v>
      </c>
      <c r="B8" s="185">
        <v>500</v>
      </c>
      <c r="I8" s="455"/>
      <c r="J8" s="456"/>
      <c r="K8" s="457"/>
      <c r="L8" s="92" t="s">
        <v>129</v>
      </c>
      <c r="M8" s="92" t="s">
        <v>130</v>
      </c>
      <c r="O8" s="455"/>
      <c r="P8" s="456"/>
      <c r="Q8" s="457"/>
    </row>
    <row r="9" spans="1:17" ht="24.75" thickBot="1" x14ac:dyDescent="0.5">
      <c r="A9" s="184" t="s">
        <v>160</v>
      </c>
      <c r="B9" s="185">
        <v>10000</v>
      </c>
      <c r="I9" s="458"/>
      <c r="J9" s="459"/>
      <c r="K9" s="460"/>
      <c r="O9" s="458"/>
      <c r="P9" s="459"/>
      <c r="Q9" s="460"/>
    </row>
    <row r="10" spans="1:17" ht="66.75" thickBot="1" x14ac:dyDescent="0.4">
      <c r="A10" s="186" t="s">
        <v>161</v>
      </c>
      <c r="B10" s="185">
        <v>16000</v>
      </c>
    </row>
    <row r="11" spans="1:17" ht="15.75" thickBot="1" x14ac:dyDescent="0.3"/>
    <row r="12" spans="1:17" ht="21.75" thickBot="1" x14ac:dyDescent="0.4">
      <c r="A12" s="128" t="s">
        <v>22</v>
      </c>
      <c r="B12" s="187">
        <v>2.5000000000000001E-2</v>
      </c>
    </row>
    <row r="13" spans="1:17" ht="21.75" thickBot="1" x14ac:dyDescent="0.4">
      <c r="A13" s="188" t="s">
        <v>127</v>
      </c>
      <c r="B13" s="125">
        <f>A15-A4</f>
        <v>5</v>
      </c>
      <c r="D13" s="196" t="s">
        <v>127</v>
      </c>
      <c r="E13" s="197">
        <f>D15-A4</f>
        <v>22</v>
      </c>
    </row>
    <row r="14" spans="1:17" ht="21.75" thickBot="1" x14ac:dyDescent="0.4">
      <c r="A14" s="189"/>
      <c r="B14" s="189"/>
    </row>
    <row r="15" spans="1:17" ht="21.75" thickBot="1" x14ac:dyDescent="0.4">
      <c r="A15" s="337">
        <f>'Logistic Optimization-2023'!B2</f>
        <v>2023</v>
      </c>
      <c r="B15" s="191">
        <f>n</f>
        <v>5</v>
      </c>
      <c r="D15" s="190">
        <v>2040</v>
      </c>
      <c r="E15" s="191">
        <f>D15-A4</f>
        <v>22</v>
      </c>
    </row>
    <row r="16" spans="1:17" ht="21.75" thickBot="1" x14ac:dyDescent="0.4">
      <c r="A16" s="182" t="s">
        <v>17</v>
      </c>
      <c r="B16" s="192">
        <f>B5</f>
        <v>1000</v>
      </c>
      <c r="D16" s="182" t="s">
        <v>17</v>
      </c>
      <c r="E16" s="192">
        <f>B5</f>
        <v>1000</v>
      </c>
    </row>
    <row r="17" spans="1:9" ht="24.75" thickBot="1" x14ac:dyDescent="0.5">
      <c r="A17" s="184" t="s">
        <v>159</v>
      </c>
      <c r="B17" s="193">
        <f>B6*(1+$B$12)^$B$13</f>
        <v>1357.6898554687496</v>
      </c>
      <c r="D17" s="184" t="s">
        <v>159</v>
      </c>
      <c r="E17" s="193">
        <f>B6*(1+$B$12)^$E$15</f>
        <v>2065.8856770961161</v>
      </c>
    </row>
    <row r="18" spans="1:9" ht="42.75" thickBot="1" x14ac:dyDescent="0.4">
      <c r="A18" s="184" t="s">
        <v>18</v>
      </c>
      <c r="B18" s="193">
        <f>B7*(1+$B$12)^$B$13</f>
        <v>678.84492773437478</v>
      </c>
      <c r="D18" s="184" t="s">
        <v>18</v>
      </c>
      <c r="E18" s="193">
        <f>B7*(1+$B$12)^$E$15</f>
        <v>1032.942838548058</v>
      </c>
      <c r="H18" s="123" t="s">
        <v>128</v>
      </c>
      <c r="I18" s="124" t="s">
        <v>149</v>
      </c>
    </row>
    <row r="19" spans="1:9" ht="21.75" thickBot="1" x14ac:dyDescent="0.4">
      <c r="A19" s="184" t="s">
        <v>19</v>
      </c>
      <c r="B19" s="193">
        <f>B8*(1+$B$12)^$B$13</f>
        <v>565.70410644531228</v>
      </c>
      <c r="D19" s="184" t="s">
        <v>19</v>
      </c>
      <c r="E19" s="193">
        <f>B8*(1+$B$12)^$E$15</f>
        <v>860.78569879004829</v>
      </c>
    </row>
    <row r="20" spans="1:9" ht="24.75" thickBot="1" x14ac:dyDescent="0.5">
      <c r="A20" s="184" t="s">
        <v>160</v>
      </c>
      <c r="B20" s="193">
        <f>B9*(1+$B$12)^$B$13</f>
        <v>11314.082128906246</v>
      </c>
      <c r="D20" s="184" t="s">
        <v>160</v>
      </c>
      <c r="E20" s="193">
        <f>B9*(1+$B$12)^$E$15</f>
        <v>17215.713975800965</v>
      </c>
    </row>
    <row r="21" spans="1:9" ht="45.75" thickBot="1" x14ac:dyDescent="0.4">
      <c r="A21" s="186" t="s">
        <v>161</v>
      </c>
      <c r="B21" s="193">
        <f>B10*(1+$B$12)^$B$13</f>
        <v>18102.531406249993</v>
      </c>
      <c r="D21" s="186" t="s">
        <v>161</v>
      </c>
      <c r="E21" s="193">
        <f>B10*(1+$B$12)^$E$15</f>
        <v>27545.142361281545</v>
      </c>
    </row>
    <row r="22" spans="1:9" ht="21.75" thickBot="1" x14ac:dyDescent="0.4">
      <c r="A22" s="194" t="s">
        <v>120</v>
      </c>
      <c r="B22" s="195">
        <f>B15</f>
        <v>5</v>
      </c>
      <c r="D22" s="194" t="s">
        <v>120</v>
      </c>
      <c r="E22" s="195">
        <f>E15</f>
        <v>22</v>
      </c>
    </row>
  </sheetData>
  <mergeCells count="3">
    <mergeCell ref="I5:K9"/>
    <mergeCell ref="O5:Q9"/>
    <mergeCell ref="G1:M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6EB7-E2EA-45AA-9E4E-681DFCF86865}">
  <dimension ref="A1:N100"/>
  <sheetViews>
    <sheetView showGridLines="0" topLeftCell="A10" zoomScale="51" zoomScaleNormal="51" workbookViewId="0">
      <selection activeCell="J19" sqref="J19"/>
    </sheetView>
  </sheetViews>
  <sheetFormatPr defaultRowHeight="15" x14ac:dyDescent="0.25"/>
  <cols>
    <col min="1" max="1" width="29.42578125" bestFit="1" customWidth="1"/>
    <col min="2" max="2" width="27.28515625" bestFit="1" customWidth="1"/>
    <col min="3" max="3" width="18" bestFit="1" customWidth="1"/>
    <col min="4" max="6" width="25" style="2" customWidth="1"/>
    <col min="7" max="7" width="24.42578125" style="30" bestFit="1" customWidth="1"/>
    <col min="8" max="8" width="22.42578125" style="30" bestFit="1" customWidth="1"/>
    <col min="9" max="9" width="57" bestFit="1" customWidth="1"/>
    <col min="10" max="10" width="22" bestFit="1" customWidth="1"/>
    <col min="12" max="12" width="14.85546875" bestFit="1" customWidth="1"/>
    <col min="13" max="13" width="13.5703125" bestFit="1" customWidth="1"/>
  </cols>
  <sheetData>
    <row r="1" spans="1:14" ht="15.75" thickBot="1" x14ac:dyDescent="0.3"/>
    <row r="2" spans="1:14" ht="21.75" thickBot="1" x14ac:dyDescent="0.4">
      <c r="A2" s="128" t="s">
        <v>199</v>
      </c>
      <c r="B2" s="338">
        <v>2023</v>
      </c>
      <c r="D2" s="467" t="s">
        <v>34</v>
      </c>
      <c r="E2" s="468"/>
      <c r="F2" s="468"/>
      <c r="G2" s="469"/>
    </row>
    <row r="3" spans="1:14" ht="21.75" thickBot="1" x14ac:dyDescent="0.4">
      <c r="A3" s="128" t="s">
        <v>23</v>
      </c>
      <c r="B3" s="129">
        <f>'Double exp.smoothening'!G37</f>
        <v>875516.29642962129</v>
      </c>
    </row>
    <row r="4" spans="1:14" ht="21.75" thickBot="1" x14ac:dyDescent="0.4">
      <c r="A4" s="130" t="s">
        <v>17</v>
      </c>
      <c r="B4" s="131" cm="1">
        <f t="array" ref="B4:B9">'Logistic Optimization - Master'!B16:B21</f>
        <v>1000</v>
      </c>
      <c r="C4" s="90" t="s">
        <v>124</v>
      </c>
    </row>
    <row r="5" spans="1:14" ht="24.75" thickBot="1" x14ac:dyDescent="0.5">
      <c r="A5" s="132" t="s">
        <v>159</v>
      </c>
      <c r="B5" s="133">
        <v>1357.6898554687496</v>
      </c>
      <c r="C5" s="89" t="s">
        <v>55</v>
      </c>
    </row>
    <row r="6" spans="1:14" ht="21.75" thickBot="1" x14ac:dyDescent="0.4">
      <c r="A6" s="132" t="s">
        <v>18</v>
      </c>
      <c r="B6" s="133">
        <v>678.84492773437478</v>
      </c>
      <c r="C6" s="89" t="s">
        <v>55</v>
      </c>
    </row>
    <row r="7" spans="1:14" ht="21.75" thickBot="1" x14ac:dyDescent="0.4">
      <c r="A7" s="132" t="s">
        <v>19</v>
      </c>
      <c r="B7" s="133">
        <v>565.70410644531228</v>
      </c>
      <c r="C7" s="89" t="s">
        <v>55</v>
      </c>
    </row>
    <row r="8" spans="1:14" ht="24.75" thickBot="1" x14ac:dyDescent="0.5">
      <c r="A8" s="132" t="s">
        <v>160</v>
      </c>
      <c r="B8" s="133">
        <v>11314.082128906246</v>
      </c>
      <c r="C8" s="89" t="s">
        <v>55</v>
      </c>
    </row>
    <row r="9" spans="1:14" ht="45.75" thickBot="1" x14ac:dyDescent="0.4">
      <c r="A9" s="134" t="s">
        <v>161</v>
      </c>
      <c r="B9" s="135">
        <v>18102.531406249993</v>
      </c>
      <c r="C9" s="89" t="s">
        <v>55</v>
      </c>
    </row>
    <row r="10" spans="1:14" ht="45.75" thickBot="1" x14ac:dyDescent="0.4">
      <c r="A10" s="136" t="s">
        <v>162</v>
      </c>
      <c r="B10" s="137">
        <f>B9*12</f>
        <v>217230.3768749999</v>
      </c>
      <c r="C10" s="89" t="s">
        <v>55</v>
      </c>
    </row>
    <row r="11" spans="1:14" ht="15.75" thickBot="1" x14ac:dyDescent="0.3"/>
    <row r="12" spans="1:14" ht="27" thickBot="1" x14ac:dyDescent="0.45">
      <c r="A12" s="138" t="s">
        <v>24</v>
      </c>
      <c r="B12" s="138" t="s">
        <v>25</v>
      </c>
      <c r="C12" s="138" t="s">
        <v>26</v>
      </c>
      <c r="D12" s="138" t="s">
        <v>29</v>
      </c>
      <c r="E12" s="138" t="s">
        <v>30</v>
      </c>
      <c r="F12" s="138" t="s">
        <v>31</v>
      </c>
      <c r="G12" s="138" t="s">
        <v>121</v>
      </c>
      <c r="H12" s="139" t="s">
        <v>28</v>
      </c>
      <c r="I12" s="472" t="s">
        <v>57</v>
      </c>
      <c r="J12" s="473"/>
      <c r="K12" s="472" t="s">
        <v>139</v>
      </c>
      <c r="L12" s="473"/>
    </row>
    <row r="13" spans="1:14" ht="27" thickBot="1" x14ac:dyDescent="0.45">
      <c r="A13" s="140">
        <v>16999.996761133629</v>
      </c>
      <c r="B13" s="141">
        <f>$B$3/A13</f>
        <v>51.500968425551527</v>
      </c>
      <c r="C13" s="140">
        <f>ROUNDUP(A13/$B$4,0)</f>
        <v>17</v>
      </c>
      <c r="D13" s="142">
        <f>(fixed_order_cost_23)*B13</f>
        <v>69922.342378187692</v>
      </c>
      <c r="E13" s="142">
        <f>B13*IF(C13&lt;=5,C13*$B$6,SUM((5*$B$6),(C13-5)*$B$7))</f>
        <v>524417.56783640757</v>
      </c>
      <c r="F13" s="142">
        <f>SUM(D13:E13)</f>
        <v>594339.91021459526</v>
      </c>
      <c r="G13" s="142">
        <f>0.5*($B$8+(A13/10000)*$B$10)</f>
        <v>190302.82622919494</v>
      </c>
      <c r="H13" s="143">
        <f>SUM(F13:G13)</f>
        <v>784642.73644379014</v>
      </c>
      <c r="I13" s="470">
        <v>2023</v>
      </c>
      <c r="J13" s="471"/>
      <c r="K13" s="474">
        <v>2023</v>
      </c>
      <c r="L13" s="475"/>
      <c r="M13" s="32"/>
    </row>
    <row r="14" spans="1:14" ht="26.25" x14ac:dyDescent="0.4">
      <c r="A14" s="144">
        <v>2000</v>
      </c>
      <c r="B14" s="145">
        <f>$B$3/A14</f>
        <v>437.75814821481066</v>
      </c>
      <c r="C14" s="146">
        <f>ROUNDUP(A14/$B$4,0)</f>
        <v>2</v>
      </c>
      <c r="D14" s="147">
        <f>(fixed_order_cost_23)*B14</f>
        <v>594339.79698003375</v>
      </c>
      <c r="E14" s="147">
        <f>B14*IF(C14&lt;=5,C14*$B$6,SUM((5*$B$6),(C14-5)*$B$7))</f>
        <v>594339.79698003375</v>
      </c>
      <c r="F14" s="147">
        <f>SUM(D14:E14)</f>
        <v>1188679.5939600675</v>
      </c>
      <c r="G14" s="147">
        <f>0.5*($B$8+((A14/10000)*$B$10))</f>
        <v>27380.078751953115</v>
      </c>
      <c r="H14" s="148">
        <f t="shared" ref="H14:H77" si="0">SUM(F14:G14)</f>
        <v>1216059.6727120206</v>
      </c>
      <c r="I14" s="157" t="s">
        <v>32</v>
      </c>
      <c r="J14" s="158">
        <f>MIN(H13:H100)</f>
        <v>771608.66118198913</v>
      </c>
      <c r="K14" s="476">
        <f>H13</f>
        <v>784642.73644379014</v>
      </c>
      <c r="L14" s="477"/>
      <c r="N14" s="32"/>
    </row>
    <row r="15" spans="1:14" ht="26.25" x14ac:dyDescent="0.4">
      <c r="A15" s="149">
        <v>3000</v>
      </c>
      <c r="B15" s="150">
        <f t="shared" ref="B15:B77" si="1">$B$3/A15</f>
        <v>291.8387654765404</v>
      </c>
      <c r="C15" s="151">
        <f t="shared" ref="C15:C77" si="2">ROUNDUP(A15/$B$4,0)</f>
        <v>3</v>
      </c>
      <c r="D15" s="152">
        <f t="shared" ref="D15:D44" si="3">(fixed_order_cost_23)*B15</f>
        <v>396226.53132002242</v>
      </c>
      <c r="E15" s="152">
        <f t="shared" ref="E15:E77" si="4">B15*IF(C15&lt;=5,C15*$B$6,SUM((5*$B$6),(C15-5)*$B$7))</f>
        <v>594339.79698003363</v>
      </c>
      <c r="F15" s="152">
        <f t="shared" ref="F15:F77" si="5">SUM(D15:E15)</f>
        <v>990566.32830005605</v>
      </c>
      <c r="G15" s="147">
        <f t="shared" ref="G15:G78" si="6">0.5*($B$8+((A15/10000)*$B$10))</f>
        <v>38241.597595703104</v>
      </c>
      <c r="H15" s="153">
        <f t="shared" si="0"/>
        <v>1028807.9258957591</v>
      </c>
      <c r="I15" s="159"/>
      <c r="J15" s="160">
        <f>MATCH(J14,H12:H100,0)</f>
        <v>13</v>
      </c>
      <c r="K15" s="478"/>
      <c r="L15" s="477"/>
    </row>
    <row r="16" spans="1:14" ht="26.25" x14ac:dyDescent="0.4">
      <c r="A16" s="149">
        <v>4000</v>
      </c>
      <c r="B16" s="150">
        <f t="shared" si="1"/>
        <v>218.87907410740533</v>
      </c>
      <c r="C16" s="151">
        <f t="shared" si="2"/>
        <v>4</v>
      </c>
      <c r="D16" s="152">
        <f t="shared" si="3"/>
        <v>297169.89849001687</v>
      </c>
      <c r="E16" s="152">
        <f t="shared" si="4"/>
        <v>594339.79698003375</v>
      </c>
      <c r="F16" s="152">
        <f t="shared" si="5"/>
        <v>891509.69547005068</v>
      </c>
      <c r="G16" s="147">
        <f t="shared" si="6"/>
        <v>49103.116439453108</v>
      </c>
      <c r="H16" s="153">
        <f t="shared" si="0"/>
        <v>940612.81190950377</v>
      </c>
      <c r="I16" s="161" t="s">
        <v>33</v>
      </c>
      <c r="J16" s="162" cm="1">
        <f t="array" ref="J16">INDEX(A12:H100,J15,1)</f>
        <v>12000</v>
      </c>
      <c r="K16" s="479">
        <f>A13</f>
        <v>16999.996761133629</v>
      </c>
      <c r="L16" s="480"/>
    </row>
    <row r="17" spans="1:12" ht="26.25" x14ac:dyDescent="0.4">
      <c r="A17" s="149">
        <v>5000</v>
      </c>
      <c r="B17" s="150">
        <f t="shared" si="1"/>
        <v>175.10325928592425</v>
      </c>
      <c r="C17" s="151">
        <f t="shared" si="2"/>
        <v>5</v>
      </c>
      <c r="D17" s="152">
        <f t="shared" si="3"/>
        <v>237735.91879201349</v>
      </c>
      <c r="E17" s="152">
        <f t="shared" si="4"/>
        <v>594339.79698003375</v>
      </c>
      <c r="F17" s="152">
        <f t="shared" si="5"/>
        <v>832075.71577204717</v>
      </c>
      <c r="G17" s="147">
        <f t="shared" si="6"/>
        <v>59964.635283203097</v>
      </c>
      <c r="H17" s="153">
        <f t="shared" si="0"/>
        <v>892040.35105525027</v>
      </c>
      <c r="I17" s="161" t="s">
        <v>122</v>
      </c>
      <c r="J17" s="163">
        <f>J16/B3</f>
        <v>1.370619832998691E-2</v>
      </c>
      <c r="K17" s="481">
        <f>K16/B3</f>
        <v>1.9417110601436052E-2</v>
      </c>
      <c r="L17" s="482"/>
    </row>
    <row r="18" spans="1:12" ht="27" thickBot="1" x14ac:dyDescent="0.45">
      <c r="A18" s="149">
        <v>6000</v>
      </c>
      <c r="B18" s="150">
        <f t="shared" si="1"/>
        <v>145.9193827382702</v>
      </c>
      <c r="C18" s="151">
        <f t="shared" si="2"/>
        <v>6</v>
      </c>
      <c r="D18" s="152">
        <f t="shared" si="3"/>
        <v>198113.26566001121</v>
      </c>
      <c r="E18" s="152">
        <f t="shared" si="4"/>
        <v>577830.35817503277</v>
      </c>
      <c r="F18" s="152">
        <f t="shared" si="5"/>
        <v>775943.62383504398</v>
      </c>
      <c r="G18" s="147">
        <f t="shared" si="6"/>
        <v>70826.154126953086</v>
      </c>
      <c r="H18" s="153">
        <f t="shared" si="0"/>
        <v>846769.77796199708</v>
      </c>
      <c r="I18" s="164" t="s">
        <v>123</v>
      </c>
      <c r="J18" s="165">
        <f>ROUNDUP(J17*365,0)</f>
        <v>6</v>
      </c>
      <c r="K18" s="483">
        <f>ROUND(K17*365,0)</f>
        <v>7</v>
      </c>
      <c r="L18" s="484"/>
    </row>
    <row r="19" spans="1:12" ht="23.25" x14ac:dyDescent="0.35">
      <c r="A19" s="149">
        <v>7000</v>
      </c>
      <c r="B19" s="150">
        <f t="shared" si="1"/>
        <v>125.07375663280304</v>
      </c>
      <c r="C19" s="151">
        <f t="shared" si="2"/>
        <v>7</v>
      </c>
      <c r="D19" s="152">
        <f t="shared" si="3"/>
        <v>169811.37056572392</v>
      </c>
      <c r="E19" s="152">
        <f t="shared" si="4"/>
        <v>566037.9018857464</v>
      </c>
      <c r="F19" s="152">
        <f t="shared" si="5"/>
        <v>735849.27245147037</v>
      </c>
      <c r="G19" s="147">
        <f t="shared" si="6"/>
        <v>81687.672970703075</v>
      </c>
      <c r="H19" s="152">
        <f t="shared" si="0"/>
        <v>817536.94542217348</v>
      </c>
    </row>
    <row r="20" spans="1:12" ht="23.25" x14ac:dyDescent="0.35">
      <c r="A20" s="154">
        <v>8000</v>
      </c>
      <c r="B20" s="155">
        <f t="shared" si="1"/>
        <v>109.43953705370267</v>
      </c>
      <c r="C20" s="156">
        <f t="shared" si="2"/>
        <v>8</v>
      </c>
      <c r="D20" s="152">
        <f t="shared" si="3"/>
        <v>148584.94924500844</v>
      </c>
      <c r="E20" s="152">
        <f t="shared" si="4"/>
        <v>557193.55966878159</v>
      </c>
      <c r="F20" s="152">
        <f t="shared" si="5"/>
        <v>705778.50891378999</v>
      </c>
      <c r="G20" s="147">
        <f t="shared" si="6"/>
        <v>92549.191814453094</v>
      </c>
      <c r="H20" s="152">
        <f t="shared" si="0"/>
        <v>798327.7007282431</v>
      </c>
    </row>
    <row r="21" spans="1:12" ht="23.25" x14ac:dyDescent="0.35">
      <c r="A21" s="149">
        <v>9000</v>
      </c>
      <c r="B21" s="150">
        <f t="shared" si="1"/>
        <v>97.279588492180139</v>
      </c>
      <c r="C21" s="151">
        <f t="shared" si="2"/>
        <v>9</v>
      </c>
      <c r="D21" s="152">
        <f t="shared" si="3"/>
        <v>132075.51044000749</v>
      </c>
      <c r="E21" s="152">
        <f t="shared" si="4"/>
        <v>550314.62683336448</v>
      </c>
      <c r="F21" s="152">
        <f t="shared" si="5"/>
        <v>682390.13727337192</v>
      </c>
      <c r="G21" s="147">
        <f t="shared" si="6"/>
        <v>103410.71065820308</v>
      </c>
      <c r="H21" s="152">
        <f t="shared" si="0"/>
        <v>785800.84793157503</v>
      </c>
    </row>
    <row r="22" spans="1:12" ht="23.25" x14ac:dyDescent="0.35">
      <c r="A22" s="149">
        <v>10000</v>
      </c>
      <c r="B22" s="150">
        <f>$B$3/A22</f>
        <v>87.551629642962126</v>
      </c>
      <c r="C22" s="151">
        <f t="shared" si="2"/>
        <v>10</v>
      </c>
      <c r="D22" s="152">
        <f t="shared" si="3"/>
        <v>118867.95939600674</v>
      </c>
      <c r="E22" s="152">
        <f t="shared" si="4"/>
        <v>544811.48056503083</v>
      </c>
      <c r="F22" s="152">
        <f t="shared" si="5"/>
        <v>663679.4399610376</v>
      </c>
      <c r="G22" s="147">
        <f t="shared" si="6"/>
        <v>114272.22950195307</v>
      </c>
      <c r="H22" s="152">
        <f t="shared" si="0"/>
        <v>777951.66946299071</v>
      </c>
    </row>
    <row r="23" spans="1:12" ht="23.25" x14ac:dyDescent="0.35">
      <c r="A23" s="149">
        <v>11000</v>
      </c>
      <c r="B23" s="150">
        <f t="shared" si="1"/>
        <v>79.592390584511023</v>
      </c>
      <c r="C23" s="151">
        <f t="shared" si="2"/>
        <v>11</v>
      </c>
      <c r="D23" s="152">
        <f t="shared" si="3"/>
        <v>108061.78126909703</v>
      </c>
      <c r="E23" s="152">
        <f t="shared" si="4"/>
        <v>540308.90634548513</v>
      </c>
      <c r="F23" s="152">
        <f t="shared" si="5"/>
        <v>648370.68761458213</v>
      </c>
      <c r="G23" s="147">
        <f t="shared" si="6"/>
        <v>125133.74834570308</v>
      </c>
      <c r="H23" s="152">
        <f t="shared" si="0"/>
        <v>773504.43596028525</v>
      </c>
    </row>
    <row r="24" spans="1:12" ht="23.25" x14ac:dyDescent="0.35">
      <c r="A24" s="149">
        <v>12000</v>
      </c>
      <c r="B24" s="150">
        <f t="shared" si="1"/>
        <v>72.959691369135101</v>
      </c>
      <c r="C24" s="151">
        <f t="shared" si="2"/>
        <v>12</v>
      </c>
      <c r="D24" s="152">
        <f t="shared" si="3"/>
        <v>99056.632830005605</v>
      </c>
      <c r="E24" s="152">
        <f t="shared" si="4"/>
        <v>536556.7611625304</v>
      </c>
      <c r="F24" s="152">
        <f t="shared" si="5"/>
        <v>635613.393992536</v>
      </c>
      <c r="G24" s="147">
        <f t="shared" si="6"/>
        <v>135995.26718945306</v>
      </c>
      <c r="H24" s="152">
        <f>SUM(F24:G24)</f>
        <v>771608.66118198913</v>
      </c>
    </row>
    <row r="25" spans="1:12" ht="23.25" x14ac:dyDescent="0.35">
      <c r="A25" s="149">
        <v>13000</v>
      </c>
      <c r="B25" s="150">
        <f t="shared" si="1"/>
        <v>67.347407417663177</v>
      </c>
      <c r="C25" s="151">
        <f t="shared" si="2"/>
        <v>13</v>
      </c>
      <c r="D25" s="152">
        <f t="shared" si="3"/>
        <v>91436.891843082107</v>
      </c>
      <c r="E25" s="152">
        <f t="shared" si="4"/>
        <v>533381.86908464564</v>
      </c>
      <c r="F25" s="152">
        <f t="shared" si="5"/>
        <v>624818.7609277278</v>
      </c>
      <c r="G25" s="147">
        <f t="shared" si="6"/>
        <v>146856.78603320307</v>
      </c>
      <c r="H25" s="152">
        <f t="shared" si="0"/>
        <v>771675.54696093081</v>
      </c>
    </row>
    <row r="26" spans="1:12" ht="23.25" x14ac:dyDescent="0.35">
      <c r="A26" s="149">
        <v>14000</v>
      </c>
      <c r="B26" s="150">
        <f t="shared" si="1"/>
        <v>62.53687831640152</v>
      </c>
      <c r="C26" s="151">
        <f t="shared" si="2"/>
        <v>14</v>
      </c>
      <c r="D26" s="152">
        <f t="shared" si="3"/>
        <v>84905.685282861959</v>
      </c>
      <c r="E26" s="152">
        <f t="shared" si="4"/>
        <v>530660.53301788727</v>
      </c>
      <c r="F26" s="152">
        <f t="shared" si="5"/>
        <v>615566.2183007492</v>
      </c>
      <c r="G26" s="147">
        <f t="shared" si="6"/>
        <v>157718.30487695304</v>
      </c>
      <c r="H26" s="152">
        <f t="shared" si="0"/>
        <v>773284.52317770221</v>
      </c>
    </row>
    <row r="27" spans="1:12" ht="23.25" x14ac:dyDescent="0.35">
      <c r="A27" s="149">
        <v>15000</v>
      </c>
      <c r="B27" s="150">
        <f t="shared" si="1"/>
        <v>58.367753095308089</v>
      </c>
      <c r="C27" s="151">
        <f t="shared" si="2"/>
        <v>15</v>
      </c>
      <c r="D27" s="152">
        <f t="shared" si="3"/>
        <v>79245.306264004495</v>
      </c>
      <c r="E27" s="152">
        <f t="shared" si="4"/>
        <v>528302.04176002997</v>
      </c>
      <c r="F27" s="152">
        <f t="shared" si="5"/>
        <v>607547.34802403441</v>
      </c>
      <c r="G27" s="147">
        <f t="shared" si="6"/>
        <v>168579.82372070308</v>
      </c>
      <c r="H27" s="152">
        <f t="shared" si="0"/>
        <v>776127.17174473754</v>
      </c>
    </row>
    <row r="28" spans="1:12" ht="23.25" x14ac:dyDescent="0.35">
      <c r="A28" s="149">
        <v>16000</v>
      </c>
      <c r="B28" s="150">
        <f t="shared" si="1"/>
        <v>54.719768526851333</v>
      </c>
      <c r="C28" s="151">
        <f t="shared" si="2"/>
        <v>16</v>
      </c>
      <c r="D28" s="152">
        <f t="shared" si="3"/>
        <v>74292.474622504218</v>
      </c>
      <c r="E28" s="152">
        <f t="shared" si="4"/>
        <v>526238.36190940486</v>
      </c>
      <c r="F28" s="152">
        <f t="shared" si="5"/>
        <v>600530.83653190907</v>
      </c>
      <c r="G28" s="147">
        <f t="shared" si="6"/>
        <v>179441.34256445308</v>
      </c>
      <c r="H28" s="152">
        <f t="shared" si="0"/>
        <v>779972.17909636209</v>
      </c>
    </row>
    <row r="29" spans="1:12" ht="23.25" x14ac:dyDescent="0.35">
      <c r="A29" s="149">
        <v>17000</v>
      </c>
      <c r="B29" s="150">
        <f t="shared" si="1"/>
        <v>51.500958613507137</v>
      </c>
      <c r="C29" s="151">
        <f t="shared" si="2"/>
        <v>17</v>
      </c>
      <c r="D29" s="152">
        <f t="shared" si="3"/>
        <v>69922.329056474555</v>
      </c>
      <c r="E29" s="152">
        <f t="shared" si="4"/>
        <v>524417.46792355913</v>
      </c>
      <c r="F29" s="152">
        <f t="shared" si="5"/>
        <v>594339.79698003363</v>
      </c>
      <c r="G29" s="147">
        <f t="shared" si="6"/>
        <v>190302.86140820305</v>
      </c>
      <c r="H29" s="152">
        <f t="shared" si="0"/>
        <v>784642.65838823665</v>
      </c>
    </row>
    <row r="30" spans="1:12" ht="23.25" x14ac:dyDescent="0.35">
      <c r="A30" s="149">
        <v>18000</v>
      </c>
      <c r="B30" s="150">
        <f t="shared" si="1"/>
        <v>48.639794246090069</v>
      </c>
      <c r="C30" s="151">
        <f t="shared" si="2"/>
        <v>18</v>
      </c>
      <c r="D30" s="152">
        <f t="shared" si="3"/>
        <v>66037.755220003746</v>
      </c>
      <c r="E30" s="152">
        <f t="shared" si="4"/>
        <v>522798.89549169625</v>
      </c>
      <c r="F30" s="152">
        <f t="shared" si="5"/>
        <v>588836.65071169997</v>
      </c>
      <c r="G30" s="147">
        <f t="shared" si="6"/>
        <v>201164.38025195306</v>
      </c>
      <c r="H30" s="152">
        <f t="shared" si="0"/>
        <v>790001.030963653</v>
      </c>
    </row>
    <row r="31" spans="1:12" ht="23.25" x14ac:dyDescent="0.35">
      <c r="A31" s="149">
        <v>19000</v>
      </c>
      <c r="B31" s="150">
        <f t="shared" si="1"/>
        <v>46.079805075243229</v>
      </c>
      <c r="C31" s="151">
        <f t="shared" si="2"/>
        <v>19</v>
      </c>
      <c r="D31" s="152">
        <f t="shared" si="3"/>
        <v>62562.083892635135</v>
      </c>
      <c r="E31" s="152">
        <f t="shared" si="4"/>
        <v>521350.69910529273</v>
      </c>
      <c r="F31" s="152">
        <f t="shared" si="5"/>
        <v>583912.78299792786</v>
      </c>
      <c r="G31" s="147">
        <f t="shared" si="6"/>
        <v>212025.89909570303</v>
      </c>
      <c r="H31" s="152">
        <f t="shared" si="0"/>
        <v>795938.68209363089</v>
      </c>
    </row>
    <row r="32" spans="1:12" ht="23.25" x14ac:dyDescent="0.35">
      <c r="A32" s="149">
        <v>20000</v>
      </c>
      <c r="B32" s="150">
        <f t="shared" si="1"/>
        <v>43.775814821481063</v>
      </c>
      <c r="C32" s="151">
        <f t="shared" si="2"/>
        <v>20</v>
      </c>
      <c r="D32" s="152">
        <f t="shared" si="3"/>
        <v>59433.979698003372</v>
      </c>
      <c r="E32" s="152">
        <f t="shared" si="4"/>
        <v>520047.32235752948</v>
      </c>
      <c r="F32" s="152">
        <f t="shared" si="5"/>
        <v>579481.30205553281</v>
      </c>
      <c r="G32" s="147">
        <f t="shared" si="6"/>
        <v>222887.41793945304</v>
      </c>
      <c r="H32" s="152">
        <f t="shared" si="0"/>
        <v>802368.71999498585</v>
      </c>
    </row>
    <row r="33" spans="1:8" ht="23.25" x14ac:dyDescent="0.35">
      <c r="A33" s="149">
        <v>21000</v>
      </c>
      <c r="B33" s="150">
        <f t="shared" si="1"/>
        <v>41.691252210934344</v>
      </c>
      <c r="C33" s="151">
        <f t="shared" si="2"/>
        <v>21</v>
      </c>
      <c r="D33" s="152">
        <f t="shared" si="3"/>
        <v>56603.790188574632</v>
      </c>
      <c r="E33" s="152">
        <f t="shared" si="4"/>
        <v>518868.07672860083</v>
      </c>
      <c r="F33" s="152">
        <f t="shared" si="5"/>
        <v>575471.86691717547</v>
      </c>
      <c r="G33" s="147">
        <f t="shared" si="6"/>
        <v>233748.93678320304</v>
      </c>
      <c r="H33" s="152">
        <f t="shared" si="0"/>
        <v>809220.80370037851</v>
      </c>
    </row>
    <row r="34" spans="1:8" ht="23.25" x14ac:dyDescent="0.35">
      <c r="A34" s="149">
        <v>22000</v>
      </c>
      <c r="B34" s="150">
        <f t="shared" si="1"/>
        <v>39.796195292255511</v>
      </c>
      <c r="C34" s="151">
        <f t="shared" si="2"/>
        <v>22</v>
      </c>
      <c r="D34" s="152">
        <f t="shared" si="3"/>
        <v>54030.890634548516</v>
      </c>
      <c r="E34" s="152">
        <f t="shared" si="4"/>
        <v>517796.03524775658</v>
      </c>
      <c r="F34" s="152">
        <f t="shared" si="5"/>
        <v>571826.92588230514</v>
      </c>
      <c r="G34" s="147">
        <f t="shared" si="6"/>
        <v>244610.45562695304</v>
      </c>
      <c r="H34" s="152">
        <f t="shared" si="0"/>
        <v>816437.38150925818</v>
      </c>
    </row>
    <row r="35" spans="1:8" ht="23.25" x14ac:dyDescent="0.35">
      <c r="A35" s="149">
        <v>23000</v>
      </c>
      <c r="B35" s="150">
        <f t="shared" si="1"/>
        <v>38.065925931722667</v>
      </c>
      <c r="C35" s="151">
        <f t="shared" si="2"/>
        <v>23</v>
      </c>
      <c r="D35" s="152">
        <f t="shared" si="3"/>
        <v>51681.721476524675</v>
      </c>
      <c r="E35" s="152">
        <f t="shared" si="4"/>
        <v>516817.21476524672</v>
      </c>
      <c r="F35" s="152">
        <f t="shared" si="5"/>
        <v>568498.93624177144</v>
      </c>
      <c r="G35" s="147">
        <f t="shared" si="6"/>
        <v>255471.97447070299</v>
      </c>
      <c r="H35" s="152">
        <f t="shared" si="0"/>
        <v>823970.91071247449</v>
      </c>
    </row>
    <row r="36" spans="1:8" ht="23.25" x14ac:dyDescent="0.35">
      <c r="A36" s="149">
        <v>24000</v>
      </c>
      <c r="B36" s="150">
        <f t="shared" si="1"/>
        <v>36.47984568456755</v>
      </c>
      <c r="C36" s="151">
        <f t="shared" si="2"/>
        <v>24</v>
      </c>
      <c r="D36" s="152">
        <f t="shared" si="3"/>
        <v>49528.316415002802</v>
      </c>
      <c r="E36" s="152">
        <f t="shared" si="4"/>
        <v>515919.96265627921</v>
      </c>
      <c r="F36" s="152">
        <f t="shared" si="5"/>
        <v>565448.27907128201</v>
      </c>
      <c r="G36" s="147">
        <f t="shared" si="6"/>
        <v>266333.49331445299</v>
      </c>
      <c r="H36" s="152">
        <f t="shared" si="0"/>
        <v>831781.77238573506</v>
      </c>
    </row>
    <row r="37" spans="1:8" ht="23.25" x14ac:dyDescent="0.35">
      <c r="A37" s="149">
        <v>25000</v>
      </c>
      <c r="B37" s="150">
        <f t="shared" si="1"/>
        <v>35.020651857184852</v>
      </c>
      <c r="C37" s="151">
        <f t="shared" si="2"/>
        <v>25</v>
      </c>
      <c r="D37" s="152">
        <f t="shared" si="3"/>
        <v>47547.183758402694</v>
      </c>
      <c r="E37" s="152">
        <f t="shared" si="4"/>
        <v>515094.49071602925</v>
      </c>
      <c r="F37" s="152">
        <f t="shared" si="5"/>
        <v>562641.6744744319</v>
      </c>
      <c r="G37" s="147">
        <f t="shared" si="6"/>
        <v>277195.012158203</v>
      </c>
      <c r="H37" s="152">
        <f t="shared" si="0"/>
        <v>839836.68663263484</v>
      </c>
    </row>
    <row r="38" spans="1:8" ht="23.25" x14ac:dyDescent="0.35">
      <c r="A38" s="149">
        <v>26000</v>
      </c>
      <c r="B38" s="150">
        <f t="shared" si="1"/>
        <v>33.673703708831589</v>
      </c>
      <c r="C38" s="151">
        <f t="shared" si="2"/>
        <v>26</v>
      </c>
      <c r="D38" s="152">
        <f t="shared" si="3"/>
        <v>45718.445921541053</v>
      </c>
      <c r="E38" s="152">
        <f t="shared" si="4"/>
        <v>514332.51661733683</v>
      </c>
      <c r="F38" s="152">
        <f t="shared" si="5"/>
        <v>560050.96253887785</v>
      </c>
      <c r="G38" s="147">
        <f t="shared" si="6"/>
        <v>288056.531001953</v>
      </c>
      <c r="H38" s="152">
        <f t="shared" si="0"/>
        <v>848107.49354083091</v>
      </c>
    </row>
    <row r="39" spans="1:8" ht="23.25" x14ac:dyDescent="0.35">
      <c r="A39" s="149">
        <v>27000</v>
      </c>
      <c r="B39" s="150">
        <f t="shared" si="1"/>
        <v>32.426529497393382</v>
      </c>
      <c r="C39" s="151">
        <f t="shared" si="2"/>
        <v>27</v>
      </c>
      <c r="D39" s="152">
        <f t="shared" si="3"/>
        <v>44025.170146669167</v>
      </c>
      <c r="E39" s="152">
        <f t="shared" si="4"/>
        <v>513626.98504447361</v>
      </c>
      <c r="F39" s="152">
        <f t="shared" si="5"/>
        <v>557652.15519114281</v>
      </c>
      <c r="G39" s="147">
        <f t="shared" si="6"/>
        <v>298918.049845703</v>
      </c>
      <c r="H39" s="152">
        <f t="shared" si="0"/>
        <v>856570.20503684576</v>
      </c>
    </row>
    <row r="40" spans="1:8" ht="23.25" x14ac:dyDescent="0.35">
      <c r="A40" s="149">
        <v>28000</v>
      </c>
      <c r="B40" s="150">
        <f t="shared" si="1"/>
        <v>31.26843915820076</v>
      </c>
      <c r="C40" s="151">
        <f t="shared" si="2"/>
        <v>28</v>
      </c>
      <c r="D40" s="152">
        <f t="shared" si="3"/>
        <v>42452.84264143098</v>
      </c>
      <c r="E40" s="152">
        <f t="shared" si="4"/>
        <v>512971.84858395759</v>
      </c>
      <c r="F40" s="152">
        <f t="shared" si="5"/>
        <v>555424.69122538855</v>
      </c>
      <c r="G40" s="147">
        <f t="shared" si="6"/>
        <v>309779.56868945295</v>
      </c>
      <c r="H40" s="152">
        <f t="shared" si="0"/>
        <v>865204.2599148415</v>
      </c>
    </row>
    <row r="41" spans="1:8" ht="23.25" x14ac:dyDescent="0.35">
      <c r="A41" s="149">
        <v>29000</v>
      </c>
      <c r="B41" s="150">
        <f t="shared" si="1"/>
        <v>30.190217118262805</v>
      </c>
      <c r="C41" s="151">
        <f t="shared" si="2"/>
        <v>29</v>
      </c>
      <c r="D41" s="152">
        <f t="shared" si="3"/>
        <v>40988.951515864399</v>
      </c>
      <c r="E41" s="152">
        <f t="shared" si="4"/>
        <v>512361.89394830487</v>
      </c>
      <c r="F41" s="152">
        <f t="shared" si="5"/>
        <v>553350.84546416928</v>
      </c>
      <c r="G41" s="147">
        <f t="shared" si="6"/>
        <v>320641.08753320295</v>
      </c>
      <c r="H41" s="152">
        <f t="shared" si="0"/>
        <v>873991.93299737223</v>
      </c>
    </row>
    <row r="42" spans="1:8" ht="23.25" x14ac:dyDescent="0.35">
      <c r="A42" s="149">
        <v>30000</v>
      </c>
      <c r="B42" s="150">
        <f t="shared" si="1"/>
        <v>29.183876547654044</v>
      </c>
      <c r="C42" s="151">
        <f t="shared" si="2"/>
        <v>30</v>
      </c>
      <c r="D42" s="152">
        <f t="shared" si="3"/>
        <v>39622.653132002248</v>
      </c>
      <c r="E42" s="152">
        <f t="shared" si="4"/>
        <v>511792.60295502906</v>
      </c>
      <c r="F42" s="152">
        <f t="shared" si="5"/>
        <v>551415.25608703133</v>
      </c>
      <c r="G42" s="147">
        <f t="shared" si="6"/>
        <v>331502.60637695302</v>
      </c>
      <c r="H42" s="152">
        <f t="shared" si="0"/>
        <v>882917.86246398441</v>
      </c>
    </row>
    <row r="43" spans="1:8" ht="23.25" x14ac:dyDescent="0.35">
      <c r="A43" s="149">
        <v>31000</v>
      </c>
      <c r="B43" s="150">
        <f t="shared" si="1"/>
        <v>28.242461175149074</v>
      </c>
      <c r="C43" s="151">
        <f t="shared" si="2"/>
        <v>31</v>
      </c>
      <c r="D43" s="152">
        <f t="shared" si="3"/>
        <v>38344.503030969914</v>
      </c>
      <c r="E43" s="152">
        <f t="shared" si="4"/>
        <v>511260.04041293223</v>
      </c>
      <c r="F43" s="152">
        <f t="shared" si="5"/>
        <v>549604.54344390216</v>
      </c>
      <c r="G43" s="147">
        <f t="shared" si="6"/>
        <v>342364.12522070302</v>
      </c>
      <c r="H43" s="152">
        <f t="shared" si="0"/>
        <v>891968.66866460512</v>
      </c>
    </row>
    <row r="44" spans="1:8" ht="23.25" x14ac:dyDescent="0.35">
      <c r="A44" s="149">
        <v>32000</v>
      </c>
      <c r="B44" s="150">
        <f t="shared" si="1"/>
        <v>27.359884263425666</v>
      </c>
      <c r="C44" s="151">
        <f t="shared" si="2"/>
        <v>32</v>
      </c>
      <c r="D44" s="152">
        <f t="shared" si="3"/>
        <v>37146.237311252109</v>
      </c>
      <c r="E44" s="152">
        <f t="shared" si="4"/>
        <v>510760.76302971644</v>
      </c>
      <c r="F44" s="152">
        <f t="shared" si="5"/>
        <v>547907.0003409686</v>
      </c>
      <c r="G44" s="147">
        <f t="shared" si="6"/>
        <v>353225.64406445302</v>
      </c>
      <c r="H44" s="152">
        <f t="shared" si="0"/>
        <v>901132.64440542157</v>
      </c>
    </row>
    <row r="45" spans="1:8" ht="23.25" x14ac:dyDescent="0.35">
      <c r="A45" s="149">
        <v>33000</v>
      </c>
      <c r="B45" s="150">
        <f t="shared" si="1"/>
        <v>26.530796861503674</v>
      </c>
      <c r="C45" s="151">
        <f t="shared" si="2"/>
        <v>33</v>
      </c>
      <c r="D45" s="152">
        <f t="shared" ref="D45:D76" si="7">(fixed_order_cost_23)*B45</f>
        <v>36020.593756365677</v>
      </c>
      <c r="E45" s="152">
        <f t="shared" si="4"/>
        <v>510291.744881847</v>
      </c>
      <c r="F45" s="152">
        <f t="shared" si="5"/>
        <v>546312.33863821265</v>
      </c>
      <c r="G45" s="147">
        <f t="shared" si="6"/>
        <v>364087.16290820297</v>
      </c>
      <c r="H45" s="152">
        <f t="shared" si="0"/>
        <v>910399.50154641562</v>
      </c>
    </row>
    <row r="46" spans="1:8" ht="23.25" x14ac:dyDescent="0.35">
      <c r="A46" s="149">
        <v>34000</v>
      </c>
      <c r="B46" s="150">
        <f t="shared" si="1"/>
        <v>25.750479306753569</v>
      </c>
      <c r="C46" s="151">
        <f t="shared" si="2"/>
        <v>34</v>
      </c>
      <c r="D46" s="152">
        <f t="shared" si="7"/>
        <v>34961.164528237277</v>
      </c>
      <c r="E46" s="152">
        <f t="shared" si="4"/>
        <v>509850.31603679358</v>
      </c>
      <c r="F46" s="152">
        <f t="shared" si="5"/>
        <v>544811.48056503083</v>
      </c>
      <c r="G46" s="147">
        <f t="shared" si="6"/>
        <v>374948.68175195297</v>
      </c>
      <c r="H46" s="152">
        <f t="shared" si="0"/>
        <v>919760.1623169838</v>
      </c>
    </row>
    <row r="47" spans="1:8" ht="23.25" x14ac:dyDescent="0.35">
      <c r="A47" s="149">
        <v>35000</v>
      </c>
      <c r="B47" s="150">
        <f t="shared" si="1"/>
        <v>25.014751326560607</v>
      </c>
      <c r="C47" s="151">
        <f t="shared" si="2"/>
        <v>35</v>
      </c>
      <c r="D47" s="152">
        <f t="shared" si="7"/>
        <v>33962.274113144784</v>
      </c>
      <c r="E47" s="152">
        <f t="shared" si="4"/>
        <v>509434.1116971717</v>
      </c>
      <c r="F47" s="152">
        <f t="shared" si="5"/>
        <v>543396.38581031654</v>
      </c>
      <c r="G47" s="147">
        <f t="shared" si="6"/>
        <v>385810.20059570298</v>
      </c>
      <c r="H47" s="152">
        <f t="shared" si="0"/>
        <v>929206.58640601952</v>
      </c>
    </row>
    <row r="48" spans="1:8" ht="23.25" x14ac:dyDescent="0.35">
      <c r="A48" s="149">
        <v>36000</v>
      </c>
      <c r="B48" s="150">
        <f t="shared" si="1"/>
        <v>24.319897123045035</v>
      </c>
      <c r="C48" s="151">
        <f t="shared" si="2"/>
        <v>36</v>
      </c>
      <c r="D48" s="152">
        <f t="shared" si="7"/>
        <v>33018.877610001873</v>
      </c>
      <c r="E48" s="152">
        <f t="shared" si="4"/>
        <v>509041.02982086217</v>
      </c>
      <c r="F48" s="152">
        <f t="shared" si="5"/>
        <v>542059.90743086406</v>
      </c>
      <c r="G48" s="147">
        <f t="shared" si="6"/>
        <v>396671.71943945298</v>
      </c>
      <c r="H48" s="152">
        <f t="shared" si="0"/>
        <v>938731.62687031704</v>
      </c>
    </row>
    <row r="49" spans="1:8" ht="23.25" x14ac:dyDescent="0.35">
      <c r="A49" s="149">
        <v>37000</v>
      </c>
      <c r="B49" s="150">
        <f t="shared" si="1"/>
        <v>23.662602606205979</v>
      </c>
      <c r="C49" s="151">
        <f t="shared" si="2"/>
        <v>37</v>
      </c>
      <c r="D49" s="152">
        <f t="shared" si="7"/>
        <v>32126.475512434252</v>
      </c>
      <c r="E49" s="152">
        <f t="shared" si="4"/>
        <v>508669.19561354228</v>
      </c>
      <c r="F49" s="152">
        <f t="shared" si="5"/>
        <v>540795.67112597649</v>
      </c>
      <c r="G49" s="147">
        <f t="shared" si="6"/>
        <v>407533.23828320298</v>
      </c>
      <c r="H49" s="152">
        <f t="shared" si="0"/>
        <v>948328.90940917947</v>
      </c>
    </row>
    <row r="50" spans="1:8" ht="23.25" x14ac:dyDescent="0.35">
      <c r="A50" s="149">
        <v>38000</v>
      </c>
      <c r="B50" s="150">
        <f t="shared" si="1"/>
        <v>23.039902537621614</v>
      </c>
      <c r="C50" s="151">
        <f t="shared" si="2"/>
        <v>38</v>
      </c>
      <c r="D50" s="152">
        <f t="shared" si="7"/>
        <v>31281.041946317568</v>
      </c>
      <c r="E50" s="152">
        <f t="shared" si="4"/>
        <v>508316.93162766035</v>
      </c>
      <c r="F50" s="152">
        <f t="shared" si="5"/>
        <v>539597.97357397794</v>
      </c>
      <c r="G50" s="147">
        <f t="shared" si="6"/>
        <v>418394.75712695293</v>
      </c>
      <c r="H50" s="152">
        <f t="shared" si="0"/>
        <v>957992.73070093081</v>
      </c>
    </row>
    <row r="51" spans="1:8" ht="23.25" x14ac:dyDescent="0.35">
      <c r="A51" s="149">
        <v>39000</v>
      </c>
      <c r="B51" s="150">
        <f t="shared" si="1"/>
        <v>22.449135805887725</v>
      </c>
      <c r="C51" s="151">
        <f t="shared" si="2"/>
        <v>39</v>
      </c>
      <c r="D51" s="152">
        <f t="shared" si="7"/>
        <v>30478.963947694036</v>
      </c>
      <c r="E51" s="152">
        <f t="shared" si="4"/>
        <v>507982.73246156715</v>
      </c>
      <c r="F51" s="152">
        <f t="shared" si="5"/>
        <v>538461.6964092612</v>
      </c>
      <c r="G51" s="147">
        <f t="shared" si="6"/>
        <v>429256.27597070293</v>
      </c>
      <c r="H51" s="152">
        <f t="shared" si="0"/>
        <v>967717.97237996408</v>
      </c>
    </row>
    <row r="52" spans="1:8" ht="23.25" x14ac:dyDescent="0.35">
      <c r="A52" s="149">
        <v>40000</v>
      </c>
      <c r="B52" s="150">
        <f t="shared" si="1"/>
        <v>21.887907410740532</v>
      </c>
      <c r="C52" s="151">
        <f t="shared" si="2"/>
        <v>40</v>
      </c>
      <c r="D52" s="152">
        <f t="shared" si="7"/>
        <v>29716.989849001686</v>
      </c>
      <c r="E52" s="152">
        <f t="shared" si="4"/>
        <v>507665.24325377872</v>
      </c>
      <c r="F52" s="152">
        <f t="shared" si="5"/>
        <v>537382.23310278042</v>
      </c>
      <c r="G52" s="147">
        <f t="shared" si="6"/>
        <v>440117.79481445294</v>
      </c>
      <c r="H52" s="152">
        <f t="shared" si="0"/>
        <v>977500.0279172333</v>
      </c>
    </row>
    <row r="53" spans="1:8" ht="23.25" x14ac:dyDescent="0.35">
      <c r="A53" s="149">
        <v>41000</v>
      </c>
      <c r="B53" s="150">
        <f t="shared" si="1"/>
        <v>21.354056010478569</v>
      </c>
      <c r="C53" s="151">
        <f t="shared" si="2"/>
        <v>41</v>
      </c>
      <c r="D53" s="152">
        <f t="shared" si="7"/>
        <v>28992.18521853823</v>
      </c>
      <c r="E53" s="152">
        <f t="shared" si="4"/>
        <v>507363.24132441898</v>
      </c>
      <c r="F53" s="152">
        <f t="shared" si="5"/>
        <v>536355.4265429572</v>
      </c>
      <c r="G53" s="147">
        <f t="shared" si="6"/>
        <v>450979.31365820288</v>
      </c>
      <c r="H53" s="152">
        <f t="shared" si="0"/>
        <v>987334.74020116008</v>
      </c>
    </row>
    <row r="54" spans="1:8" ht="23.25" x14ac:dyDescent="0.35">
      <c r="A54" s="149">
        <v>42000</v>
      </c>
      <c r="B54" s="150">
        <f t="shared" si="1"/>
        <v>20.845626105467172</v>
      </c>
      <c r="C54" s="151">
        <f t="shared" si="2"/>
        <v>42</v>
      </c>
      <c r="D54" s="152">
        <f t="shared" si="7"/>
        <v>28301.895094287316</v>
      </c>
      <c r="E54" s="152">
        <f t="shared" si="4"/>
        <v>507075.6204393144</v>
      </c>
      <c r="F54" s="152">
        <f t="shared" si="5"/>
        <v>535377.51553360175</v>
      </c>
      <c r="G54" s="147">
        <f t="shared" si="6"/>
        <v>461840.83250195294</v>
      </c>
      <c r="H54" s="152">
        <f t="shared" si="0"/>
        <v>997218.34803555463</v>
      </c>
    </row>
    <row r="55" spans="1:8" ht="23.25" x14ac:dyDescent="0.35">
      <c r="A55" s="149">
        <v>43000</v>
      </c>
      <c r="B55" s="150">
        <f t="shared" si="1"/>
        <v>20.360844103014447</v>
      </c>
      <c r="C55" s="151">
        <f t="shared" si="2"/>
        <v>43</v>
      </c>
      <c r="D55" s="152">
        <f t="shared" si="7"/>
        <v>27643.711487443426</v>
      </c>
      <c r="E55" s="152">
        <f t="shared" si="4"/>
        <v>506801.37726979604</v>
      </c>
      <c r="F55" s="152">
        <f t="shared" si="5"/>
        <v>534445.08875723951</v>
      </c>
      <c r="G55" s="147">
        <f t="shared" si="6"/>
        <v>472702.35134570289</v>
      </c>
      <c r="H55" s="152">
        <f t="shared" si="0"/>
        <v>1007147.4401029424</v>
      </c>
    </row>
    <row r="56" spans="1:8" ht="23.25" x14ac:dyDescent="0.35">
      <c r="A56" s="149">
        <v>44000</v>
      </c>
      <c r="B56" s="150">
        <f t="shared" si="1"/>
        <v>19.898097646127756</v>
      </c>
      <c r="C56" s="151">
        <f t="shared" si="2"/>
        <v>44</v>
      </c>
      <c r="D56" s="152">
        <f t="shared" si="7"/>
        <v>27015.445317274258</v>
      </c>
      <c r="E56" s="152">
        <f t="shared" si="4"/>
        <v>506539.59969889233</v>
      </c>
      <c r="F56" s="152">
        <f t="shared" si="5"/>
        <v>533555.04501616664</v>
      </c>
      <c r="G56" s="147">
        <f t="shared" si="6"/>
        <v>483563.87018945295</v>
      </c>
      <c r="H56" s="152">
        <f t="shared" si="0"/>
        <v>1017118.9152056195</v>
      </c>
    </row>
    <row r="57" spans="1:8" ht="23.25" x14ac:dyDescent="0.35">
      <c r="A57" s="149">
        <v>45000</v>
      </c>
      <c r="B57" s="150">
        <f t="shared" si="1"/>
        <v>19.455917698436028</v>
      </c>
      <c r="C57" s="151">
        <f t="shared" si="2"/>
        <v>45</v>
      </c>
      <c r="D57" s="152">
        <f t="shared" si="7"/>
        <v>26415.102088001498</v>
      </c>
      <c r="E57" s="152">
        <f t="shared" si="4"/>
        <v>506289.45668669534</v>
      </c>
      <c r="F57" s="152">
        <f t="shared" si="5"/>
        <v>532704.5587746969</v>
      </c>
      <c r="G57" s="147">
        <f t="shared" si="6"/>
        <v>494425.3890332029</v>
      </c>
      <c r="H57" s="152">
        <f t="shared" si="0"/>
        <v>1027129.9478078998</v>
      </c>
    </row>
    <row r="58" spans="1:8" ht="23.25" x14ac:dyDescent="0.35">
      <c r="A58" s="149">
        <v>46000</v>
      </c>
      <c r="B58" s="150">
        <f t="shared" si="1"/>
        <v>19.032962965861334</v>
      </c>
      <c r="C58" s="151">
        <f t="shared" si="2"/>
        <v>46</v>
      </c>
      <c r="D58" s="152">
        <f t="shared" si="7"/>
        <v>25840.860738262338</v>
      </c>
      <c r="E58" s="152">
        <f t="shared" si="4"/>
        <v>506050.18945763737</v>
      </c>
      <c r="F58" s="152">
        <f t="shared" si="5"/>
        <v>531891.05019589968</v>
      </c>
      <c r="G58" s="147">
        <f t="shared" si="6"/>
        <v>505286.90787695284</v>
      </c>
      <c r="H58" s="152">
        <f t="shared" si="0"/>
        <v>1037177.9580728526</v>
      </c>
    </row>
    <row r="59" spans="1:8" ht="23.25" x14ac:dyDescent="0.35">
      <c r="A59" s="149">
        <v>47000</v>
      </c>
      <c r="B59" s="150">
        <f t="shared" si="1"/>
        <v>18.628006307013219</v>
      </c>
      <c r="C59" s="151">
        <f t="shared" si="2"/>
        <v>47</v>
      </c>
      <c r="D59" s="152">
        <f t="shared" si="7"/>
        <v>25291.055190639734</v>
      </c>
      <c r="E59" s="152">
        <f t="shared" si="4"/>
        <v>505821.10381279461</v>
      </c>
      <c r="F59" s="152">
        <f t="shared" si="5"/>
        <v>531112.15900343435</v>
      </c>
      <c r="G59" s="147">
        <f t="shared" si="6"/>
        <v>516148.4267207029</v>
      </c>
      <c r="H59" s="152">
        <f t="shared" si="0"/>
        <v>1047260.5857241373</v>
      </c>
    </row>
    <row r="60" spans="1:8" ht="23.25" x14ac:dyDescent="0.35">
      <c r="A60" s="149">
        <v>48000</v>
      </c>
      <c r="B60" s="150">
        <f t="shared" si="1"/>
        <v>18.239922842283775</v>
      </c>
      <c r="C60" s="151">
        <f t="shared" si="2"/>
        <v>48</v>
      </c>
      <c r="D60" s="152">
        <f t="shared" si="7"/>
        <v>24764.158207501401</v>
      </c>
      <c r="E60" s="152">
        <f t="shared" si="4"/>
        <v>505601.56340315356</v>
      </c>
      <c r="F60" s="152">
        <f t="shared" si="5"/>
        <v>530365.72161065496</v>
      </c>
      <c r="G60" s="147">
        <f t="shared" si="6"/>
        <v>527009.94556445279</v>
      </c>
      <c r="H60" s="152">
        <f t="shared" si="0"/>
        <v>1057375.6671751076</v>
      </c>
    </row>
    <row r="61" spans="1:8" ht="23.25" x14ac:dyDescent="0.35">
      <c r="A61" s="149">
        <v>49000</v>
      </c>
      <c r="B61" s="150">
        <f t="shared" si="1"/>
        <v>17.867679518971862</v>
      </c>
      <c r="C61" s="151">
        <f t="shared" si="2"/>
        <v>49</v>
      </c>
      <c r="D61" s="152">
        <f t="shared" si="7"/>
        <v>24258.767223674844</v>
      </c>
      <c r="E61" s="152">
        <f t="shared" si="4"/>
        <v>505390.98382655921</v>
      </c>
      <c r="F61" s="152">
        <f t="shared" si="5"/>
        <v>529649.75105023407</v>
      </c>
      <c r="G61" s="147">
        <f t="shared" si="6"/>
        <v>537871.46440820291</v>
      </c>
      <c r="H61" s="152">
        <f t="shared" si="0"/>
        <v>1067521.2154584369</v>
      </c>
    </row>
    <row r="62" spans="1:8" ht="23.25" x14ac:dyDescent="0.35">
      <c r="A62" s="149">
        <v>50000</v>
      </c>
      <c r="B62" s="150">
        <f t="shared" si="1"/>
        <v>17.510325928592426</v>
      </c>
      <c r="C62" s="151">
        <f t="shared" si="2"/>
        <v>50</v>
      </c>
      <c r="D62" s="152">
        <f t="shared" si="7"/>
        <v>23773.591879201347</v>
      </c>
      <c r="E62" s="152">
        <f t="shared" si="4"/>
        <v>505188.82743302861</v>
      </c>
      <c r="F62" s="152">
        <f t="shared" si="5"/>
        <v>528962.41931222996</v>
      </c>
      <c r="G62" s="147">
        <f t="shared" si="6"/>
        <v>548732.9832519528</v>
      </c>
      <c r="H62" s="152">
        <f t="shared" si="0"/>
        <v>1077695.4025641829</v>
      </c>
    </row>
    <row r="63" spans="1:8" ht="23.25" x14ac:dyDescent="0.35">
      <c r="A63" s="149">
        <v>51000</v>
      </c>
      <c r="B63" s="150">
        <f t="shared" si="1"/>
        <v>17.166986204502379</v>
      </c>
      <c r="C63" s="151">
        <f t="shared" si="2"/>
        <v>51</v>
      </c>
      <c r="D63" s="152">
        <f t="shared" si="7"/>
        <v>23307.443018824852</v>
      </c>
      <c r="E63" s="152">
        <f t="shared" si="4"/>
        <v>504994.59874120506</v>
      </c>
      <c r="F63" s="152">
        <f t="shared" si="5"/>
        <v>528302.04176002997</v>
      </c>
      <c r="G63" s="147">
        <f t="shared" si="6"/>
        <v>559594.5020957028</v>
      </c>
      <c r="H63" s="152">
        <f t="shared" si="0"/>
        <v>1087896.5438557328</v>
      </c>
    </row>
    <row r="64" spans="1:8" ht="23.25" x14ac:dyDescent="0.35">
      <c r="A64" s="149">
        <v>52000</v>
      </c>
      <c r="B64" s="150">
        <f t="shared" si="1"/>
        <v>16.836851854415794</v>
      </c>
      <c r="C64" s="151">
        <f t="shared" si="2"/>
        <v>52</v>
      </c>
      <c r="D64" s="152">
        <f t="shared" si="7"/>
        <v>22859.222960770527</v>
      </c>
      <c r="E64" s="152">
        <f t="shared" si="4"/>
        <v>504807.8403836824</v>
      </c>
      <c r="F64" s="152">
        <f t="shared" si="5"/>
        <v>527667.06334445288</v>
      </c>
      <c r="G64" s="147">
        <f t="shared" si="6"/>
        <v>570456.02093945281</v>
      </c>
      <c r="H64" s="152">
        <f t="shared" si="0"/>
        <v>1098123.0842839056</v>
      </c>
    </row>
    <row r="65" spans="1:8" ht="23.25" x14ac:dyDescent="0.35">
      <c r="A65" s="149">
        <v>53000</v>
      </c>
      <c r="B65" s="150">
        <f t="shared" si="1"/>
        <v>16.519175404332476</v>
      </c>
      <c r="C65" s="151">
        <f t="shared" si="2"/>
        <v>53</v>
      </c>
      <c r="D65" s="152">
        <f t="shared" si="7"/>
        <v>22427.916867171083</v>
      </c>
      <c r="E65" s="152">
        <f t="shared" si="4"/>
        <v>504628.12951134925</v>
      </c>
      <c r="F65" s="152">
        <f t="shared" si="5"/>
        <v>527056.04637852032</v>
      </c>
      <c r="G65" s="147">
        <f t="shared" si="6"/>
        <v>581317.53978320281</v>
      </c>
      <c r="H65" s="152">
        <f t="shared" si="0"/>
        <v>1108373.5861617231</v>
      </c>
    </row>
    <row r="66" spans="1:8" ht="23.25" x14ac:dyDescent="0.35">
      <c r="A66" s="149">
        <v>54000</v>
      </c>
      <c r="B66" s="150">
        <f t="shared" si="1"/>
        <v>16.213264748696691</v>
      </c>
      <c r="C66" s="151">
        <f t="shared" si="2"/>
        <v>54</v>
      </c>
      <c r="D66" s="152">
        <f t="shared" si="7"/>
        <v>22012.585073334583</v>
      </c>
      <c r="E66" s="152">
        <f t="shared" si="4"/>
        <v>504455.07459725079</v>
      </c>
      <c r="F66" s="152">
        <f t="shared" si="5"/>
        <v>526467.65967058542</v>
      </c>
      <c r="G66" s="147">
        <f t="shared" si="6"/>
        <v>592179.05862695281</v>
      </c>
      <c r="H66" s="152">
        <f t="shared" si="0"/>
        <v>1118646.7182975383</v>
      </c>
    </row>
    <row r="67" spans="1:8" ht="23.25" x14ac:dyDescent="0.35">
      <c r="A67" s="149">
        <v>55000</v>
      </c>
      <c r="B67" s="150">
        <f t="shared" si="1"/>
        <v>15.918478116902206</v>
      </c>
      <c r="C67" s="151">
        <f t="shared" si="2"/>
        <v>55</v>
      </c>
      <c r="D67" s="152">
        <f t="shared" si="7"/>
        <v>21612.356253819409</v>
      </c>
      <c r="E67" s="152">
        <f t="shared" si="4"/>
        <v>504288.31258911948</v>
      </c>
      <c r="F67" s="152">
        <f t="shared" si="5"/>
        <v>525900.66884293885</v>
      </c>
      <c r="G67" s="147">
        <f t="shared" si="6"/>
        <v>603040.57747070282</v>
      </c>
      <c r="H67" s="152">
        <f t="shared" si="0"/>
        <v>1128941.2463136418</v>
      </c>
    </row>
    <row r="68" spans="1:8" ht="23.25" x14ac:dyDescent="0.35">
      <c r="A68" s="149">
        <v>56000</v>
      </c>
      <c r="B68" s="150">
        <f t="shared" si="1"/>
        <v>15.63421957910038</v>
      </c>
      <c r="C68" s="151">
        <f t="shared" si="2"/>
        <v>56</v>
      </c>
      <c r="D68" s="152">
        <f t="shared" si="7"/>
        <v>21226.42132071549</v>
      </c>
      <c r="E68" s="152">
        <f t="shared" si="4"/>
        <v>504127.50636699283</v>
      </c>
      <c r="F68" s="152">
        <f t="shared" si="5"/>
        <v>525353.92768770829</v>
      </c>
      <c r="G68" s="147">
        <f t="shared" si="6"/>
        <v>613902.0963144527</v>
      </c>
      <c r="H68" s="152">
        <f t="shared" si="0"/>
        <v>1139256.0240021609</v>
      </c>
    </row>
    <row r="69" spans="1:8" ht="23.25" x14ac:dyDescent="0.35">
      <c r="A69" s="149">
        <v>57000</v>
      </c>
      <c r="B69" s="150">
        <f t="shared" si="1"/>
        <v>15.359935025081075</v>
      </c>
      <c r="C69" s="151">
        <f t="shared" si="2"/>
        <v>57</v>
      </c>
      <c r="D69" s="152">
        <f t="shared" si="7"/>
        <v>20854.027964211709</v>
      </c>
      <c r="E69" s="152">
        <f t="shared" si="4"/>
        <v>503972.34246844955</v>
      </c>
      <c r="F69" s="152">
        <f t="shared" si="5"/>
        <v>524826.37043266126</v>
      </c>
      <c r="G69" s="147">
        <f t="shared" si="6"/>
        <v>624763.61515820283</v>
      </c>
      <c r="H69" s="152">
        <f t="shared" si="0"/>
        <v>1149589.985590864</v>
      </c>
    </row>
    <row r="70" spans="1:8" ht="23.25" x14ac:dyDescent="0.35">
      <c r="A70" s="149">
        <v>58000</v>
      </c>
      <c r="B70" s="150">
        <f t="shared" si="1"/>
        <v>15.095108559131402</v>
      </c>
      <c r="C70" s="151">
        <f t="shared" si="2"/>
        <v>58</v>
      </c>
      <c r="D70" s="152">
        <f t="shared" si="7"/>
        <v>20494.475757932199</v>
      </c>
      <c r="E70" s="152">
        <f t="shared" si="4"/>
        <v>503822.52904916648</v>
      </c>
      <c r="F70" s="152">
        <f t="shared" si="5"/>
        <v>524317.00480709865</v>
      </c>
      <c r="G70" s="147">
        <f t="shared" si="6"/>
        <v>635625.13400195271</v>
      </c>
      <c r="H70" s="152">
        <f t="shared" si="0"/>
        <v>1159942.1388090514</v>
      </c>
    </row>
    <row r="71" spans="1:8" ht="23.25" x14ac:dyDescent="0.35">
      <c r="A71" s="149">
        <v>59000</v>
      </c>
      <c r="B71" s="150">
        <f t="shared" si="1"/>
        <v>14.839259261519006</v>
      </c>
      <c r="C71" s="151">
        <f t="shared" si="2"/>
        <v>59</v>
      </c>
      <c r="D71" s="152">
        <f t="shared" si="7"/>
        <v>20147.111762035041</v>
      </c>
      <c r="E71" s="152">
        <f t="shared" si="4"/>
        <v>503677.79405087605</v>
      </c>
      <c r="F71" s="152">
        <f t="shared" si="5"/>
        <v>523824.90581291111</v>
      </c>
      <c r="G71" s="147">
        <f t="shared" si="6"/>
        <v>646486.65284570283</v>
      </c>
      <c r="H71" s="152">
        <f t="shared" si="0"/>
        <v>1170311.5586586138</v>
      </c>
    </row>
    <row r="72" spans="1:8" ht="23.25" x14ac:dyDescent="0.35">
      <c r="A72" s="149">
        <v>60000</v>
      </c>
      <c r="B72" s="150">
        <f t="shared" si="1"/>
        <v>14.591938273827022</v>
      </c>
      <c r="C72" s="151">
        <f t="shared" si="2"/>
        <v>60</v>
      </c>
      <c r="D72" s="152">
        <f t="shared" si="7"/>
        <v>19811.326566001124</v>
      </c>
      <c r="E72" s="152">
        <f t="shared" si="4"/>
        <v>503537.88355252851</v>
      </c>
      <c r="F72" s="152">
        <f t="shared" si="5"/>
        <v>523349.21011852962</v>
      </c>
      <c r="G72" s="147">
        <f t="shared" si="6"/>
        <v>657348.17168945284</v>
      </c>
      <c r="H72" s="152">
        <f t="shared" si="0"/>
        <v>1180697.3818079825</v>
      </c>
    </row>
    <row r="73" spans="1:8" ht="23.25" x14ac:dyDescent="0.35">
      <c r="A73" s="149">
        <v>61000</v>
      </c>
      <c r="B73" s="150">
        <f t="shared" si="1"/>
        <v>14.352726170977398</v>
      </c>
      <c r="C73" s="151">
        <f t="shared" si="2"/>
        <v>61</v>
      </c>
      <c r="D73" s="152">
        <f t="shared" si="7"/>
        <v>19486.550720656844</v>
      </c>
      <c r="E73" s="152">
        <f t="shared" si="4"/>
        <v>503402.5602836351</v>
      </c>
      <c r="F73" s="152">
        <f t="shared" si="5"/>
        <v>522889.11100429192</v>
      </c>
      <c r="G73" s="147">
        <f t="shared" si="6"/>
        <v>668209.69053320272</v>
      </c>
      <c r="H73" s="152">
        <f t="shared" si="0"/>
        <v>1191098.8015374946</v>
      </c>
    </row>
    <row r="74" spans="1:8" ht="23.25" x14ac:dyDescent="0.35">
      <c r="A74" s="149">
        <v>62000</v>
      </c>
      <c r="B74" s="150">
        <f t="shared" si="1"/>
        <v>14.121230587574537</v>
      </c>
      <c r="C74" s="151">
        <f t="shared" si="2"/>
        <v>62</v>
      </c>
      <c r="D74" s="152">
        <f t="shared" si="7"/>
        <v>19172.251515484957</v>
      </c>
      <c r="E74" s="152">
        <f t="shared" si="4"/>
        <v>503271.6022814801</v>
      </c>
      <c r="F74" s="152">
        <f t="shared" si="5"/>
        <v>522443.85379696504</v>
      </c>
      <c r="G74" s="147">
        <f t="shared" si="6"/>
        <v>679071.20937695284</v>
      </c>
      <c r="H74" s="152">
        <f t="shared" si="0"/>
        <v>1201515.0631739178</v>
      </c>
    </row>
    <row r="75" spans="1:8" ht="23.25" x14ac:dyDescent="0.35">
      <c r="A75" s="149">
        <v>63000</v>
      </c>
      <c r="B75" s="150">
        <f t="shared" si="1"/>
        <v>13.897084070311449</v>
      </c>
      <c r="C75" s="151">
        <f t="shared" si="2"/>
        <v>63</v>
      </c>
      <c r="D75" s="152">
        <f t="shared" si="7"/>
        <v>18867.930062858213</v>
      </c>
      <c r="E75" s="152">
        <f t="shared" si="4"/>
        <v>503144.80167621898</v>
      </c>
      <c r="F75" s="152">
        <f t="shared" si="5"/>
        <v>522012.73173907719</v>
      </c>
      <c r="G75" s="147">
        <f t="shared" si="6"/>
        <v>689932.72822070273</v>
      </c>
      <c r="H75" s="152">
        <f t="shared" si="0"/>
        <v>1211945.4599597799</v>
      </c>
    </row>
    <row r="76" spans="1:8" ht="23.25" x14ac:dyDescent="0.35">
      <c r="A76" s="149">
        <v>64000</v>
      </c>
      <c r="B76" s="150">
        <f t="shared" si="1"/>
        <v>13.679942131712833</v>
      </c>
      <c r="C76" s="151">
        <f t="shared" si="2"/>
        <v>64</v>
      </c>
      <c r="D76" s="152">
        <f t="shared" si="7"/>
        <v>18573.118655626055</v>
      </c>
      <c r="E76" s="152">
        <f t="shared" si="4"/>
        <v>503021.96358987229</v>
      </c>
      <c r="F76" s="152">
        <f t="shared" si="5"/>
        <v>521595.08224549837</v>
      </c>
      <c r="G76" s="147">
        <f t="shared" si="6"/>
        <v>700794.24706445285</v>
      </c>
      <c r="H76" s="152">
        <f t="shared" si="0"/>
        <v>1222389.3293099513</v>
      </c>
    </row>
    <row r="77" spans="1:8" ht="23.25" x14ac:dyDescent="0.35">
      <c r="A77" s="149">
        <v>65000</v>
      </c>
      <c r="B77" s="150">
        <f t="shared" si="1"/>
        <v>13.469481483532634</v>
      </c>
      <c r="C77" s="151">
        <f t="shared" si="2"/>
        <v>65</v>
      </c>
      <c r="D77" s="152">
        <f t="shared" ref="D77:D100" si="8">(fixed_order_cost_23)*B77</f>
        <v>18287.378368616421</v>
      </c>
      <c r="E77" s="152">
        <f t="shared" si="4"/>
        <v>502902.90513695159</v>
      </c>
      <c r="F77" s="152">
        <f t="shared" si="5"/>
        <v>521190.28350556799</v>
      </c>
      <c r="G77" s="147">
        <f t="shared" si="6"/>
        <v>711655.76590820274</v>
      </c>
      <c r="H77" s="152">
        <f t="shared" si="0"/>
        <v>1232846.0494137707</v>
      </c>
    </row>
    <row r="78" spans="1:8" ht="23.25" x14ac:dyDescent="0.35">
      <c r="A78" s="149">
        <v>66000</v>
      </c>
      <c r="B78" s="150">
        <f t="shared" ref="B78:B94" si="9">$B$3/A78</f>
        <v>13.265398430751837</v>
      </c>
      <c r="C78" s="151">
        <f t="shared" ref="C78:C94" si="10">ROUNDUP(A78/$B$4,0)</f>
        <v>66</v>
      </c>
      <c r="D78" s="152">
        <f t="shared" si="8"/>
        <v>18010.296878182839</v>
      </c>
      <c r="E78" s="152">
        <f t="shared" ref="E78:E100" si="11">B78*IF(C78&lt;=5,C78*$B$6,SUM((5*$B$6),(C78-5)*$B$7))</f>
        <v>502787.45451593754</v>
      </c>
      <c r="F78" s="152">
        <f t="shared" ref="F78:F100" si="12">SUM(D78:E78)</f>
        <v>520797.75139412039</v>
      </c>
      <c r="G78" s="147">
        <f t="shared" si="6"/>
        <v>722517.28475195274</v>
      </c>
      <c r="H78" s="152">
        <f t="shared" ref="H78:H100" si="13">SUM(F78:G78)</f>
        <v>1243315.0361460731</v>
      </c>
    </row>
    <row r="79" spans="1:8" ht="23.25" x14ac:dyDescent="0.35">
      <c r="A79" s="149">
        <v>67000</v>
      </c>
      <c r="B79" s="150">
        <f t="shared" si="9"/>
        <v>13.067407409397333</v>
      </c>
      <c r="C79" s="151">
        <f t="shared" si="10"/>
        <v>67</v>
      </c>
      <c r="D79" s="152">
        <f t="shared" si="8"/>
        <v>17741.486477015933</v>
      </c>
      <c r="E79" s="152">
        <f t="shared" si="11"/>
        <v>502675.4501821181</v>
      </c>
      <c r="F79" s="152">
        <f t="shared" si="12"/>
        <v>520416.93665913405</v>
      </c>
      <c r="G79" s="147">
        <f t="shared" ref="G79:G100" si="14">0.5*($B$8+((A79/10000)*$B$10))</f>
        <v>733378.80359570275</v>
      </c>
      <c r="H79" s="152">
        <f t="shared" si="13"/>
        <v>1253795.7402548369</v>
      </c>
    </row>
    <row r="80" spans="1:8" ht="23.25" x14ac:dyDescent="0.35">
      <c r="A80" s="149">
        <v>68000</v>
      </c>
      <c r="B80" s="150">
        <f t="shared" si="9"/>
        <v>12.875239653376784</v>
      </c>
      <c r="C80" s="151">
        <f t="shared" si="10"/>
        <v>68</v>
      </c>
      <c r="D80" s="152">
        <f t="shared" si="8"/>
        <v>17480.582264118639</v>
      </c>
      <c r="E80" s="152">
        <f t="shared" si="11"/>
        <v>502566.74009341083</v>
      </c>
      <c r="F80" s="152">
        <f t="shared" si="12"/>
        <v>520047.32235752948</v>
      </c>
      <c r="G80" s="147">
        <f t="shared" si="14"/>
        <v>744240.32243945275</v>
      </c>
      <c r="H80" s="152">
        <f t="shared" si="13"/>
        <v>1264287.6447969822</v>
      </c>
    </row>
    <row r="81" spans="1:8" ht="23.25" x14ac:dyDescent="0.35">
      <c r="A81" s="149">
        <v>69000</v>
      </c>
      <c r="B81" s="150">
        <f t="shared" si="9"/>
        <v>12.688641977240888</v>
      </c>
      <c r="C81" s="151">
        <f t="shared" si="10"/>
        <v>69</v>
      </c>
      <c r="D81" s="152">
        <f t="shared" si="8"/>
        <v>17227.240492174889</v>
      </c>
      <c r="E81" s="152">
        <f t="shared" si="11"/>
        <v>502461.18102176761</v>
      </c>
      <c r="F81" s="152">
        <f t="shared" si="12"/>
        <v>519688.42151394248</v>
      </c>
      <c r="G81" s="147">
        <f t="shared" si="14"/>
        <v>755101.84128320275</v>
      </c>
      <c r="H81" s="152">
        <f t="shared" si="13"/>
        <v>1274790.2627971452</v>
      </c>
    </row>
    <row r="82" spans="1:8" ht="23.25" x14ac:dyDescent="0.35">
      <c r="A82" s="149">
        <v>70000</v>
      </c>
      <c r="B82" s="150">
        <f t="shared" si="9"/>
        <v>12.507375663280303</v>
      </c>
      <c r="C82" s="151">
        <f t="shared" si="10"/>
        <v>70</v>
      </c>
      <c r="D82" s="152">
        <f t="shared" si="8"/>
        <v>16981.137056572392</v>
      </c>
      <c r="E82" s="152">
        <f t="shared" si="11"/>
        <v>502358.63792359992</v>
      </c>
      <c r="F82" s="152">
        <f t="shared" si="12"/>
        <v>519339.77498017228</v>
      </c>
      <c r="G82" s="147">
        <f t="shared" si="14"/>
        <v>765963.36012695276</v>
      </c>
      <c r="H82" s="152">
        <f t="shared" si="13"/>
        <v>1285303.1351071252</v>
      </c>
    </row>
    <row r="83" spans="1:8" ht="23.25" x14ac:dyDescent="0.35">
      <c r="A83" s="149">
        <v>71000</v>
      </c>
      <c r="B83" s="150">
        <f t="shared" si="9"/>
        <v>12.331215442670722</v>
      </c>
      <c r="C83" s="151">
        <f t="shared" si="10"/>
        <v>71</v>
      </c>
      <c r="D83" s="152">
        <f t="shared" si="8"/>
        <v>16741.966112113623</v>
      </c>
      <c r="E83" s="152">
        <f t="shared" si="11"/>
        <v>502258.98336340871</v>
      </c>
      <c r="F83" s="152">
        <f t="shared" si="12"/>
        <v>519000.94947552233</v>
      </c>
      <c r="G83" s="147">
        <f t="shared" si="14"/>
        <v>776824.87897070264</v>
      </c>
      <c r="H83" s="152">
        <f t="shared" si="13"/>
        <v>1295825.828446225</v>
      </c>
    </row>
    <row r="84" spans="1:8" ht="23.25" x14ac:dyDescent="0.35">
      <c r="A84" s="149">
        <v>72000</v>
      </c>
      <c r="B84" s="150">
        <f t="shared" si="9"/>
        <v>12.159948561522517</v>
      </c>
      <c r="C84" s="151">
        <f t="shared" si="10"/>
        <v>72</v>
      </c>
      <c r="D84" s="152">
        <f t="shared" si="8"/>
        <v>16509.438805000937</v>
      </c>
      <c r="E84" s="152">
        <f t="shared" si="11"/>
        <v>502162.09698544513</v>
      </c>
      <c r="F84" s="152">
        <f t="shared" si="12"/>
        <v>518671.53579044604</v>
      </c>
      <c r="G84" s="147">
        <f t="shared" si="14"/>
        <v>787686.39781445276</v>
      </c>
      <c r="H84" s="152">
        <f t="shared" si="13"/>
        <v>1306357.9336048989</v>
      </c>
    </row>
    <row r="85" spans="1:8" ht="23.25" x14ac:dyDescent="0.35">
      <c r="A85" s="149">
        <v>73000</v>
      </c>
      <c r="B85" s="150">
        <f t="shared" si="9"/>
        <v>11.993373923693442</v>
      </c>
      <c r="C85" s="151">
        <f t="shared" si="10"/>
        <v>73</v>
      </c>
      <c r="D85" s="152">
        <f t="shared" si="8"/>
        <v>16283.282109042018</v>
      </c>
      <c r="E85" s="152">
        <f t="shared" si="11"/>
        <v>502067.86502879555</v>
      </c>
      <c r="F85" s="152">
        <f t="shared" si="12"/>
        <v>518351.1471378376</v>
      </c>
      <c r="G85" s="147">
        <f t="shared" si="14"/>
        <v>798547.91665820265</v>
      </c>
      <c r="H85" s="152">
        <f t="shared" si="13"/>
        <v>1316899.0637960401</v>
      </c>
    </row>
    <row r="86" spans="1:8" ht="23.25" x14ac:dyDescent="0.35">
      <c r="A86" s="149">
        <v>74000</v>
      </c>
      <c r="B86" s="150">
        <f t="shared" si="9"/>
        <v>11.83130130310299</v>
      </c>
      <c r="C86" s="151">
        <f t="shared" si="10"/>
        <v>74</v>
      </c>
      <c r="D86" s="152">
        <f t="shared" si="8"/>
        <v>16063.237756217126</v>
      </c>
      <c r="E86" s="152">
        <f t="shared" si="11"/>
        <v>501976.17988178518</v>
      </c>
      <c r="F86" s="152">
        <f t="shared" si="12"/>
        <v>518039.41763800231</v>
      </c>
      <c r="G86" s="147">
        <f t="shared" si="14"/>
        <v>809409.43550195277</v>
      </c>
      <c r="H86" s="152">
        <f t="shared" si="13"/>
        <v>1327448.8531399551</v>
      </c>
    </row>
    <row r="87" spans="1:8" ht="23.25" x14ac:dyDescent="0.35">
      <c r="A87" s="149">
        <v>75000</v>
      </c>
      <c r="B87" s="150">
        <f t="shared" si="9"/>
        <v>11.673550619061617</v>
      </c>
      <c r="C87" s="151">
        <f t="shared" si="10"/>
        <v>75</v>
      </c>
      <c r="D87" s="152">
        <f t="shared" si="8"/>
        <v>15849.061252800899</v>
      </c>
      <c r="E87" s="152">
        <f t="shared" si="11"/>
        <v>501886.93967202847</v>
      </c>
      <c r="F87" s="152">
        <f t="shared" si="12"/>
        <v>517736.00092482939</v>
      </c>
      <c r="G87" s="147">
        <f t="shared" si="14"/>
        <v>820270.95434570266</v>
      </c>
      <c r="H87" s="152">
        <f t="shared" si="13"/>
        <v>1338006.9552705321</v>
      </c>
    </row>
    <row r="88" spans="1:8" ht="23.25" x14ac:dyDescent="0.35">
      <c r="A88" s="149">
        <v>76000</v>
      </c>
      <c r="B88" s="150">
        <f t="shared" si="9"/>
        <v>11.519951268810807</v>
      </c>
      <c r="C88" s="151">
        <f t="shared" si="10"/>
        <v>76</v>
      </c>
      <c r="D88" s="152">
        <f t="shared" si="8"/>
        <v>15640.520973158784</v>
      </c>
      <c r="E88" s="152">
        <f t="shared" si="11"/>
        <v>501800.04788884427</v>
      </c>
      <c r="F88" s="152">
        <f t="shared" si="12"/>
        <v>517440.56886200304</v>
      </c>
      <c r="G88" s="147">
        <f t="shared" si="14"/>
        <v>831132.47318945266</v>
      </c>
      <c r="H88" s="152">
        <f t="shared" si="13"/>
        <v>1348573.0420514557</v>
      </c>
    </row>
    <row r="89" spans="1:8" ht="23.25" x14ac:dyDescent="0.35">
      <c r="A89" s="149">
        <v>77000</v>
      </c>
      <c r="B89" s="150">
        <f t="shared" si="9"/>
        <v>11.370341512073004</v>
      </c>
      <c r="C89" s="151">
        <f t="shared" si="10"/>
        <v>77</v>
      </c>
      <c r="D89" s="152">
        <f t="shared" si="8"/>
        <v>15437.39732415672</v>
      </c>
      <c r="E89" s="152">
        <f t="shared" si="11"/>
        <v>501715.4130350934</v>
      </c>
      <c r="F89" s="152">
        <f t="shared" si="12"/>
        <v>517152.81035925011</v>
      </c>
      <c r="G89" s="147">
        <f t="shared" si="14"/>
        <v>841993.99203320267</v>
      </c>
      <c r="H89" s="152">
        <f t="shared" si="13"/>
        <v>1359146.8023924527</v>
      </c>
    </row>
    <row r="90" spans="1:8" ht="23.25" x14ac:dyDescent="0.35">
      <c r="A90" s="149">
        <v>78000</v>
      </c>
      <c r="B90" s="150">
        <f t="shared" si="9"/>
        <v>11.224567902943862</v>
      </c>
      <c r="C90" s="151">
        <f t="shared" si="10"/>
        <v>78</v>
      </c>
      <c r="D90" s="152">
        <f t="shared" si="8"/>
        <v>15239.481973847018</v>
      </c>
      <c r="E90" s="152">
        <f t="shared" si="11"/>
        <v>501632.94830579765</v>
      </c>
      <c r="F90" s="152">
        <f t="shared" si="12"/>
        <v>516872.43027964467</v>
      </c>
      <c r="G90" s="147">
        <f t="shared" si="14"/>
        <v>852855.51087695267</v>
      </c>
      <c r="H90" s="152">
        <f t="shared" si="13"/>
        <v>1369727.9411565973</v>
      </c>
    </row>
    <row r="91" spans="1:8" ht="23.25" x14ac:dyDescent="0.35">
      <c r="A91" s="149">
        <v>79000</v>
      </c>
      <c r="B91" s="150">
        <f t="shared" si="9"/>
        <v>11.082484764931914</v>
      </c>
      <c r="C91" s="151">
        <f t="shared" si="10"/>
        <v>79</v>
      </c>
      <c r="D91" s="152">
        <f t="shared" si="8"/>
        <v>15046.577138735029</v>
      </c>
      <c r="E91" s="152">
        <f t="shared" si="11"/>
        <v>501552.57129116764</v>
      </c>
      <c r="F91" s="152">
        <f t="shared" si="12"/>
        <v>516599.14842990268</v>
      </c>
      <c r="G91" s="147">
        <f t="shared" si="14"/>
        <v>863717.02972070267</v>
      </c>
      <c r="H91" s="152">
        <f t="shared" si="13"/>
        <v>1380316.1781506054</v>
      </c>
    </row>
    <row r="92" spans="1:8" ht="23.25" x14ac:dyDescent="0.35">
      <c r="A92" s="149">
        <v>80000</v>
      </c>
      <c r="B92" s="150">
        <f t="shared" si="9"/>
        <v>10.943953705370266</v>
      </c>
      <c r="C92" s="151">
        <f t="shared" si="10"/>
        <v>80</v>
      </c>
      <c r="D92" s="152">
        <f t="shared" si="8"/>
        <v>14858.494924500843</v>
      </c>
      <c r="E92" s="152">
        <f t="shared" si="11"/>
        <v>501474.20370190346</v>
      </c>
      <c r="F92" s="152">
        <f t="shared" si="12"/>
        <v>516332.69862640428</v>
      </c>
      <c r="G92" s="147">
        <f t="shared" si="14"/>
        <v>874578.54856445268</v>
      </c>
      <c r="H92" s="152">
        <f t="shared" si="13"/>
        <v>1390911.2471908568</v>
      </c>
    </row>
    <row r="93" spans="1:8" ht="23.25" x14ac:dyDescent="0.35">
      <c r="A93" s="149">
        <v>100000</v>
      </c>
      <c r="B93" s="150">
        <f t="shared" si="9"/>
        <v>8.755162964296213</v>
      </c>
      <c r="C93" s="151">
        <f t="shared" si="10"/>
        <v>100</v>
      </c>
      <c r="D93" s="152">
        <f t="shared" si="8"/>
        <v>11886.795939600674</v>
      </c>
      <c r="E93" s="152">
        <f t="shared" si="11"/>
        <v>500235.99579152837</v>
      </c>
      <c r="F93" s="152">
        <f t="shared" si="12"/>
        <v>512122.79173112905</v>
      </c>
      <c r="G93" s="147">
        <f t="shared" si="14"/>
        <v>1091808.9254394525</v>
      </c>
      <c r="H93" s="152">
        <f t="shared" si="13"/>
        <v>1603931.7171705817</v>
      </c>
    </row>
    <row r="94" spans="1:8" ht="23.25" x14ac:dyDescent="0.35">
      <c r="A94" s="149">
        <v>200000</v>
      </c>
      <c r="B94" s="150">
        <f t="shared" si="9"/>
        <v>4.3775814821481065</v>
      </c>
      <c r="C94" s="151">
        <f t="shared" si="10"/>
        <v>200</v>
      </c>
      <c r="D94" s="152">
        <f t="shared" si="8"/>
        <v>5943.3979698003368</v>
      </c>
      <c r="E94" s="152">
        <f t="shared" si="11"/>
        <v>497759.5799707782</v>
      </c>
      <c r="F94" s="152">
        <f t="shared" si="12"/>
        <v>503702.97794057854</v>
      </c>
      <c r="G94" s="147">
        <f t="shared" si="14"/>
        <v>2177960.8098144522</v>
      </c>
      <c r="H94" s="152">
        <f t="shared" si="13"/>
        <v>2681663.7877550307</v>
      </c>
    </row>
    <row r="95" spans="1:8" ht="23.25" x14ac:dyDescent="0.35">
      <c r="A95" s="149">
        <v>300000</v>
      </c>
      <c r="B95" s="150">
        <f t="shared" ref="B95:B100" si="15">$B$3/A95</f>
        <v>2.9183876547654042</v>
      </c>
      <c r="C95" s="151">
        <f t="shared" ref="C95:C100" si="16">ROUNDUP(A95/$B$4,0)</f>
        <v>300</v>
      </c>
      <c r="D95" s="152">
        <f t="shared" si="8"/>
        <v>3962.2653132002247</v>
      </c>
      <c r="E95" s="152">
        <f t="shared" si="11"/>
        <v>496934.10803052812</v>
      </c>
      <c r="F95" s="152">
        <f t="shared" si="12"/>
        <v>500896.37334372837</v>
      </c>
      <c r="G95" s="147">
        <f t="shared" si="14"/>
        <v>3264112.6941894516</v>
      </c>
      <c r="H95" s="152">
        <f t="shared" si="13"/>
        <v>3765009.0675331801</v>
      </c>
    </row>
    <row r="96" spans="1:8" ht="23.25" x14ac:dyDescent="0.35">
      <c r="A96" s="149">
        <v>400000</v>
      </c>
      <c r="B96" s="150">
        <f t="shared" si="15"/>
        <v>2.1887907410740532</v>
      </c>
      <c r="C96" s="151">
        <f t="shared" si="16"/>
        <v>400</v>
      </c>
      <c r="D96" s="152">
        <f t="shared" si="8"/>
        <v>2971.6989849001684</v>
      </c>
      <c r="E96" s="152">
        <f t="shared" si="11"/>
        <v>496521.37206040311</v>
      </c>
      <c r="F96" s="152">
        <f t="shared" si="12"/>
        <v>499493.07104530325</v>
      </c>
      <c r="G96" s="147">
        <f t="shared" si="14"/>
        <v>4350264.5785644511</v>
      </c>
      <c r="H96" s="152">
        <f t="shared" si="13"/>
        <v>4849757.6496097539</v>
      </c>
    </row>
    <row r="97" spans="1:8" ht="23.25" x14ac:dyDescent="0.35">
      <c r="A97" s="149">
        <v>500000</v>
      </c>
      <c r="B97" s="150">
        <f t="shared" si="15"/>
        <v>1.7510325928592425</v>
      </c>
      <c r="C97" s="151">
        <f t="shared" si="16"/>
        <v>500</v>
      </c>
      <c r="D97" s="152">
        <f t="shared" si="8"/>
        <v>2377.3591879201349</v>
      </c>
      <c r="E97" s="152">
        <f t="shared" si="11"/>
        <v>496273.73047832807</v>
      </c>
      <c r="F97" s="152">
        <f t="shared" si="12"/>
        <v>498651.08966624818</v>
      </c>
      <c r="G97" s="147">
        <f t="shared" si="14"/>
        <v>5436416.4629394505</v>
      </c>
      <c r="H97" s="152">
        <f t="shared" si="13"/>
        <v>5935067.5526056988</v>
      </c>
    </row>
    <row r="98" spans="1:8" ht="23.25" x14ac:dyDescent="0.35">
      <c r="A98" s="149">
        <v>600000</v>
      </c>
      <c r="B98" s="150">
        <f t="shared" si="15"/>
        <v>1.4591938273827021</v>
      </c>
      <c r="C98" s="151">
        <f t="shared" si="16"/>
        <v>600</v>
      </c>
      <c r="D98" s="152">
        <f t="shared" si="8"/>
        <v>1981.1326566001123</v>
      </c>
      <c r="E98" s="152">
        <f t="shared" si="11"/>
        <v>496108.63609027804</v>
      </c>
      <c r="F98" s="152">
        <f t="shared" si="12"/>
        <v>498089.76874687814</v>
      </c>
      <c r="G98" s="147">
        <f t="shared" si="14"/>
        <v>6522568.34731445</v>
      </c>
      <c r="H98" s="152">
        <f t="shared" si="13"/>
        <v>7020658.116061328</v>
      </c>
    </row>
    <row r="99" spans="1:8" ht="23.25" x14ac:dyDescent="0.35">
      <c r="A99" s="149">
        <v>700000</v>
      </c>
      <c r="B99" s="150">
        <f t="shared" si="15"/>
        <v>1.2507375663280305</v>
      </c>
      <c r="C99" s="151">
        <f t="shared" si="16"/>
        <v>700</v>
      </c>
      <c r="D99" s="152">
        <f t="shared" si="8"/>
        <v>1698.1137056572393</v>
      </c>
      <c r="E99" s="152">
        <f t="shared" si="11"/>
        <v>495990.71152738523</v>
      </c>
      <c r="F99" s="152">
        <f t="shared" si="12"/>
        <v>497688.82523304247</v>
      </c>
      <c r="G99" s="147">
        <f t="shared" si="14"/>
        <v>7608720.2316894494</v>
      </c>
      <c r="H99" s="152">
        <f t="shared" si="13"/>
        <v>8106409.0569224916</v>
      </c>
    </row>
    <row r="100" spans="1:8" ht="23.25" x14ac:dyDescent="0.35">
      <c r="A100" s="149">
        <v>800000</v>
      </c>
      <c r="B100" s="150">
        <f t="shared" si="15"/>
        <v>1.0943953705370266</v>
      </c>
      <c r="C100" s="151">
        <f t="shared" si="16"/>
        <v>800</v>
      </c>
      <c r="D100" s="152">
        <f t="shared" si="8"/>
        <v>1485.8494924500842</v>
      </c>
      <c r="E100" s="152">
        <f t="shared" si="11"/>
        <v>495902.26810521563</v>
      </c>
      <c r="F100" s="152">
        <f t="shared" si="12"/>
        <v>497388.1175976657</v>
      </c>
      <c r="G100" s="147">
        <f t="shared" si="14"/>
        <v>8694872.1160644479</v>
      </c>
      <c r="H100" s="152">
        <f t="shared" si="13"/>
        <v>9192260.2336621135</v>
      </c>
    </row>
  </sheetData>
  <mergeCells count="10">
    <mergeCell ref="K15:L15"/>
    <mergeCell ref="K16:L16"/>
    <mergeCell ref="K17:L17"/>
    <mergeCell ref="K18:L18"/>
    <mergeCell ref="K12:L12"/>
    <mergeCell ref="D2:G2"/>
    <mergeCell ref="I13:J13"/>
    <mergeCell ref="I12:J12"/>
    <mergeCell ref="K13:L13"/>
    <mergeCell ref="K14:L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EE8C-C486-448E-8DB1-DCF3216B367C}">
  <dimension ref="A1:M100"/>
  <sheetViews>
    <sheetView showGridLines="0" topLeftCell="C21" zoomScale="60" zoomScaleNormal="60" workbookViewId="0">
      <selection activeCell="G14" sqref="G14"/>
    </sheetView>
  </sheetViews>
  <sheetFormatPr defaultRowHeight="15" x14ac:dyDescent="0.25"/>
  <cols>
    <col min="1" max="1" width="40.5703125" bestFit="1" customWidth="1"/>
    <col min="2" max="2" width="33.5703125" bestFit="1" customWidth="1"/>
    <col min="3" max="3" width="27" bestFit="1" customWidth="1"/>
    <col min="4" max="4" width="26" style="2" bestFit="1" customWidth="1"/>
    <col min="5" max="5" width="29.5703125" style="2" bestFit="1" customWidth="1"/>
    <col min="6" max="6" width="25" style="2" customWidth="1"/>
    <col min="7" max="8" width="23.28515625" bestFit="1" customWidth="1"/>
    <col min="9" max="9" width="34.42578125" bestFit="1" customWidth="1"/>
    <col min="10" max="10" width="18.28515625" bestFit="1" customWidth="1"/>
    <col min="11" max="11" width="11.28515625" bestFit="1" customWidth="1"/>
  </cols>
  <sheetData>
    <row r="1" spans="1:13" ht="15.75" thickBot="1" x14ac:dyDescent="0.3"/>
    <row r="2" spans="1:13" ht="24" thickBot="1" x14ac:dyDescent="0.4">
      <c r="D2" s="485" t="s">
        <v>35</v>
      </c>
      <c r="E2" s="486"/>
      <c r="F2" s="486"/>
      <c r="G2" s="487"/>
    </row>
    <row r="3" spans="1:13" ht="21.75" thickBot="1" x14ac:dyDescent="0.4">
      <c r="A3" s="128" t="s">
        <v>23</v>
      </c>
      <c r="B3" s="129">
        <f>'Double exp.smoothening'!L5</f>
        <v>600047.58842797915</v>
      </c>
    </row>
    <row r="4" spans="1:13" ht="21.75" thickBot="1" x14ac:dyDescent="0.4">
      <c r="A4" s="130" t="s">
        <v>17</v>
      </c>
      <c r="B4" s="131">
        <f>'Logistic Optimization - Master'!E16</f>
        <v>1000</v>
      </c>
      <c r="C4" s="90" t="s">
        <v>124</v>
      </c>
    </row>
    <row r="5" spans="1:13" ht="24.75" thickBot="1" x14ac:dyDescent="0.5">
      <c r="A5" s="132" t="s">
        <v>159</v>
      </c>
      <c r="B5" s="133">
        <f>'Logistic Optimization - Master'!E17</f>
        <v>2065.8856770961161</v>
      </c>
      <c r="C5" s="89" t="s">
        <v>55</v>
      </c>
    </row>
    <row r="6" spans="1:13" ht="21.75" thickBot="1" x14ac:dyDescent="0.4">
      <c r="A6" s="132" t="s">
        <v>18</v>
      </c>
      <c r="B6" s="133">
        <f>'Logistic Optimization - Master'!E18</f>
        <v>1032.942838548058</v>
      </c>
      <c r="C6" s="89" t="s">
        <v>55</v>
      </c>
    </row>
    <row r="7" spans="1:13" ht="21.75" thickBot="1" x14ac:dyDescent="0.4">
      <c r="A7" s="132" t="s">
        <v>19</v>
      </c>
      <c r="B7" s="133">
        <f>'Logistic Optimization - Master'!E19</f>
        <v>860.78569879004829</v>
      </c>
      <c r="C7" s="89" t="s">
        <v>55</v>
      </c>
    </row>
    <row r="8" spans="1:13" ht="24.75" thickBot="1" x14ac:dyDescent="0.5">
      <c r="A8" s="132" t="s">
        <v>160</v>
      </c>
      <c r="B8" s="133">
        <f>'Logistic Optimization - Master'!E20</f>
        <v>17215.713975800965</v>
      </c>
      <c r="C8" s="89" t="s">
        <v>55</v>
      </c>
    </row>
    <row r="9" spans="1:13" ht="45.75" thickBot="1" x14ac:dyDescent="0.4">
      <c r="A9" s="134" t="s">
        <v>161</v>
      </c>
      <c r="B9" s="133">
        <f>'Logistic Optimization - Master'!E21</f>
        <v>27545.142361281545</v>
      </c>
      <c r="C9" s="89" t="s">
        <v>55</v>
      </c>
    </row>
    <row r="10" spans="1:13" ht="45.75" thickBot="1" x14ac:dyDescent="0.4">
      <c r="A10" s="136" t="s">
        <v>162</v>
      </c>
      <c r="B10" s="137">
        <f>B9*12</f>
        <v>330541.70833537856</v>
      </c>
      <c r="C10" s="89" t="s">
        <v>55</v>
      </c>
    </row>
    <row r="11" spans="1:13" ht="15.75" thickBot="1" x14ac:dyDescent="0.3"/>
    <row r="12" spans="1:13" ht="24" thickBot="1" x14ac:dyDescent="0.4">
      <c r="A12" s="138" t="s">
        <v>24</v>
      </c>
      <c r="B12" s="138" t="s">
        <v>25</v>
      </c>
      <c r="C12" s="138" t="s">
        <v>26</v>
      </c>
      <c r="D12" s="138" t="s">
        <v>29</v>
      </c>
      <c r="E12" s="138" t="s">
        <v>30</v>
      </c>
      <c r="F12" s="138" t="s">
        <v>31</v>
      </c>
      <c r="G12" s="138" t="s">
        <v>27</v>
      </c>
      <c r="H12" s="139" t="s">
        <v>28</v>
      </c>
      <c r="I12" s="425" t="s">
        <v>56</v>
      </c>
      <c r="J12" s="426"/>
      <c r="K12" s="425" t="s">
        <v>139</v>
      </c>
      <c r="L12" s="426"/>
    </row>
    <row r="13" spans="1:13" ht="24" thickBot="1" x14ac:dyDescent="0.4">
      <c r="A13" s="166">
        <v>12982.15186128811</v>
      </c>
      <c r="B13" s="167">
        <f>$B$3/A13</f>
        <v>46.220965124994422</v>
      </c>
      <c r="C13" s="140">
        <f>ROUNDUP(A13/$B$4,0)</f>
        <v>13</v>
      </c>
      <c r="D13" s="142">
        <f t="shared" ref="D13:D44" si="0">(fixed_order_cost_23)*B13</f>
        <v>95487.229833285062</v>
      </c>
      <c r="E13" s="142">
        <f>B13*IF(C13&lt;=5,C13*$B$6,SUM((5*$B$6),(C13-5)*$B$7))</f>
        <v>557008.84069416288</v>
      </c>
      <c r="F13" s="142">
        <f>SUM(D13:E13)</f>
        <v>652496.07052744797</v>
      </c>
      <c r="G13" s="168">
        <f>0.5*($B$8+(A13/10000)*$B$10)</f>
        <v>223164.98969287478</v>
      </c>
      <c r="H13" s="169">
        <f>SUM(F13:G13)</f>
        <v>875661.0602203228</v>
      </c>
      <c r="I13" s="425">
        <v>2040</v>
      </c>
      <c r="J13" s="426"/>
      <c r="K13" s="425">
        <v>2040</v>
      </c>
      <c r="L13" s="426"/>
    </row>
    <row r="14" spans="1:13" ht="23.25" x14ac:dyDescent="0.35">
      <c r="A14" s="144">
        <v>2000</v>
      </c>
      <c r="B14" s="145">
        <f t="shared" ref="B14:B77" si="1">$B$3/A14</f>
        <v>300.02379421398956</v>
      </c>
      <c r="C14" s="146">
        <f t="shared" ref="C14:C77" si="2">ROUNDUP(A14/$B$4,0)</f>
        <v>2</v>
      </c>
      <c r="D14" s="147">
        <f t="shared" si="0"/>
        <v>619814.85925471364</v>
      </c>
      <c r="E14" s="147">
        <f t="shared" ref="E14:E77" si="3">B14*IF(C14&lt;=5,C14*$B$6,SUM((5*$B$6),(C14-5)*$B$7))</f>
        <v>619814.85925471364</v>
      </c>
      <c r="F14" s="147">
        <f t="shared" ref="F14:F77" si="4">SUM(D14:E14)</f>
        <v>1239629.7185094273</v>
      </c>
      <c r="G14" s="170">
        <f t="shared" ref="G14:G77" si="5">0.5*($B$8+(A14/10000)*$B$10)</f>
        <v>41662.027821438343</v>
      </c>
      <c r="H14" s="171">
        <f t="shared" ref="H14:H77" si="6">SUM(F14:G14)</f>
        <v>1281291.7463308657</v>
      </c>
      <c r="I14" s="174" t="s">
        <v>32</v>
      </c>
      <c r="J14" s="175">
        <f>MIN(H13:H100)</f>
        <v>866005.30399001995</v>
      </c>
      <c r="K14" s="494">
        <f>H13</f>
        <v>875661.0602203228</v>
      </c>
      <c r="L14" s="495"/>
      <c r="M14" s="102"/>
    </row>
    <row r="15" spans="1:13" ht="23.25" x14ac:dyDescent="0.35">
      <c r="A15" s="149">
        <v>3000</v>
      </c>
      <c r="B15" s="150">
        <f t="shared" si="1"/>
        <v>200.01586280932639</v>
      </c>
      <c r="C15" s="151">
        <f t="shared" si="2"/>
        <v>3</v>
      </c>
      <c r="D15" s="152">
        <f t="shared" si="0"/>
        <v>413209.90616980911</v>
      </c>
      <c r="E15" s="152">
        <f t="shared" si="3"/>
        <v>619814.85925471375</v>
      </c>
      <c r="F15" s="152">
        <f t="shared" si="4"/>
        <v>1033024.7654245228</v>
      </c>
      <c r="G15" s="172">
        <f t="shared" si="5"/>
        <v>58189.113238207268</v>
      </c>
      <c r="H15" s="173">
        <f t="shared" si="6"/>
        <v>1091213.8786627301</v>
      </c>
      <c r="I15" s="97"/>
      <c r="J15" s="176">
        <f>MATCH(J14,H12:H100,0)</f>
        <v>11</v>
      </c>
      <c r="K15" s="492"/>
      <c r="L15" s="493"/>
    </row>
    <row r="16" spans="1:13" ht="23.25" x14ac:dyDescent="0.35">
      <c r="A16" s="149">
        <v>4000</v>
      </c>
      <c r="B16" s="150">
        <f t="shared" si="1"/>
        <v>150.01189710699478</v>
      </c>
      <c r="C16" s="151">
        <f t="shared" si="2"/>
        <v>4</v>
      </c>
      <c r="D16" s="152">
        <f t="shared" si="0"/>
        <v>309907.42962735682</v>
      </c>
      <c r="E16" s="152">
        <f t="shared" si="3"/>
        <v>619814.85925471364</v>
      </c>
      <c r="F16" s="152">
        <f t="shared" si="4"/>
        <v>929722.28888207045</v>
      </c>
      <c r="G16" s="172">
        <f t="shared" si="5"/>
        <v>74716.198654976193</v>
      </c>
      <c r="H16" s="173">
        <f t="shared" si="6"/>
        <v>1004438.4875370467</v>
      </c>
      <c r="I16" s="177" t="s">
        <v>33</v>
      </c>
      <c r="J16" s="176" cm="1">
        <f t="array" ref="J16">INDEX(A12:H100,J15,1)</f>
        <v>10000</v>
      </c>
      <c r="K16" s="496">
        <f>A13</f>
        <v>12982.15186128811</v>
      </c>
      <c r="L16" s="497"/>
    </row>
    <row r="17" spans="1:12" ht="23.25" x14ac:dyDescent="0.35">
      <c r="A17" s="149">
        <v>5000</v>
      </c>
      <c r="B17" s="150">
        <f t="shared" si="1"/>
        <v>120.00951768559582</v>
      </c>
      <c r="C17" s="151">
        <f t="shared" si="2"/>
        <v>5</v>
      </c>
      <c r="D17" s="152">
        <f t="shared" si="0"/>
        <v>247925.94370188544</v>
      </c>
      <c r="E17" s="152">
        <f t="shared" si="3"/>
        <v>619814.85925471364</v>
      </c>
      <c r="F17" s="152">
        <f t="shared" si="4"/>
        <v>867740.80295659904</v>
      </c>
      <c r="G17" s="172">
        <f t="shared" si="5"/>
        <v>91243.284071745118</v>
      </c>
      <c r="H17" s="173">
        <f t="shared" si="6"/>
        <v>958984.08702834416</v>
      </c>
      <c r="I17" s="177" t="s">
        <v>122</v>
      </c>
      <c r="J17" s="178">
        <f>J16/B3</f>
        <v>1.6665344870726451E-2</v>
      </c>
      <c r="K17" s="488">
        <f>K16/B3</f>
        <v>2.1635203793250967E-2</v>
      </c>
      <c r="L17" s="489"/>
    </row>
    <row r="18" spans="1:12" ht="24" thickBot="1" x14ac:dyDescent="0.4">
      <c r="A18" s="149">
        <v>6000</v>
      </c>
      <c r="B18" s="150">
        <f t="shared" si="1"/>
        <v>100.0079314046632</v>
      </c>
      <c r="C18" s="151">
        <f t="shared" si="2"/>
        <v>6</v>
      </c>
      <c r="D18" s="152">
        <f t="shared" si="0"/>
        <v>206604.95308490455</v>
      </c>
      <c r="E18" s="152">
        <f t="shared" si="3"/>
        <v>602597.77983097162</v>
      </c>
      <c r="F18" s="152">
        <f t="shared" si="4"/>
        <v>809202.7329158762</v>
      </c>
      <c r="G18" s="172">
        <f t="shared" si="5"/>
        <v>107770.36948851404</v>
      </c>
      <c r="H18" s="173">
        <f t="shared" si="6"/>
        <v>916973.10240439023</v>
      </c>
      <c r="I18" s="179" t="s">
        <v>123</v>
      </c>
      <c r="J18" s="180">
        <f>ROUND(J17*365,0)</f>
        <v>6</v>
      </c>
      <c r="K18" s="490">
        <f>ROUND(K17*365,0)</f>
        <v>8</v>
      </c>
      <c r="L18" s="491"/>
    </row>
    <row r="19" spans="1:12" ht="23.25" x14ac:dyDescent="0.35">
      <c r="A19" s="149">
        <v>7000</v>
      </c>
      <c r="B19" s="150">
        <f t="shared" si="1"/>
        <v>85.721084061139877</v>
      </c>
      <c r="C19" s="151">
        <f t="shared" si="2"/>
        <v>7</v>
      </c>
      <c r="D19" s="152">
        <f t="shared" si="0"/>
        <v>177089.95978706103</v>
      </c>
      <c r="E19" s="152">
        <f t="shared" si="3"/>
        <v>590299.86595687002</v>
      </c>
      <c r="F19" s="152">
        <f t="shared" si="4"/>
        <v>767389.82574393111</v>
      </c>
      <c r="G19" s="172">
        <f t="shared" si="5"/>
        <v>124297.45490528297</v>
      </c>
      <c r="H19" s="172">
        <f t="shared" si="6"/>
        <v>891687.28064921405</v>
      </c>
    </row>
    <row r="20" spans="1:12" ht="23.25" x14ac:dyDescent="0.35">
      <c r="A20" s="154">
        <v>8000</v>
      </c>
      <c r="B20" s="155">
        <f t="shared" si="1"/>
        <v>75.00594855349739</v>
      </c>
      <c r="C20" s="156">
        <f t="shared" si="2"/>
        <v>8</v>
      </c>
      <c r="D20" s="152">
        <f t="shared" si="0"/>
        <v>154953.71481367841</v>
      </c>
      <c r="E20" s="152">
        <f t="shared" si="3"/>
        <v>581076.430551294</v>
      </c>
      <c r="F20" s="152">
        <f t="shared" si="4"/>
        <v>736030.14536497241</v>
      </c>
      <c r="G20" s="172">
        <f t="shared" si="5"/>
        <v>140824.54032205191</v>
      </c>
      <c r="H20" s="172">
        <f t="shared" si="6"/>
        <v>876854.68568702438</v>
      </c>
    </row>
    <row r="21" spans="1:12" ht="23.25" x14ac:dyDescent="0.35">
      <c r="A21" s="149">
        <v>9000</v>
      </c>
      <c r="B21" s="150">
        <f t="shared" si="1"/>
        <v>66.671954269775455</v>
      </c>
      <c r="C21" s="151">
        <f t="shared" si="2"/>
        <v>9</v>
      </c>
      <c r="D21" s="152">
        <f t="shared" si="0"/>
        <v>137736.63538993636</v>
      </c>
      <c r="E21" s="152">
        <f t="shared" si="3"/>
        <v>573902.6474580681</v>
      </c>
      <c r="F21" s="152">
        <f t="shared" si="4"/>
        <v>711639.28284800448</v>
      </c>
      <c r="G21" s="172">
        <f t="shared" si="5"/>
        <v>157351.62573882085</v>
      </c>
      <c r="H21" s="172">
        <f t="shared" si="6"/>
        <v>868990.90858682536</v>
      </c>
    </row>
    <row r="22" spans="1:12" ht="23.25" x14ac:dyDescent="0.35">
      <c r="A22" s="149">
        <v>10000</v>
      </c>
      <c r="B22" s="150">
        <f t="shared" si="1"/>
        <v>60.004758842797912</v>
      </c>
      <c r="C22" s="151">
        <f t="shared" si="2"/>
        <v>10</v>
      </c>
      <c r="D22" s="152">
        <f t="shared" si="0"/>
        <v>123962.97185094272</v>
      </c>
      <c r="E22" s="152">
        <f t="shared" si="3"/>
        <v>568163.62098348746</v>
      </c>
      <c r="F22" s="152">
        <f t="shared" si="4"/>
        <v>692126.59283443016</v>
      </c>
      <c r="G22" s="172">
        <f t="shared" si="5"/>
        <v>173878.71115558976</v>
      </c>
      <c r="H22" s="172">
        <f t="shared" si="6"/>
        <v>866005.30399001995</v>
      </c>
    </row>
    <row r="23" spans="1:12" ht="23.25" x14ac:dyDescent="0.35">
      <c r="A23" s="149">
        <v>11000</v>
      </c>
      <c r="B23" s="150">
        <f t="shared" si="1"/>
        <v>54.549780766179921</v>
      </c>
      <c r="C23" s="151">
        <f t="shared" si="2"/>
        <v>11</v>
      </c>
      <c r="D23" s="152">
        <f t="shared" si="0"/>
        <v>112693.6107735843</v>
      </c>
      <c r="E23" s="152">
        <f t="shared" si="3"/>
        <v>563468.05386792147</v>
      </c>
      <c r="F23" s="152">
        <f t="shared" si="4"/>
        <v>676161.66464150581</v>
      </c>
      <c r="G23" s="172">
        <f t="shared" si="5"/>
        <v>190405.7965723587</v>
      </c>
      <c r="H23" s="172">
        <f t="shared" si="6"/>
        <v>866567.4612138645</v>
      </c>
    </row>
    <row r="24" spans="1:12" ht="23.25" x14ac:dyDescent="0.35">
      <c r="A24" s="149">
        <v>12000</v>
      </c>
      <c r="B24" s="150">
        <f t="shared" si="1"/>
        <v>50.003965702331598</v>
      </c>
      <c r="C24" s="151">
        <f t="shared" si="2"/>
        <v>12</v>
      </c>
      <c r="D24" s="152">
        <f t="shared" si="0"/>
        <v>103302.47654245228</v>
      </c>
      <c r="E24" s="152">
        <f t="shared" si="3"/>
        <v>559555.08127161651</v>
      </c>
      <c r="F24" s="152">
        <f t="shared" si="4"/>
        <v>662857.55781406874</v>
      </c>
      <c r="G24" s="172">
        <f t="shared" si="5"/>
        <v>206932.88198912761</v>
      </c>
      <c r="H24" s="172">
        <f t="shared" si="6"/>
        <v>869790.43980319635</v>
      </c>
    </row>
    <row r="25" spans="1:12" ht="23.25" x14ac:dyDescent="0.35">
      <c r="A25" s="149">
        <v>13000</v>
      </c>
      <c r="B25" s="150">
        <f t="shared" si="1"/>
        <v>46.157506802152241</v>
      </c>
      <c r="C25" s="151">
        <f t="shared" si="2"/>
        <v>13</v>
      </c>
      <c r="D25" s="152">
        <f t="shared" si="0"/>
        <v>95356.13219303287</v>
      </c>
      <c r="E25" s="152">
        <f t="shared" si="3"/>
        <v>556244.10445935838</v>
      </c>
      <c r="F25" s="152">
        <f t="shared" si="4"/>
        <v>651600.23665239126</v>
      </c>
      <c r="G25" s="172">
        <f t="shared" si="5"/>
        <v>223459.96740589655</v>
      </c>
      <c r="H25" s="172">
        <f t="shared" si="6"/>
        <v>875060.20405828778</v>
      </c>
    </row>
    <row r="26" spans="1:12" ht="23.25" x14ac:dyDescent="0.35">
      <c r="A26" s="149">
        <v>14000</v>
      </c>
      <c r="B26" s="150">
        <f t="shared" si="1"/>
        <v>42.860542030569938</v>
      </c>
      <c r="C26" s="151">
        <f t="shared" si="2"/>
        <v>14</v>
      </c>
      <c r="D26" s="152">
        <f t="shared" si="0"/>
        <v>88544.979893530515</v>
      </c>
      <c r="E26" s="152">
        <f t="shared" si="3"/>
        <v>553406.12433456571</v>
      </c>
      <c r="F26" s="152">
        <f t="shared" si="4"/>
        <v>641951.1042280962</v>
      </c>
      <c r="G26" s="172">
        <f t="shared" si="5"/>
        <v>239987.05282266546</v>
      </c>
      <c r="H26" s="172">
        <f t="shared" si="6"/>
        <v>881938.15705076163</v>
      </c>
    </row>
    <row r="27" spans="1:12" ht="23.25" x14ac:dyDescent="0.35">
      <c r="A27" s="149">
        <v>15000</v>
      </c>
      <c r="B27" s="150">
        <f t="shared" si="1"/>
        <v>40.003172561865277</v>
      </c>
      <c r="C27" s="151">
        <f t="shared" si="2"/>
        <v>15</v>
      </c>
      <c r="D27" s="152">
        <f t="shared" si="0"/>
        <v>82641.981233961822</v>
      </c>
      <c r="E27" s="152">
        <f t="shared" si="3"/>
        <v>550946.54155974544</v>
      </c>
      <c r="F27" s="152">
        <f t="shared" si="4"/>
        <v>633588.5227937072</v>
      </c>
      <c r="G27" s="172">
        <f t="shared" si="5"/>
        <v>256514.1382394344</v>
      </c>
      <c r="H27" s="172">
        <f t="shared" si="6"/>
        <v>890102.66103314166</v>
      </c>
    </row>
    <row r="28" spans="1:12" ht="23.25" x14ac:dyDescent="0.35">
      <c r="A28" s="149">
        <v>16000</v>
      </c>
      <c r="B28" s="150">
        <f t="shared" si="1"/>
        <v>37.502974276748695</v>
      </c>
      <c r="C28" s="151">
        <f t="shared" si="2"/>
        <v>16</v>
      </c>
      <c r="D28" s="152">
        <f t="shared" si="0"/>
        <v>77476.857406839204</v>
      </c>
      <c r="E28" s="152">
        <f t="shared" si="3"/>
        <v>548794.40663177765</v>
      </c>
      <c r="F28" s="152">
        <f t="shared" si="4"/>
        <v>626271.26403861679</v>
      </c>
      <c r="G28" s="172">
        <f t="shared" si="5"/>
        <v>273041.22365620336</v>
      </c>
      <c r="H28" s="172">
        <f t="shared" si="6"/>
        <v>899312.48769482016</v>
      </c>
    </row>
    <row r="29" spans="1:12" ht="23.25" x14ac:dyDescent="0.35">
      <c r="A29" s="149">
        <v>17000</v>
      </c>
      <c r="B29" s="150">
        <f t="shared" si="1"/>
        <v>35.296916966351716</v>
      </c>
      <c r="C29" s="151">
        <f t="shared" si="2"/>
        <v>17</v>
      </c>
      <c r="D29" s="152">
        <f t="shared" si="0"/>
        <v>72919.395206436908</v>
      </c>
      <c r="E29" s="152">
        <f t="shared" si="3"/>
        <v>546895.46404827677</v>
      </c>
      <c r="F29" s="152">
        <f t="shared" si="4"/>
        <v>619814.85925471364</v>
      </c>
      <c r="G29" s="172">
        <f t="shared" si="5"/>
        <v>289568.30907297228</v>
      </c>
      <c r="H29" s="172">
        <f t="shared" si="6"/>
        <v>909383.16832768591</v>
      </c>
    </row>
    <row r="30" spans="1:12" ht="23.25" x14ac:dyDescent="0.35">
      <c r="A30" s="149">
        <v>18000</v>
      </c>
      <c r="B30" s="150">
        <f t="shared" si="1"/>
        <v>33.335977134887727</v>
      </c>
      <c r="C30" s="151">
        <f t="shared" si="2"/>
        <v>18</v>
      </c>
      <c r="D30" s="152">
        <f t="shared" si="0"/>
        <v>68868.31769496818</v>
      </c>
      <c r="E30" s="152">
        <f t="shared" si="3"/>
        <v>545207.51508516469</v>
      </c>
      <c r="F30" s="152">
        <f t="shared" si="4"/>
        <v>614075.83278013289</v>
      </c>
      <c r="G30" s="172">
        <f t="shared" si="5"/>
        <v>306095.39448974124</v>
      </c>
      <c r="H30" s="172">
        <f t="shared" si="6"/>
        <v>920171.22726987419</v>
      </c>
    </row>
    <row r="31" spans="1:12" ht="23.25" x14ac:dyDescent="0.35">
      <c r="A31" s="149">
        <v>19000</v>
      </c>
      <c r="B31" s="150">
        <f t="shared" si="1"/>
        <v>31.58145202252522</v>
      </c>
      <c r="C31" s="151">
        <f t="shared" si="2"/>
        <v>19</v>
      </c>
      <c r="D31" s="152">
        <f t="shared" si="0"/>
        <v>65243.669395233017</v>
      </c>
      <c r="E31" s="152">
        <f t="shared" si="3"/>
        <v>543697.24496027513</v>
      </c>
      <c r="F31" s="152">
        <f t="shared" si="4"/>
        <v>608940.91435550817</v>
      </c>
      <c r="G31" s="172">
        <f t="shared" si="5"/>
        <v>322622.4799065101</v>
      </c>
      <c r="H31" s="172">
        <f t="shared" si="6"/>
        <v>931563.39426201826</v>
      </c>
    </row>
    <row r="32" spans="1:12" ht="23.25" x14ac:dyDescent="0.35">
      <c r="A32" s="149">
        <v>20000</v>
      </c>
      <c r="B32" s="150">
        <f t="shared" si="1"/>
        <v>30.002379421398956</v>
      </c>
      <c r="C32" s="151">
        <f t="shared" si="2"/>
        <v>20</v>
      </c>
      <c r="D32" s="152">
        <f t="shared" si="0"/>
        <v>61981.485925471359</v>
      </c>
      <c r="E32" s="152">
        <f t="shared" si="3"/>
        <v>542338.00184787437</v>
      </c>
      <c r="F32" s="152">
        <f t="shared" si="4"/>
        <v>604319.48777334578</v>
      </c>
      <c r="G32" s="172">
        <f t="shared" si="5"/>
        <v>339149.56532327906</v>
      </c>
      <c r="H32" s="172">
        <f t="shared" si="6"/>
        <v>943469.05309662479</v>
      </c>
    </row>
    <row r="33" spans="1:8" ht="23.25" x14ac:dyDescent="0.35">
      <c r="A33" s="149">
        <v>21000</v>
      </c>
      <c r="B33" s="150">
        <f t="shared" si="1"/>
        <v>28.573694687046626</v>
      </c>
      <c r="C33" s="151">
        <f t="shared" si="2"/>
        <v>21</v>
      </c>
      <c r="D33" s="152">
        <f t="shared" si="0"/>
        <v>59029.986595687013</v>
      </c>
      <c r="E33" s="152">
        <f t="shared" si="3"/>
        <v>541108.21046046424</v>
      </c>
      <c r="F33" s="152">
        <f t="shared" si="4"/>
        <v>600138.19705615123</v>
      </c>
      <c r="G33" s="172">
        <f t="shared" si="5"/>
        <v>355676.65074004803</v>
      </c>
      <c r="H33" s="172">
        <f t="shared" si="6"/>
        <v>955814.84779619926</v>
      </c>
    </row>
    <row r="34" spans="1:8" ht="23.25" x14ac:dyDescent="0.35">
      <c r="A34" s="149">
        <v>22000</v>
      </c>
      <c r="B34" s="150">
        <f t="shared" si="1"/>
        <v>27.274890383089961</v>
      </c>
      <c r="C34" s="151">
        <f t="shared" si="2"/>
        <v>22</v>
      </c>
      <c r="D34" s="152">
        <f t="shared" si="0"/>
        <v>56346.805386792148</v>
      </c>
      <c r="E34" s="152">
        <f t="shared" si="3"/>
        <v>539990.21829009138</v>
      </c>
      <c r="F34" s="152">
        <f t="shared" si="4"/>
        <v>596337.02367688355</v>
      </c>
      <c r="G34" s="172">
        <f t="shared" si="5"/>
        <v>372203.73615681694</v>
      </c>
      <c r="H34" s="172">
        <f t="shared" si="6"/>
        <v>968540.75983370049</v>
      </c>
    </row>
    <row r="35" spans="1:8" ht="23.25" x14ac:dyDescent="0.35">
      <c r="A35" s="149">
        <v>23000</v>
      </c>
      <c r="B35" s="150">
        <f t="shared" si="1"/>
        <v>26.08902558382518</v>
      </c>
      <c r="C35" s="151">
        <f t="shared" si="2"/>
        <v>23</v>
      </c>
      <c r="D35" s="152">
        <f t="shared" si="0"/>
        <v>53896.944283018573</v>
      </c>
      <c r="E35" s="152">
        <f t="shared" si="3"/>
        <v>538969.44283018576</v>
      </c>
      <c r="F35" s="152">
        <f t="shared" si="4"/>
        <v>592866.38711320434</v>
      </c>
      <c r="G35" s="172">
        <f t="shared" si="5"/>
        <v>388730.8215735858</v>
      </c>
      <c r="H35" s="172">
        <f t="shared" si="6"/>
        <v>981597.2086867902</v>
      </c>
    </row>
    <row r="36" spans="1:8" ht="23.25" x14ac:dyDescent="0.35">
      <c r="A36" s="149">
        <v>24000</v>
      </c>
      <c r="B36" s="150">
        <f t="shared" si="1"/>
        <v>25.001982851165799</v>
      </c>
      <c r="C36" s="151">
        <f t="shared" si="2"/>
        <v>24</v>
      </c>
      <c r="D36" s="152">
        <f t="shared" si="0"/>
        <v>51651.238271226139</v>
      </c>
      <c r="E36" s="152">
        <f t="shared" si="3"/>
        <v>538033.7319919389</v>
      </c>
      <c r="F36" s="152">
        <f t="shared" si="4"/>
        <v>589684.97026316507</v>
      </c>
      <c r="G36" s="172">
        <f t="shared" si="5"/>
        <v>405257.90699035476</v>
      </c>
      <c r="H36" s="172">
        <f t="shared" si="6"/>
        <v>994942.87725351984</v>
      </c>
    </row>
    <row r="37" spans="1:8" ht="23.25" x14ac:dyDescent="0.35">
      <c r="A37" s="149">
        <v>25000</v>
      </c>
      <c r="B37" s="150">
        <f t="shared" si="1"/>
        <v>24.001903537119166</v>
      </c>
      <c r="C37" s="151">
        <f t="shared" si="2"/>
        <v>25</v>
      </c>
      <c r="D37" s="152">
        <f t="shared" si="0"/>
        <v>49585.188740377089</v>
      </c>
      <c r="E37" s="152">
        <f t="shared" si="3"/>
        <v>537172.87802075176</v>
      </c>
      <c r="F37" s="152">
        <f t="shared" si="4"/>
        <v>586758.06676112884</v>
      </c>
      <c r="G37" s="172">
        <f t="shared" si="5"/>
        <v>421784.99240712373</v>
      </c>
      <c r="H37" s="172">
        <f t="shared" si="6"/>
        <v>1008543.0591682526</v>
      </c>
    </row>
    <row r="38" spans="1:8" ht="23.25" x14ac:dyDescent="0.35">
      <c r="A38" s="149">
        <v>26000</v>
      </c>
      <c r="B38" s="150">
        <f t="shared" si="1"/>
        <v>23.078753401076121</v>
      </c>
      <c r="C38" s="151">
        <f t="shared" si="2"/>
        <v>26</v>
      </c>
      <c r="D38" s="152">
        <f t="shared" si="0"/>
        <v>47678.066096516435</v>
      </c>
      <c r="E38" s="152">
        <f t="shared" si="3"/>
        <v>536378.24358580983</v>
      </c>
      <c r="F38" s="152">
        <f t="shared" si="4"/>
        <v>584056.30968232627</v>
      </c>
      <c r="G38" s="172">
        <f t="shared" si="5"/>
        <v>438312.07782389264</v>
      </c>
      <c r="H38" s="172">
        <f t="shared" si="6"/>
        <v>1022368.3875062189</v>
      </c>
    </row>
    <row r="39" spans="1:8" ht="23.25" x14ac:dyDescent="0.35">
      <c r="A39" s="149">
        <v>27000</v>
      </c>
      <c r="B39" s="150">
        <f t="shared" si="1"/>
        <v>22.223984756591822</v>
      </c>
      <c r="C39" s="151">
        <f t="shared" si="2"/>
        <v>27</v>
      </c>
      <c r="D39" s="152">
        <f t="shared" si="0"/>
        <v>45912.211796645461</v>
      </c>
      <c r="E39" s="152">
        <f t="shared" si="3"/>
        <v>535642.47096086363</v>
      </c>
      <c r="F39" s="152">
        <f t="shared" si="4"/>
        <v>581554.68275750906</v>
      </c>
      <c r="G39" s="172">
        <f t="shared" si="5"/>
        <v>454839.16324066161</v>
      </c>
      <c r="H39" s="172">
        <f t="shared" si="6"/>
        <v>1036393.8459981707</v>
      </c>
    </row>
    <row r="40" spans="1:8" ht="23.25" x14ac:dyDescent="0.35">
      <c r="A40" s="149">
        <v>28000</v>
      </c>
      <c r="B40" s="150">
        <f t="shared" si="1"/>
        <v>21.430271015284969</v>
      </c>
      <c r="C40" s="151">
        <f t="shared" si="2"/>
        <v>28</v>
      </c>
      <c r="D40" s="152">
        <f t="shared" si="0"/>
        <v>44272.489946765258</v>
      </c>
      <c r="E40" s="152">
        <f t="shared" si="3"/>
        <v>534959.25352341344</v>
      </c>
      <c r="F40" s="152">
        <f t="shared" si="4"/>
        <v>579231.74347017868</v>
      </c>
      <c r="G40" s="172">
        <f t="shared" si="5"/>
        <v>471366.24865743046</v>
      </c>
      <c r="H40" s="172">
        <f t="shared" si="6"/>
        <v>1050597.9921276092</v>
      </c>
    </row>
    <row r="41" spans="1:8" ht="23.25" x14ac:dyDescent="0.35">
      <c r="A41" s="149">
        <v>29000</v>
      </c>
      <c r="B41" s="150">
        <f t="shared" si="1"/>
        <v>20.691296152688935</v>
      </c>
      <c r="C41" s="151">
        <f t="shared" si="2"/>
        <v>29</v>
      </c>
      <c r="D41" s="152">
        <f t="shared" si="0"/>
        <v>42745.852362394042</v>
      </c>
      <c r="E41" s="152">
        <f t="shared" si="3"/>
        <v>534323.15452992555</v>
      </c>
      <c r="F41" s="152">
        <f t="shared" si="4"/>
        <v>577069.00689231954</v>
      </c>
      <c r="G41" s="172">
        <f t="shared" si="5"/>
        <v>487893.33407419937</v>
      </c>
      <c r="H41" s="172">
        <f t="shared" si="6"/>
        <v>1064962.340966519</v>
      </c>
    </row>
    <row r="42" spans="1:8" ht="23.25" x14ac:dyDescent="0.35">
      <c r="A42" s="149">
        <v>30000</v>
      </c>
      <c r="B42" s="150">
        <f t="shared" si="1"/>
        <v>20.001586280932639</v>
      </c>
      <c r="C42" s="151">
        <f t="shared" si="2"/>
        <v>30</v>
      </c>
      <c r="D42" s="152">
        <f t="shared" si="0"/>
        <v>41320.990616980911</v>
      </c>
      <c r="E42" s="152">
        <f t="shared" si="3"/>
        <v>533729.46213600342</v>
      </c>
      <c r="F42" s="152">
        <f t="shared" si="4"/>
        <v>575050.45275298436</v>
      </c>
      <c r="G42" s="172">
        <f t="shared" si="5"/>
        <v>504420.41949096834</v>
      </c>
      <c r="H42" s="172">
        <f t="shared" si="6"/>
        <v>1079470.8722439527</v>
      </c>
    </row>
    <row r="43" spans="1:8" ht="23.25" x14ac:dyDescent="0.35">
      <c r="A43" s="149">
        <v>31000</v>
      </c>
      <c r="B43" s="150">
        <f t="shared" si="1"/>
        <v>19.356373820257392</v>
      </c>
      <c r="C43" s="151">
        <f t="shared" si="2"/>
        <v>31</v>
      </c>
      <c r="D43" s="152">
        <f t="shared" si="0"/>
        <v>39988.055435787981</v>
      </c>
      <c r="E43" s="152">
        <f t="shared" si="3"/>
        <v>533174.07247717306</v>
      </c>
      <c r="F43" s="152">
        <f t="shared" si="4"/>
        <v>573162.12791296106</v>
      </c>
      <c r="G43" s="172">
        <f t="shared" si="5"/>
        <v>520947.50490773731</v>
      </c>
      <c r="H43" s="172">
        <f t="shared" si="6"/>
        <v>1094109.6328206984</v>
      </c>
    </row>
    <row r="44" spans="1:8" ht="23.25" x14ac:dyDescent="0.35">
      <c r="A44" s="149">
        <v>32000</v>
      </c>
      <c r="B44" s="150">
        <f t="shared" si="1"/>
        <v>18.751487138374348</v>
      </c>
      <c r="C44" s="151">
        <f t="shared" si="2"/>
        <v>32</v>
      </c>
      <c r="D44" s="152">
        <f t="shared" si="0"/>
        <v>38738.428703419602</v>
      </c>
      <c r="E44" s="152">
        <f t="shared" si="3"/>
        <v>532653.39467201952</v>
      </c>
      <c r="F44" s="152">
        <f t="shared" si="4"/>
        <v>571391.82337543915</v>
      </c>
      <c r="G44" s="172">
        <f t="shared" si="5"/>
        <v>537474.59032450616</v>
      </c>
      <c r="H44" s="172">
        <f t="shared" si="6"/>
        <v>1108866.4136999454</v>
      </c>
    </row>
    <row r="45" spans="1:8" ht="23.25" x14ac:dyDescent="0.35">
      <c r="A45" s="149">
        <v>33000</v>
      </c>
      <c r="B45" s="150">
        <f t="shared" si="1"/>
        <v>18.183260255393307</v>
      </c>
      <c r="C45" s="151">
        <f t="shared" si="2"/>
        <v>33</v>
      </c>
      <c r="D45" s="152">
        <f t="shared" ref="D45:D76" si="7">(fixed_order_cost_23)*B45</f>
        <v>37564.536924528096</v>
      </c>
      <c r="E45" s="152">
        <f t="shared" si="3"/>
        <v>532164.27309748135</v>
      </c>
      <c r="F45" s="152">
        <f t="shared" si="4"/>
        <v>569728.81002200942</v>
      </c>
      <c r="G45" s="172">
        <f t="shared" si="5"/>
        <v>554001.67574127507</v>
      </c>
      <c r="H45" s="172">
        <f t="shared" si="6"/>
        <v>1123730.4857632844</v>
      </c>
    </row>
    <row r="46" spans="1:8" ht="23.25" x14ac:dyDescent="0.35">
      <c r="A46" s="149">
        <v>34000</v>
      </c>
      <c r="B46" s="150">
        <f t="shared" si="1"/>
        <v>17.648458483175858</v>
      </c>
      <c r="C46" s="151">
        <f t="shared" si="2"/>
        <v>34</v>
      </c>
      <c r="D46" s="152">
        <f t="shared" si="7"/>
        <v>36459.697603218454</v>
      </c>
      <c r="E46" s="152">
        <f t="shared" si="3"/>
        <v>531703.92338026909</v>
      </c>
      <c r="F46" s="152">
        <f t="shared" si="4"/>
        <v>568163.62098348758</v>
      </c>
      <c r="G46" s="172">
        <f t="shared" si="5"/>
        <v>570528.76115804398</v>
      </c>
      <c r="H46" s="172">
        <f t="shared" si="6"/>
        <v>1138692.3821415314</v>
      </c>
    </row>
    <row r="47" spans="1:8" ht="23.25" x14ac:dyDescent="0.35">
      <c r="A47" s="149">
        <v>35000</v>
      </c>
      <c r="B47" s="150">
        <f t="shared" si="1"/>
        <v>17.144216812227977</v>
      </c>
      <c r="C47" s="151">
        <f t="shared" si="2"/>
        <v>35</v>
      </c>
      <c r="D47" s="152">
        <f t="shared" si="7"/>
        <v>35417.99195741221</v>
      </c>
      <c r="E47" s="152">
        <f t="shared" si="3"/>
        <v>531269.87936118303</v>
      </c>
      <c r="F47" s="152">
        <f t="shared" si="4"/>
        <v>566687.87131859525</v>
      </c>
      <c r="G47" s="172">
        <f t="shared" si="5"/>
        <v>587055.84657481289</v>
      </c>
      <c r="H47" s="172">
        <f t="shared" si="6"/>
        <v>1153743.7178934081</v>
      </c>
    </row>
    <row r="48" spans="1:8" ht="23.25" x14ac:dyDescent="0.35">
      <c r="A48" s="149">
        <v>36000</v>
      </c>
      <c r="B48" s="150">
        <f t="shared" si="1"/>
        <v>16.667988567443864</v>
      </c>
      <c r="C48" s="151">
        <f t="shared" si="2"/>
        <v>36</v>
      </c>
      <c r="D48" s="152">
        <f t="shared" si="7"/>
        <v>34434.15884748409</v>
      </c>
      <c r="E48" s="152">
        <f t="shared" si="3"/>
        <v>530859.94889871299</v>
      </c>
      <c r="F48" s="152">
        <f t="shared" si="4"/>
        <v>565294.10774619703</v>
      </c>
      <c r="G48" s="172">
        <f t="shared" si="5"/>
        <v>603582.93199158192</v>
      </c>
      <c r="H48" s="172">
        <f t="shared" si="6"/>
        <v>1168877.0397377789</v>
      </c>
    </row>
    <row r="49" spans="1:8" ht="23.25" x14ac:dyDescent="0.35">
      <c r="A49" s="149">
        <v>37000</v>
      </c>
      <c r="B49" s="150">
        <f t="shared" si="1"/>
        <v>16.217502389945384</v>
      </c>
      <c r="C49" s="151">
        <f t="shared" si="2"/>
        <v>37</v>
      </c>
      <c r="D49" s="152">
        <f t="shared" si="7"/>
        <v>33503.505905660197</v>
      </c>
      <c r="E49" s="152">
        <f t="shared" si="3"/>
        <v>530472.17683961976</v>
      </c>
      <c r="F49" s="152">
        <f t="shared" si="4"/>
        <v>563975.68274527998</v>
      </c>
      <c r="G49" s="172">
        <f t="shared" si="5"/>
        <v>620110.01740835083</v>
      </c>
      <c r="H49" s="172">
        <f t="shared" si="6"/>
        <v>1184085.7001536307</v>
      </c>
    </row>
    <row r="50" spans="1:8" ht="23.25" x14ac:dyDescent="0.35">
      <c r="A50" s="149">
        <v>38000</v>
      </c>
      <c r="B50" s="150">
        <f t="shared" si="1"/>
        <v>15.79072601126261</v>
      </c>
      <c r="C50" s="151">
        <f t="shared" si="2"/>
        <v>38</v>
      </c>
      <c r="D50" s="152">
        <f t="shared" si="7"/>
        <v>32621.834697616508</v>
      </c>
      <c r="E50" s="152">
        <f t="shared" si="3"/>
        <v>530104.81383626827</v>
      </c>
      <c r="F50" s="152">
        <f t="shared" si="4"/>
        <v>562726.64853388479</v>
      </c>
      <c r="G50" s="172">
        <f t="shared" si="5"/>
        <v>636637.10282511963</v>
      </c>
      <c r="H50" s="172">
        <f t="shared" si="6"/>
        <v>1199363.7513590045</v>
      </c>
    </row>
    <row r="51" spans="1:8" ht="23.25" x14ac:dyDescent="0.35">
      <c r="A51" s="149">
        <v>39000</v>
      </c>
      <c r="B51" s="150">
        <f t="shared" si="1"/>
        <v>15.385835600717414</v>
      </c>
      <c r="C51" s="151">
        <f t="shared" si="2"/>
        <v>39</v>
      </c>
      <c r="D51" s="152">
        <f t="shared" si="7"/>
        <v>31785.377397677621</v>
      </c>
      <c r="E51" s="152">
        <f t="shared" si="3"/>
        <v>529756.28996129369</v>
      </c>
      <c r="F51" s="152">
        <f t="shared" si="4"/>
        <v>561541.66735897132</v>
      </c>
      <c r="G51" s="172">
        <f t="shared" si="5"/>
        <v>653164.18824188865</v>
      </c>
      <c r="H51" s="172">
        <f t="shared" si="6"/>
        <v>1214705.85560086</v>
      </c>
    </row>
    <row r="52" spans="1:8" ht="23.25" x14ac:dyDescent="0.35">
      <c r="A52" s="149">
        <v>40000</v>
      </c>
      <c r="B52" s="150">
        <f t="shared" si="1"/>
        <v>15.001189710699478</v>
      </c>
      <c r="C52" s="151">
        <f t="shared" si="2"/>
        <v>40</v>
      </c>
      <c r="D52" s="152">
        <f t="shared" si="7"/>
        <v>30990.74296273568</v>
      </c>
      <c r="E52" s="152">
        <f t="shared" si="3"/>
        <v>529425.19228006783</v>
      </c>
      <c r="F52" s="152">
        <f t="shared" si="4"/>
        <v>560415.93524280353</v>
      </c>
      <c r="G52" s="172">
        <f t="shared" si="5"/>
        <v>669691.27365865756</v>
      </c>
      <c r="H52" s="172">
        <f t="shared" si="6"/>
        <v>1230107.2089014612</v>
      </c>
    </row>
    <row r="53" spans="1:8" ht="23.25" x14ac:dyDescent="0.35">
      <c r="A53" s="149">
        <v>41000</v>
      </c>
      <c r="B53" s="150">
        <f t="shared" si="1"/>
        <v>14.635307034828759</v>
      </c>
      <c r="C53" s="151">
        <f t="shared" si="2"/>
        <v>41</v>
      </c>
      <c r="D53" s="152">
        <f t="shared" si="7"/>
        <v>30234.871183156763</v>
      </c>
      <c r="E53" s="152">
        <f t="shared" si="3"/>
        <v>529110.24570524332</v>
      </c>
      <c r="F53" s="152">
        <f t="shared" si="4"/>
        <v>559345.11688840005</v>
      </c>
      <c r="G53" s="172">
        <f t="shared" si="5"/>
        <v>686218.35907542647</v>
      </c>
      <c r="H53" s="172">
        <f t="shared" si="6"/>
        <v>1245563.4759638265</v>
      </c>
    </row>
    <row r="54" spans="1:8" ht="23.25" x14ac:dyDescent="0.35">
      <c r="A54" s="149">
        <v>42000</v>
      </c>
      <c r="B54" s="150">
        <f t="shared" si="1"/>
        <v>14.286847343523313</v>
      </c>
      <c r="C54" s="151">
        <f t="shared" si="2"/>
        <v>42</v>
      </c>
      <c r="D54" s="152">
        <f t="shared" si="7"/>
        <v>29514.993297843506</v>
      </c>
      <c r="E54" s="152">
        <f t="shared" si="3"/>
        <v>528810.29658636288</v>
      </c>
      <c r="F54" s="152">
        <f t="shared" si="4"/>
        <v>558325.28988420637</v>
      </c>
      <c r="G54" s="172">
        <f t="shared" si="5"/>
        <v>702745.4444921955</v>
      </c>
      <c r="H54" s="172">
        <f t="shared" si="6"/>
        <v>1261070.7343764019</v>
      </c>
    </row>
    <row r="55" spans="1:8" ht="23.25" x14ac:dyDescent="0.35">
      <c r="A55" s="149">
        <v>43000</v>
      </c>
      <c r="B55" s="150">
        <f t="shared" si="1"/>
        <v>13.954595079720445</v>
      </c>
      <c r="C55" s="151">
        <f t="shared" si="2"/>
        <v>43</v>
      </c>
      <c r="D55" s="152">
        <f t="shared" si="7"/>
        <v>28828.598104870402</v>
      </c>
      <c r="E55" s="152">
        <f t="shared" si="3"/>
        <v>528524.29858929059</v>
      </c>
      <c r="F55" s="152">
        <f t="shared" si="4"/>
        <v>557352.896694161</v>
      </c>
      <c r="G55" s="172">
        <f t="shared" si="5"/>
        <v>719272.52990896429</v>
      </c>
      <c r="H55" s="172">
        <f t="shared" si="6"/>
        <v>1276625.4266031254</v>
      </c>
    </row>
    <row r="56" spans="1:8" ht="23.25" x14ac:dyDescent="0.35">
      <c r="A56" s="149">
        <v>44000</v>
      </c>
      <c r="B56" s="150">
        <f t="shared" si="1"/>
        <v>13.63744519154498</v>
      </c>
      <c r="C56" s="151">
        <f t="shared" si="2"/>
        <v>44</v>
      </c>
      <c r="D56" s="152">
        <f t="shared" si="7"/>
        <v>28173.402693396074</v>
      </c>
      <c r="E56" s="152">
        <f t="shared" si="3"/>
        <v>528251.30050117639</v>
      </c>
      <c r="F56" s="152">
        <f t="shared" si="4"/>
        <v>556424.70319457247</v>
      </c>
      <c r="G56" s="172">
        <f t="shared" si="5"/>
        <v>735799.61532573332</v>
      </c>
      <c r="H56" s="172">
        <f t="shared" si="6"/>
        <v>1292224.3185203057</v>
      </c>
    </row>
    <row r="57" spans="1:8" ht="23.25" x14ac:dyDescent="0.35">
      <c r="A57" s="149">
        <v>45000</v>
      </c>
      <c r="B57" s="150">
        <f t="shared" si="1"/>
        <v>13.334390853955092</v>
      </c>
      <c r="C57" s="151">
        <f t="shared" si="2"/>
        <v>45</v>
      </c>
      <c r="D57" s="152">
        <f t="shared" si="7"/>
        <v>27547.327077987273</v>
      </c>
      <c r="E57" s="152">
        <f t="shared" si="3"/>
        <v>527990.43566142267</v>
      </c>
      <c r="F57" s="152">
        <f t="shared" si="4"/>
        <v>555537.76273940993</v>
      </c>
      <c r="G57" s="172">
        <f t="shared" si="5"/>
        <v>752326.70074250223</v>
      </c>
      <c r="H57" s="172">
        <f t="shared" si="6"/>
        <v>1307864.4634819122</v>
      </c>
    </row>
    <row r="58" spans="1:8" ht="23.25" x14ac:dyDescent="0.35">
      <c r="A58" s="149">
        <v>46000</v>
      </c>
      <c r="B58" s="150">
        <f t="shared" si="1"/>
        <v>13.04451279191259</v>
      </c>
      <c r="C58" s="151">
        <f t="shared" si="2"/>
        <v>46</v>
      </c>
      <c r="D58" s="152">
        <f t="shared" si="7"/>
        <v>26948.472141509286</v>
      </c>
      <c r="E58" s="152">
        <f t="shared" si="3"/>
        <v>527740.91277122358</v>
      </c>
      <c r="F58" s="152">
        <f t="shared" si="4"/>
        <v>554689.38491273287</v>
      </c>
      <c r="G58" s="172">
        <f t="shared" si="5"/>
        <v>768853.78615927103</v>
      </c>
      <c r="H58" s="172">
        <f t="shared" si="6"/>
        <v>1323543.1710720039</v>
      </c>
    </row>
    <row r="59" spans="1:8" ht="23.25" x14ac:dyDescent="0.35">
      <c r="A59" s="149">
        <v>47000</v>
      </c>
      <c r="B59" s="150">
        <f t="shared" si="1"/>
        <v>12.766969966552749</v>
      </c>
      <c r="C59" s="151">
        <f t="shared" si="2"/>
        <v>47</v>
      </c>
      <c r="D59" s="152">
        <f t="shared" si="7"/>
        <v>26375.100393817604</v>
      </c>
      <c r="E59" s="152">
        <f t="shared" si="3"/>
        <v>527502.00787635206</v>
      </c>
      <c r="F59" s="152">
        <f t="shared" si="4"/>
        <v>553877.1082701697</v>
      </c>
      <c r="G59" s="172">
        <f t="shared" si="5"/>
        <v>785380.87157604005</v>
      </c>
      <c r="H59" s="172">
        <f t="shared" si="6"/>
        <v>1339257.9798462098</v>
      </c>
    </row>
    <row r="60" spans="1:8" ht="23.25" x14ac:dyDescent="0.35">
      <c r="A60" s="149">
        <v>48000</v>
      </c>
      <c r="B60" s="150">
        <f t="shared" si="1"/>
        <v>12.5009914255829</v>
      </c>
      <c r="C60" s="151">
        <f t="shared" si="2"/>
        <v>48</v>
      </c>
      <c r="D60" s="152">
        <f t="shared" si="7"/>
        <v>25825.619135613069</v>
      </c>
      <c r="E60" s="152">
        <f t="shared" si="3"/>
        <v>527273.05735210015</v>
      </c>
      <c r="F60" s="152">
        <f t="shared" si="4"/>
        <v>553098.67648771324</v>
      </c>
      <c r="G60" s="172">
        <f t="shared" si="5"/>
        <v>801907.95699280896</v>
      </c>
      <c r="H60" s="172">
        <f t="shared" si="6"/>
        <v>1355006.6334805223</v>
      </c>
    </row>
    <row r="61" spans="1:8" ht="23.25" x14ac:dyDescent="0.35">
      <c r="A61" s="149">
        <v>49000</v>
      </c>
      <c r="B61" s="150">
        <f t="shared" si="1"/>
        <v>12.24586915159141</v>
      </c>
      <c r="C61" s="151">
        <f t="shared" si="2"/>
        <v>49</v>
      </c>
      <c r="D61" s="152">
        <f t="shared" si="7"/>
        <v>25298.565683865862</v>
      </c>
      <c r="E61" s="152">
        <f t="shared" si="3"/>
        <v>527053.45174720546</v>
      </c>
      <c r="F61" s="152">
        <f t="shared" si="4"/>
        <v>552352.01743107126</v>
      </c>
      <c r="G61" s="172">
        <f t="shared" si="5"/>
        <v>818435.04240957799</v>
      </c>
      <c r="H61" s="172">
        <f t="shared" si="6"/>
        <v>1370787.0598406494</v>
      </c>
    </row>
    <row r="62" spans="1:8" ht="23.25" x14ac:dyDescent="0.35">
      <c r="A62" s="149">
        <v>50000</v>
      </c>
      <c r="B62" s="150">
        <f t="shared" si="1"/>
        <v>12.000951768559583</v>
      </c>
      <c r="C62" s="151">
        <f t="shared" si="2"/>
        <v>50</v>
      </c>
      <c r="D62" s="152">
        <f t="shared" si="7"/>
        <v>24792.594370188544</v>
      </c>
      <c r="E62" s="152">
        <f t="shared" si="3"/>
        <v>526842.63036650652</v>
      </c>
      <c r="F62" s="152">
        <f t="shared" si="4"/>
        <v>551635.22473669506</v>
      </c>
      <c r="G62" s="172">
        <f t="shared" si="5"/>
        <v>834962.1278263469</v>
      </c>
      <c r="H62" s="172">
        <f t="shared" si="6"/>
        <v>1386597.352563042</v>
      </c>
    </row>
    <row r="63" spans="1:8" ht="23.25" x14ac:dyDescent="0.35">
      <c r="A63" s="149">
        <v>51000</v>
      </c>
      <c r="B63" s="150">
        <f t="shared" si="1"/>
        <v>11.765638988783905</v>
      </c>
      <c r="C63" s="151">
        <f t="shared" si="2"/>
        <v>51</v>
      </c>
      <c r="D63" s="152">
        <f t="shared" si="7"/>
        <v>24306.4650688123</v>
      </c>
      <c r="E63" s="152">
        <f t="shared" si="3"/>
        <v>526640.07649093319</v>
      </c>
      <c r="F63" s="152">
        <f t="shared" si="4"/>
        <v>550946.54155974544</v>
      </c>
      <c r="G63" s="172">
        <f t="shared" si="5"/>
        <v>851489.21324311569</v>
      </c>
      <c r="H63" s="172">
        <f t="shared" si="6"/>
        <v>1402435.7548028613</v>
      </c>
    </row>
    <row r="64" spans="1:8" ht="23.25" x14ac:dyDescent="0.35">
      <c r="A64" s="149">
        <v>52000</v>
      </c>
      <c r="B64" s="150">
        <f t="shared" si="1"/>
        <v>11.53937670053806</v>
      </c>
      <c r="C64" s="151">
        <f t="shared" si="2"/>
        <v>52</v>
      </c>
      <c r="D64" s="152">
        <f t="shared" si="7"/>
        <v>23839.033048258218</v>
      </c>
      <c r="E64" s="152">
        <f t="shared" si="3"/>
        <v>526445.31314903556</v>
      </c>
      <c r="F64" s="152">
        <f t="shared" si="4"/>
        <v>550284.34619729372</v>
      </c>
      <c r="G64" s="172">
        <f t="shared" si="5"/>
        <v>868016.29865988472</v>
      </c>
      <c r="H64" s="172">
        <f t="shared" si="6"/>
        <v>1418300.6448571784</v>
      </c>
    </row>
    <row r="65" spans="1:8" ht="23.25" x14ac:dyDescent="0.35">
      <c r="A65" s="149">
        <v>53000</v>
      </c>
      <c r="B65" s="150">
        <f t="shared" si="1"/>
        <v>11.321652611848663</v>
      </c>
      <c r="C65" s="151">
        <f t="shared" si="2"/>
        <v>53</v>
      </c>
      <c r="D65" s="152">
        <f t="shared" si="7"/>
        <v>23389.239971875984</v>
      </c>
      <c r="E65" s="152">
        <f t="shared" si="3"/>
        <v>526257.89936720964</v>
      </c>
      <c r="F65" s="152">
        <f t="shared" si="4"/>
        <v>549647.13933908567</v>
      </c>
      <c r="G65" s="172">
        <f t="shared" si="5"/>
        <v>884543.38407665363</v>
      </c>
      <c r="H65" s="172">
        <f t="shared" si="6"/>
        <v>1434190.5234157392</v>
      </c>
    </row>
    <row r="66" spans="1:8" ht="23.25" x14ac:dyDescent="0.35">
      <c r="A66" s="149">
        <v>54000</v>
      </c>
      <c r="B66" s="150">
        <f t="shared" si="1"/>
        <v>11.111992378295911</v>
      </c>
      <c r="C66" s="151">
        <f t="shared" si="2"/>
        <v>54</v>
      </c>
      <c r="D66" s="152">
        <f t="shared" si="7"/>
        <v>22956.10589832273</v>
      </c>
      <c r="E66" s="152">
        <f t="shared" si="3"/>
        <v>526077.42683656246</v>
      </c>
      <c r="F66" s="152">
        <f t="shared" si="4"/>
        <v>549033.53273488523</v>
      </c>
      <c r="G66" s="172">
        <f t="shared" si="5"/>
        <v>901070.46949342266</v>
      </c>
      <c r="H66" s="172">
        <f t="shared" si="6"/>
        <v>1450104.002228308</v>
      </c>
    </row>
    <row r="67" spans="1:8" ht="23.25" x14ac:dyDescent="0.35">
      <c r="A67" s="149">
        <v>55000</v>
      </c>
      <c r="B67" s="150">
        <f t="shared" si="1"/>
        <v>10.909956153235985</v>
      </c>
      <c r="C67" s="151">
        <f t="shared" si="2"/>
        <v>55</v>
      </c>
      <c r="D67" s="152">
        <f t="shared" si="7"/>
        <v>22538.722154716859</v>
      </c>
      <c r="E67" s="152">
        <f t="shared" si="3"/>
        <v>525903.51694339339</v>
      </c>
      <c r="F67" s="152">
        <f t="shared" si="4"/>
        <v>548442.23909811024</v>
      </c>
      <c r="G67" s="172">
        <f t="shared" si="5"/>
        <v>917597.55491019145</v>
      </c>
      <c r="H67" s="172">
        <f t="shared" si="6"/>
        <v>1466039.7940083016</v>
      </c>
    </row>
    <row r="68" spans="1:8" ht="23.25" x14ac:dyDescent="0.35">
      <c r="A68" s="149">
        <v>56000</v>
      </c>
      <c r="B68" s="150">
        <f t="shared" si="1"/>
        <v>10.715135507642485</v>
      </c>
      <c r="C68" s="151">
        <f t="shared" si="2"/>
        <v>56</v>
      </c>
      <c r="D68" s="152">
        <f t="shared" si="7"/>
        <v>22136.244973382629</v>
      </c>
      <c r="E68" s="152">
        <f t="shared" si="3"/>
        <v>525735.81811783742</v>
      </c>
      <c r="F68" s="152">
        <f t="shared" si="4"/>
        <v>547872.0630912201</v>
      </c>
      <c r="G68" s="172">
        <f t="shared" si="5"/>
        <v>934124.64032696036</v>
      </c>
      <c r="H68" s="172">
        <f t="shared" si="6"/>
        <v>1481996.7034181803</v>
      </c>
    </row>
    <row r="69" spans="1:8" ht="23.25" x14ac:dyDescent="0.35">
      <c r="A69" s="149">
        <v>57000</v>
      </c>
      <c r="B69" s="150">
        <f t="shared" si="1"/>
        <v>10.527150674175072</v>
      </c>
      <c r="C69" s="151">
        <f t="shared" si="2"/>
        <v>57</v>
      </c>
      <c r="D69" s="152">
        <f t="shared" si="7"/>
        <v>21747.889798411004</v>
      </c>
      <c r="E69" s="152">
        <f t="shared" si="3"/>
        <v>525574.00346159923</v>
      </c>
      <c r="F69" s="152">
        <f t="shared" si="4"/>
        <v>547321.89326001029</v>
      </c>
      <c r="G69" s="172">
        <f t="shared" si="5"/>
        <v>950651.72574372939</v>
      </c>
      <c r="H69" s="172">
        <f t="shared" si="6"/>
        <v>1497973.6190037397</v>
      </c>
    </row>
    <row r="70" spans="1:8" ht="23.25" x14ac:dyDescent="0.35">
      <c r="A70" s="149">
        <v>58000</v>
      </c>
      <c r="B70" s="150">
        <f t="shared" si="1"/>
        <v>10.345648076344467</v>
      </c>
      <c r="C70" s="151">
        <f t="shared" si="2"/>
        <v>58</v>
      </c>
      <c r="D70" s="152">
        <f t="shared" si="7"/>
        <v>21372.926181197021</v>
      </c>
      <c r="E70" s="152">
        <f t="shared" si="3"/>
        <v>525417.76862109336</v>
      </c>
      <c r="F70" s="152">
        <f t="shared" si="4"/>
        <v>546790.69480229041</v>
      </c>
      <c r="G70" s="172">
        <f t="shared" si="5"/>
        <v>967178.81116049818</v>
      </c>
      <c r="H70" s="172">
        <f t="shared" si="6"/>
        <v>1513969.5059627886</v>
      </c>
    </row>
    <row r="71" spans="1:8" ht="23.25" x14ac:dyDescent="0.35">
      <c r="A71" s="149">
        <v>59000</v>
      </c>
      <c r="B71" s="150">
        <f t="shared" si="1"/>
        <v>10.170298108948799</v>
      </c>
      <c r="C71" s="151">
        <f t="shared" si="2"/>
        <v>59</v>
      </c>
      <c r="D71" s="152">
        <f t="shared" si="7"/>
        <v>21010.67319507504</v>
      </c>
      <c r="E71" s="152">
        <f t="shared" si="3"/>
        <v>525266.82987687585</v>
      </c>
      <c r="F71" s="152">
        <f t="shared" si="4"/>
        <v>546277.50307195086</v>
      </c>
      <c r="G71" s="172">
        <f t="shared" si="5"/>
        <v>983705.89657726721</v>
      </c>
      <c r="H71" s="172">
        <f t="shared" si="6"/>
        <v>1529983.3996492182</v>
      </c>
    </row>
    <row r="72" spans="1:8" ht="23.25" x14ac:dyDescent="0.35">
      <c r="A72" s="149">
        <v>60000</v>
      </c>
      <c r="B72" s="150">
        <f t="shared" si="1"/>
        <v>10.000793140466319</v>
      </c>
      <c r="C72" s="151">
        <f t="shared" si="2"/>
        <v>60</v>
      </c>
      <c r="D72" s="152">
        <f t="shared" si="7"/>
        <v>20660.495308490455</v>
      </c>
      <c r="E72" s="152">
        <f t="shared" si="3"/>
        <v>525120.92242413235</v>
      </c>
      <c r="F72" s="152">
        <f t="shared" si="4"/>
        <v>545781.41773262282</v>
      </c>
      <c r="G72" s="172">
        <f t="shared" si="5"/>
        <v>1000232.9819940361</v>
      </c>
      <c r="H72" s="172">
        <f t="shared" si="6"/>
        <v>1546014.3997266591</v>
      </c>
    </row>
    <row r="73" spans="1:8" ht="23.25" x14ac:dyDescent="0.35">
      <c r="A73" s="149">
        <v>61000</v>
      </c>
      <c r="B73" s="150">
        <f t="shared" si="1"/>
        <v>9.8368457119340853</v>
      </c>
      <c r="C73" s="151">
        <f t="shared" si="2"/>
        <v>61</v>
      </c>
      <c r="D73" s="152">
        <f t="shared" si="7"/>
        <v>20321.798664088972</v>
      </c>
      <c r="E73" s="152">
        <f t="shared" si="3"/>
        <v>524979.79882229841</v>
      </c>
      <c r="F73" s="152">
        <f t="shared" si="4"/>
        <v>545301.59748638736</v>
      </c>
      <c r="G73" s="172">
        <f t="shared" si="5"/>
        <v>1016760.067410805</v>
      </c>
      <c r="H73" s="172">
        <f t="shared" si="6"/>
        <v>1562061.6648971923</v>
      </c>
    </row>
    <row r="74" spans="1:8" ht="23.25" x14ac:dyDescent="0.35">
      <c r="A74" s="149">
        <v>62000</v>
      </c>
      <c r="B74" s="150">
        <f t="shared" si="1"/>
        <v>9.6781869101286961</v>
      </c>
      <c r="C74" s="151">
        <f t="shared" si="2"/>
        <v>62</v>
      </c>
      <c r="D74" s="152">
        <f t="shared" si="7"/>
        <v>19994.02771789399</v>
      </c>
      <c r="E74" s="152">
        <f t="shared" si="3"/>
        <v>524843.22759471717</v>
      </c>
      <c r="F74" s="152">
        <f t="shared" si="4"/>
        <v>544837.25531261112</v>
      </c>
      <c r="G74" s="172">
        <f t="shared" si="5"/>
        <v>1033287.1528275741</v>
      </c>
      <c r="H74" s="172">
        <f t="shared" si="6"/>
        <v>1578124.4081401853</v>
      </c>
    </row>
    <row r="75" spans="1:8" ht="23.25" x14ac:dyDescent="0.35">
      <c r="A75" s="149">
        <v>63000</v>
      </c>
      <c r="B75" s="150">
        <f t="shared" si="1"/>
        <v>9.5245648956822091</v>
      </c>
      <c r="C75" s="151">
        <f t="shared" si="2"/>
        <v>63</v>
      </c>
      <c r="D75" s="152">
        <f t="shared" si="7"/>
        <v>19676.662198562339</v>
      </c>
      <c r="E75" s="152">
        <f t="shared" si="3"/>
        <v>524710.99196166231</v>
      </c>
      <c r="F75" s="152">
        <f t="shared" si="4"/>
        <v>544387.6541602246</v>
      </c>
      <c r="G75" s="172">
        <f t="shared" si="5"/>
        <v>1049814.2382443429</v>
      </c>
      <c r="H75" s="172">
        <f t="shared" si="6"/>
        <v>1594201.8924045675</v>
      </c>
    </row>
    <row r="76" spans="1:8" ht="23.25" x14ac:dyDescent="0.35">
      <c r="A76" s="149">
        <v>64000</v>
      </c>
      <c r="B76" s="150">
        <f t="shared" si="1"/>
        <v>9.3757435691871738</v>
      </c>
      <c r="C76" s="151">
        <f t="shared" si="2"/>
        <v>64</v>
      </c>
      <c r="D76" s="152">
        <f t="shared" si="7"/>
        <v>19369.214351709801</v>
      </c>
      <c r="E76" s="152">
        <f t="shared" si="3"/>
        <v>524582.88869214046</v>
      </c>
      <c r="F76" s="152">
        <f t="shared" si="4"/>
        <v>543952.10304385028</v>
      </c>
      <c r="G76" s="172">
        <f t="shared" si="5"/>
        <v>1066341.323661112</v>
      </c>
      <c r="H76" s="172">
        <f t="shared" si="6"/>
        <v>1610293.4267049623</v>
      </c>
    </row>
    <row r="77" spans="1:8" ht="23.25" x14ac:dyDescent="0.35">
      <c r="A77" s="149">
        <v>65000</v>
      </c>
      <c r="B77" s="150">
        <f t="shared" si="1"/>
        <v>9.2315013604304479</v>
      </c>
      <c r="C77" s="151">
        <f t="shared" si="2"/>
        <v>65</v>
      </c>
      <c r="D77" s="152">
        <f t="shared" ref="D77:D100" si="8">(fixed_order_cost_23)*B77</f>
        <v>19071.226438606573</v>
      </c>
      <c r="E77" s="152">
        <f t="shared" si="3"/>
        <v>524458.72706168075</v>
      </c>
      <c r="F77" s="152">
        <f t="shared" si="4"/>
        <v>543529.95350028737</v>
      </c>
      <c r="G77" s="172">
        <f t="shared" si="5"/>
        <v>1082868.4090778809</v>
      </c>
      <c r="H77" s="172">
        <f t="shared" si="6"/>
        <v>1626398.3625781683</v>
      </c>
    </row>
    <row r="78" spans="1:8" ht="23.25" x14ac:dyDescent="0.35">
      <c r="A78" s="149">
        <v>66000</v>
      </c>
      <c r="B78" s="150">
        <f t="shared" ref="B78:B100" si="9">$B$3/A78</f>
        <v>9.0916301276966536</v>
      </c>
      <c r="C78" s="151">
        <f t="shared" ref="C78:C100" si="10">ROUNDUP(A78/$B$4,0)</f>
        <v>66</v>
      </c>
      <c r="D78" s="152">
        <f t="shared" si="8"/>
        <v>18782.268462264048</v>
      </c>
      <c r="E78" s="152">
        <f t="shared" ref="E78:E100" si="11">B78*IF(C78&lt;=5,C78*$B$6,SUM((5*$B$6),(C78-5)*$B$7))</f>
        <v>524338.32790487143</v>
      </c>
      <c r="F78" s="152">
        <f t="shared" ref="F78:F100" si="12">SUM(D78:E78)</f>
        <v>543120.59636713553</v>
      </c>
      <c r="G78" s="172">
        <f t="shared" ref="G78:G100" si="13">0.5*($B$8+(A78/10000)*$B$10)</f>
        <v>1099395.4944946498</v>
      </c>
      <c r="H78" s="172">
        <f t="shared" ref="H78:H100" si="14">SUM(F78:G78)</f>
        <v>1642516.0908617852</v>
      </c>
    </row>
    <row r="79" spans="1:8" ht="23.25" x14ac:dyDescent="0.35">
      <c r="A79" s="149">
        <v>67000</v>
      </c>
      <c r="B79" s="150">
        <f t="shared" si="9"/>
        <v>8.9559341556414793</v>
      </c>
      <c r="C79" s="151">
        <f t="shared" si="10"/>
        <v>67</v>
      </c>
      <c r="D79" s="152">
        <f t="shared" si="8"/>
        <v>18501.936097155631</v>
      </c>
      <c r="E79" s="152">
        <f t="shared" si="11"/>
        <v>524221.52275274281</v>
      </c>
      <c r="F79" s="152">
        <f t="shared" si="12"/>
        <v>542723.45884989842</v>
      </c>
      <c r="G79" s="172">
        <f t="shared" si="13"/>
        <v>1115922.5799114187</v>
      </c>
      <c r="H79" s="172">
        <f t="shared" si="14"/>
        <v>1658646.0387613173</v>
      </c>
    </row>
    <row r="80" spans="1:8" ht="23.25" x14ac:dyDescent="0.35">
      <c r="A80" s="149">
        <v>68000</v>
      </c>
      <c r="B80" s="150">
        <f t="shared" si="9"/>
        <v>8.8242292415879291</v>
      </c>
      <c r="C80" s="151">
        <f t="shared" si="10"/>
        <v>68</v>
      </c>
      <c r="D80" s="152">
        <f t="shared" si="8"/>
        <v>18229.848801609227</v>
      </c>
      <c r="E80" s="152">
        <f t="shared" si="11"/>
        <v>524108.15304626524</v>
      </c>
      <c r="F80" s="152">
        <f t="shared" si="12"/>
        <v>542338.00184787449</v>
      </c>
      <c r="G80" s="172">
        <f t="shared" si="13"/>
        <v>1132449.6653281876</v>
      </c>
      <c r="H80" s="172">
        <f t="shared" si="14"/>
        <v>1674787.6671760622</v>
      </c>
    </row>
    <row r="81" spans="1:8" ht="23.25" x14ac:dyDescent="0.35">
      <c r="A81" s="149">
        <v>69000</v>
      </c>
      <c r="B81" s="150">
        <f t="shared" si="9"/>
        <v>8.6963418612750605</v>
      </c>
      <c r="C81" s="151">
        <f t="shared" si="10"/>
        <v>69</v>
      </c>
      <c r="D81" s="152">
        <f t="shared" si="8"/>
        <v>17965.648094339525</v>
      </c>
      <c r="E81" s="152">
        <f t="shared" si="11"/>
        <v>523998.06941823615</v>
      </c>
      <c r="F81" s="152">
        <f t="shared" si="12"/>
        <v>541963.71751257568</v>
      </c>
      <c r="G81" s="172">
        <f t="shared" si="13"/>
        <v>1148976.7507449565</v>
      </c>
      <c r="H81" s="172">
        <f t="shared" si="14"/>
        <v>1690940.4682575322</v>
      </c>
    </row>
    <row r="82" spans="1:8" ht="23.25" x14ac:dyDescent="0.35">
      <c r="A82" s="149">
        <v>70000</v>
      </c>
      <c r="B82" s="150">
        <f t="shared" si="9"/>
        <v>8.5721084061139887</v>
      </c>
      <c r="C82" s="151">
        <f t="shared" si="10"/>
        <v>70</v>
      </c>
      <c r="D82" s="152">
        <f t="shared" si="8"/>
        <v>17708.995978706105</v>
      </c>
      <c r="E82" s="152">
        <f t="shared" si="11"/>
        <v>523891.13103672222</v>
      </c>
      <c r="F82" s="152">
        <f t="shared" si="12"/>
        <v>541600.12701542827</v>
      </c>
      <c r="G82" s="172">
        <f t="shared" si="13"/>
        <v>1165503.8361617255</v>
      </c>
      <c r="H82" s="172">
        <f t="shared" si="14"/>
        <v>1707103.9631771538</v>
      </c>
    </row>
    <row r="83" spans="1:8" ht="23.25" x14ac:dyDescent="0.35">
      <c r="A83" s="149">
        <v>71000</v>
      </c>
      <c r="B83" s="150">
        <f t="shared" si="9"/>
        <v>8.4513744849011143</v>
      </c>
      <c r="C83" s="151">
        <f t="shared" si="10"/>
        <v>71</v>
      </c>
      <c r="D83" s="152">
        <f t="shared" si="8"/>
        <v>17459.573500132778</v>
      </c>
      <c r="E83" s="152">
        <f t="shared" si="11"/>
        <v>523787.20500398328</v>
      </c>
      <c r="F83" s="152">
        <f t="shared" si="12"/>
        <v>541246.77850411611</v>
      </c>
      <c r="G83" s="172">
        <f t="shared" si="13"/>
        <v>1182030.9215784944</v>
      </c>
      <c r="H83" s="172">
        <f t="shared" si="14"/>
        <v>1723277.7000826104</v>
      </c>
    </row>
    <row r="84" spans="1:8" ht="23.25" x14ac:dyDescent="0.35">
      <c r="A84" s="149">
        <v>72000</v>
      </c>
      <c r="B84" s="150">
        <f t="shared" si="9"/>
        <v>8.3339942837219319</v>
      </c>
      <c r="C84" s="151">
        <f t="shared" si="10"/>
        <v>72</v>
      </c>
      <c r="D84" s="152">
        <f t="shared" si="8"/>
        <v>17217.079423742045</v>
      </c>
      <c r="E84" s="152">
        <f t="shared" si="11"/>
        <v>523686.16580548714</v>
      </c>
      <c r="F84" s="152">
        <f t="shared" si="12"/>
        <v>540903.24522922921</v>
      </c>
      <c r="G84" s="172">
        <f t="shared" si="13"/>
        <v>1198558.0069952635</v>
      </c>
      <c r="H84" s="172">
        <f t="shared" si="14"/>
        <v>1739461.2522244928</v>
      </c>
    </row>
    <row r="85" spans="1:8" ht="23.25" x14ac:dyDescent="0.35">
      <c r="A85" s="149">
        <v>73000</v>
      </c>
      <c r="B85" s="150">
        <f t="shared" si="9"/>
        <v>8.2198299784654676</v>
      </c>
      <c r="C85" s="151">
        <f t="shared" si="10"/>
        <v>73</v>
      </c>
      <c r="D85" s="152">
        <f t="shared" si="8"/>
        <v>16981.229020677085</v>
      </c>
      <c r="E85" s="152">
        <f t="shared" si="11"/>
        <v>523587.89480421011</v>
      </c>
      <c r="F85" s="152">
        <f t="shared" si="12"/>
        <v>540569.12382488721</v>
      </c>
      <c r="G85" s="172">
        <f t="shared" si="13"/>
        <v>1215085.0924120322</v>
      </c>
      <c r="H85" s="172">
        <f t="shared" si="14"/>
        <v>1755654.2162369194</v>
      </c>
    </row>
    <row r="86" spans="1:8" ht="23.25" x14ac:dyDescent="0.35">
      <c r="A86" s="149">
        <v>74000</v>
      </c>
      <c r="B86" s="150">
        <f t="shared" si="9"/>
        <v>8.108751194972692</v>
      </c>
      <c r="C86" s="151">
        <f t="shared" si="10"/>
        <v>74</v>
      </c>
      <c r="D86" s="152">
        <f t="shared" si="8"/>
        <v>16751.752952830098</v>
      </c>
      <c r="E86" s="152">
        <f t="shared" si="11"/>
        <v>523492.27977594058</v>
      </c>
      <c r="F86" s="152">
        <f t="shared" si="12"/>
        <v>540244.03272877063</v>
      </c>
      <c r="G86" s="172">
        <f t="shared" si="13"/>
        <v>1231612.1778288013</v>
      </c>
      <c r="H86" s="172">
        <f t="shared" si="14"/>
        <v>1771856.2105575721</v>
      </c>
    </row>
    <row r="87" spans="1:8" ht="23.25" x14ac:dyDescent="0.35">
      <c r="A87" s="149">
        <v>75000</v>
      </c>
      <c r="B87" s="150">
        <f t="shared" si="9"/>
        <v>8.0006345123730558</v>
      </c>
      <c r="C87" s="151">
        <f t="shared" si="10"/>
        <v>75</v>
      </c>
      <c r="D87" s="152">
        <f t="shared" si="8"/>
        <v>16528.396246792367</v>
      </c>
      <c r="E87" s="152">
        <f t="shared" si="11"/>
        <v>523399.21448175819</v>
      </c>
      <c r="F87" s="152">
        <f t="shared" si="12"/>
        <v>539927.61072855059</v>
      </c>
      <c r="G87" s="172">
        <f t="shared" si="13"/>
        <v>1248139.2632455702</v>
      </c>
      <c r="H87" s="172">
        <f t="shared" si="14"/>
        <v>1788066.8739741207</v>
      </c>
    </row>
    <row r="88" spans="1:8" ht="23.25" x14ac:dyDescent="0.35">
      <c r="A88" s="149">
        <v>76000</v>
      </c>
      <c r="B88" s="150">
        <f t="shared" si="9"/>
        <v>7.8953630056313049</v>
      </c>
      <c r="C88" s="151">
        <f t="shared" si="10"/>
        <v>76</v>
      </c>
      <c r="D88" s="152">
        <f t="shared" si="8"/>
        <v>16310.917348808254</v>
      </c>
      <c r="E88" s="152">
        <f t="shared" si="11"/>
        <v>523308.59827426472</v>
      </c>
      <c r="F88" s="152">
        <f t="shared" si="12"/>
        <v>539619.51562307298</v>
      </c>
      <c r="G88" s="172">
        <f t="shared" si="13"/>
        <v>1264666.3486623389</v>
      </c>
      <c r="H88" s="172">
        <f t="shared" si="14"/>
        <v>1804285.8642854118</v>
      </c>
    </row>
    <row r="89" spans="1:8" ht="23.25" x14ac:dyDescent="0.35">
      <c r="A89" s="149">
        <v>77000</v>
      </c>
      <c r="B89" s="150">
        <f t="shared" si="9"/>
        <v>7.7928258237399888</v>
      </c>
      <c r="C89" s="151">
        <f t="shared" si="10"/>
        <v>77</v>
      </c>
      <c r="D89" s="152">
        <f t="shared" si="8"/>
        <v>16099.087253369185</v>
      </c>
      <c r="E89" s="152">
        <f t="shared" si="11"/>
        <v>523220.33573449851</v>
      </c>
      <c r="F89" s="152">
        <f t="shared" si="12"/>
        <v>539319.42298786773</v>
      </c>
      <c r="G89" s="172">
        <f t="shared" si="13"/>
        <v>1281193.4340791081</v>
      </c>
      <c r="H89" s="172">
        <f t="shared" si="14"/>
        <v>1820512.8570669759</v>
      </c>
    </row>
    <row r="90" spans="1:8" ht="23.25" x14ac:dyDescent="0.35">
      <c r="A90" s="149">
        <v>78000</v>
      </c>
      <c r="B90" s="150">
        <f t="shared" si="9"/>
        <v>7.6929178003587069</v>
      </c>
      <c r="C90" s="151">
        <f t="shared" si="10"/>
        <v>78</v>
      </c>
      <c r="D90" s="152">
        <f t="shared" si="8"/>
        <v>15892.688698838811</v>
      </c>
      <c r="E90" s="152">
        <f t="shared" si="11"/>
        <v>523134.33633677749</v>
      </c>
      <c r="F90" s="152">
        <f t="shared" si="12"/>
        <v>539027.02503561624</v>
      </c>
      <c r="G90" s="172">
        <f t="shared" si="13"/>
        <v>1297720.519495877</v>
      </c>
      <c r="H90" s="172">
        <f t="shared" si="14"/>
        <v>1836747.5445314932</v>
      </c>
    </row>
    <row r="91" spans="1:8" ht="23.25" x14ac:dyDescent="0.35">
      <c r="A91" s="149">
        <v>79000</v>
      </c>
      <c r="B91" s="150">
        <f t="shared" si="9"/>
        <v>7.5955390940250522</v>
      </c>
      <c r="C91" s="151">
        <f t="shared" si="10"/>
        <v>79</v>
      </c>
      <c r="D91" s="152">
        <f t="shared" si="8"/>
        <v>15691.515424169966</v>
      </c>
      <c r="E91" s="152">
        <f t="shared" si="11"/>
        <v>523050.51413899875</v>
      </c>
      <c r="F91" s="152">
        <f t="shared" si="12"/>
        <v>538742.02956316876</v>
      </c>
      <c r="G91" s="172">
        <f t="shared" si="13"/>
        <v>1314247.6049126459</v>
      </c>
      <c r="H91" s="172">
        <f t="shared" si="14"/>
        <v>1852989.6344758146</v>
      </c>
    </row>
    <row r="92" spans="1:8" ht="23.25" x14ac:dyDescent="0.35">
      <c r="A92" s="149">
        <v>80000</v>
      </c>
      <c r="B92" s="150">
        <f t="shared" si="9"/>
        <v>7.500594855349739</v>
      </c>
      <c r="C92" s="151">
        <f t="shared" si="10"/>
        <v>80</v>
      </c>
      <c r="D92" s="152">
        <f t="shared" si="8"/>
        <v>15495.37148136784</v>
      </c>
      <c r="E92" s="152">
        <f t="shared" si="11"/>
        <v>522968.7874961645</v>
      </c>
      <c r="F92" s="152">
        <f t="shared" si="12"/>
        <v>538464.15897753229</v>
      </c>
      <c r="G92" s="172">
        <f t="shared" si="13"/>
        <v>1330774.6903294148</v>
      </c>
      <c r="H92" s="172">
        <f t="shared" si="14"/>
        <v>1869238.8493069471</v>
      </c>
    </row>
    <row r="93" spans="1:8" ht="23.25" x14ac:dyDescent="0.35">
      <c r="A93" s="149">
        <v>100000</v>
      </c>
      <c r="B93" s="150">
        <f t="shared" si="9"/>
        <v>6.0004758842797914</v>
      </c>
      <c r="C93" s="151">
        <f t="shared" si="10"/>
        <v>100</v>
      </c>
      <c r="D93" s="152">
        <f t="shared" si="8"/>
        <v>12396.297185094272</v>
      </c>
      <c r="E93" s="152">
        <f t="shared" si="11"/>
        <v>521677.50653938396</v>
      </c>
      <c r="F93" s="152">
        <f t="shared" si="12"/>
        <v>534073.80372447823</v>
      </c>
      <c r="G93" s="172">
        <f t="shared" si="13"/>
        <v>1661316.3986647935</v>
      </c>
      <c r="H93" s="172">
        <f t="shared" si="14"/>
        <v>2195390.2023892719</v>
      </c>
    </row>
    <row r="94" spans="1:8" ht="23.25" x14ac:dyDescent="0.35">
      <c r="A94" s="149">
        <v>200000</v>
      </c>
      <c r="B94" s="150">
        <f t="shared" si="9"/>
        <v>3.0002379421398957</v>
      </c>
      <c r="C94" s="151">
        <f t="shared" si="10"/>
        <v>200</v>
      </c>
      <c r="D94" s="152">
        <f t="shared" si="8"/>
        <v>6198.1485925471361</v>
      </c>
      <c r="E94" s="152">
        <f t="shared" si="11"/>
        <v>519094.94462582265</v>
      </c>
      <c r="F94" s="152">
        <f t="shared" si="12"/>
        <v>525293.09321836976</v>
      </c>
      <c r="G94" s="172">
        <f t="shared" si="13"/>
        <v>3314024.9403416864</v>
      </c>
      <c r="H94" s="172">
        <f t="shared" si="14"/>
        <v>3839318.0335600562</v>
      </c>
    </row>
    <row r="95" spans="1:8" ht="23.25" x14ac:dyDescent="0.35">
      <c r="A95" s="149">
        <v>300000</v>
      </c>
      <c r="B95" s="150">
        <f t="shared" si="9"/>
        <v>2.0001586280932639</v>
      </c>
      <c r="C95" s="151">
        <f t="shared" si="10"/>
        <v>300</v>
      </c>
      <c r="D95" s="152">
        <f t="shared" si="8"/>
        <v>4132.0990616980916</v>
      </c>
      <c r="E95" s="152">
        <f t="shared" si="11"/>
        <v>518234.09065463557</v>
      </c>
      <c r="F95" s="152">
        <f t="shared" si="12"/>
        <v>522366.18971633364</v>
      </c>
      <c r="G95" s="172">
        <f t="shared" si="13"/>
        <v>4966733.4820185788</v>
      </c>
      <c r="H95" s="172">
        <f t="shared" si="14"/>
        <v>5489099.6717349123</v>
      </c>
    </row>
    <row r="96" spans="1:8" ht="23.25" x14ac:dyDescent="0.35">
      <c r="A96" s="149">
        <v>400000</v>
      </c>
      <c r="B96" s="150">
        <f t="shared" si="9"/>
        <v>1.5001189710699478</v>
      </c>
      <c r="C96" s="151">
        <f t="shared" si="10"/>
        <v>400</v>
      </c>
      <c r="D96" s="152">
        <f t="shared" si="8"/>
        <v>3099.0742962735681</v>
      </c>
      <c r="E96" s="152">
        <f t="shared" si="11"/>
        <v>517803.66366904188</v>
      </c>
      <c r="F96" s="152">
        <f t="shared" si="12"/>
        <v>520902.73796531546</v>
      </c>
      <c r="G96" s="172">
        <f t="shared" si="13"/>
        <v>6619442.0236954717</v>
      </c>
      <c r="H96" s="172">
        <f t="shared" si="14"/>
        <v>7140344.7616607873</v>
      </c>
    </row>
    <row r="97" spans="1:8" ht="23.25" x14ac:dyDescent="0.35">
      <c r="A97" s="149">
        <v>500000</v>
      </c>
      <c r="B97" s="150">
        <f t="shared" si="9"/>
        <v>1.2000951768559582</v>
      </c>
      <c r="C97" s="151">
        <f t="shared" si="10"/>
        <v>500</v>
      </c>
      <c r="D97" s="152">
        <f t="shared" si="8"/>
        <v>2479.2594370188544</v>
      </c>
      <c r="E97" s="152">
        <f t="shared" si="11"/>
        <v>517545.40747768577</v>
      </c>
      <c r="F97" s="152">
        <f t="shared" si="12"/>
        <v>520024.66691470461</v>
      </c>
      <c r="G97" s="172">
        <f t="shared" si="13"/>
        <v>8272150.5653723637</v>
      </c>
      <c r="H97" s="172">
        <f t="shared" si="14"/>
        <v>8792175.2322870679</v>
      </c>
    </row>
    <row r="98" spans="1:8" ht="23.25" x14ac:dyDescent="0.35">
      <c r="A98" s="149">
        <v>600000</v>
      </c>
      <c r="B98" s="150">
        <f t="shared" si="9"/>
        <v>1.000079314046632</v>
      </c>
      <c r="C98" s="151">
        <f t="shared" si="10"/>
        <v>600</v>
      </c>
      <c r="D98" s="152">
        <f t="shared" si="8"/>
        <v>2066.0495308490458</v>
      </c>
      <c r="E98" s="152">
        <f t="shared" si="11"/>
        <v>517373.23668344843</v>
      </c>
      <c r="F98" s="152">
        <f t="shared" si="12"/>
        <v>519439.28621429746</v>
      </c>
      <c r="G98" s="172">
        <f t="shared" si="13"/>
        <v>9924859.1070492584</v>
      </c>
      <c r="H98" s="172">
        <f t="shared" si="14"/>
        <v>10444298.393263556</v>
      </c>
    </row>
    <row r="99" spans="1:8" ht="23.25" x14ac:dyDescent="0.35">
      <c r="A99" s="149">
        <v>700000</v>
      </c>
      <c r="B99" s="150">
        <f t="shared" si="9"/>
        <v>0.85721084061139874</v>
      </c>
      <c r="C99" s="151">
        <f t="shared" si="10"/>
        <v>700</v>
      </c>
      <c r="D99" s="152">
        <f t="shared" si="8"/>
        <v>1770.8995978706103</v>
      </c>
      <c r="E99" s="152">
        <f t="shared" si="11"/>
        <v>517250.25754470733</v>
      </c>
      <c r="F99" s="152">
        <f t="shared" si="12"/>
        <v>519021.15714257793</v>
      </c>
      <c r="G99" s="172">
        <f t="shared" si="13"/>
        <v>11577567.64872615</v>
      </c>
      <c r="H99" s="172">
        <f t="shared" si="14"/>
        <v>12096588.805868728</v>
      </c>
    </row>
    <row r="100" spans="1:8" ht="23.25" x14ac:dyDescent="0.35">
      <c r="A100" s="149">
        <v>800000</v>
      </c>
      <c r="B100" s="150">
        <f t="shared" si="9"/>
        <v>0.75005948553497392</v>
      </c>
      <c r="C100" s="151">
        <f t="shared" si="10"/>
        <v>800</v>
      </c>
      <c r="D100" s="152">
        <f t="shared" si="8"/>
        <v>1549.537148136784</v>
      </c>
      <c r="E100" s="152">
        <f t="shared" si="11"/>
        <v>517158.02319065161</v>
      </c>
      <c r="F100" s="152">
        <f t="shared" si="12"/>
        <v>518707.56033878837</v>
      </c>
      <c r="G100" s="172">
        <f t="shared" si="13"/>
        <v>13230276.190403044</v>
      </c>
      <c r="H100" s="172">
        <f t="shared" si="14"/>
        <v>13748983.750741832</v>
      </c>
    </row>
  </sheetData>
  <mergeCells count="10">
    <mergeCell ref="K18:L18"/>
    <mergeCell ref="K12:L12"/>
    <mergeCell ref="K15:L15"/>
    <mergeCell ref="K14:L14"/>
    <mergeCell ref="K16:L16"/>
    <mergeCell ref="D2:G2"/>
    <mergeCell ref="I13:J13"/>
    <mergeCell ref="I12:J12"/>
    <mergeCell ref="K13:L13"/>
    <mergeCell ref="K17:L17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807E-8F29-4BD9-82C6-5F29F21C1A6C}">
  <dimension ref="D1:P9"/>
  <sheetViews>
    <sheetView showGridLines="0" workbookViewId="0">
      <selection activeCell="K21" sqref="K21"/>
    </sheetView>
  </sheetViews>
  <sheetFormatPr defaultRowHeight="15" x14ac:dyDescent="0.25"/>
  <sheetData>
    <row r="1" spans="4:16" ht="21" x14ac:dyDescent="0.35">
      <c r="H1" s="498" t="s">
        <v>163</v>
      </c>
      <c r="I1" s="499"/>
      <c r="J1" s="499"/>
      <c r="K1" s="499"/>
      <c r="L1" s="499"/>
      <c r="M1" s="499"/>
      <c r="N1" s="499"/>
      <c r="O1" s="500"/>
      <c r="P1" s="89"/>
    </row>
    <row r="2" spans="4:16" ht="21.75" thickBot="1" x14ac:dyDescent="0.4">
      <c r="H2" s="501"/>
      <c r="I2" s="502"/>
      <c r="J2" s="502"/>
      <c r="K2" s="502"/>
      <c r="L2" s="502"/>
      <c r="M2" s="502"/>
      <c r="N2" s="502"/>
      <c r="O2" s="503"/>
      <c r="P2" s="89"/>
    </row>
    <row r="5" spans="4:16" ht="15.75" thickBot="1" x14ac:dyDescent="0.3"/>
    <row r="6" spans="4:16" ht="15.75" thickBot="1" x14ac:dyDescent="0.3">
      <c r="D6" s="365" t="s">
        <v>164</v>
      </c>
      <c r="E6" s="366"/>
      <c r="F6" s="366"/>
      <c r="G6" s="366"/>
      <c r="H6" s="366"/>
      <c r="I6" s="366"/>
      <c r="J6" s="367"/>
    </row>
    <row r="7" spans="4:16" ht="15.75" thickBot="1" x14ac:dyDescent="0.3"/>
    <row r="8" spans="4:16" ht="15.75" thickBot="1" x14ac:dyDescent="0.3">
      <c r="D8" s="504" t="s">
        <v>165</v>
      </c>
      <c r="E8" s="505"/>
      <c r="F8" s="505"/>
      <c r="G8" s="506"/>
      <c r="H8" s="507">
        <f>'Double exp.smoothening'!L5</f>
        <v>600047.58842797915</v>
      </c>
      <c r="I8" s="367"/>
      <c r="J8" s="14" t="s">
        <v>166</v>
      </c>
    </row>
    <row r="9" spans="4:16" ht="23.25" customHeight="1" thickBot="1" x14ac:dyDescent="0.35">
      <c r="D9" s="508" t="s">
        <v>2</v>
      </c>
      <c r="E9" s="509"/>
      <c r="F9" s="509"/>
      <c r="G9" s="510"/>
      <c r="H9" s="511">
        <f>'Double exp.smoothening'!L3</f>
        <v>0.75</v>
      </c>
      <c r="I9" s="512"/>
      <c r="J9" s="513"/>
    </row>
  </sheetData>
  <mergeCells count="6">
    <mergeCell ref="H1:O2"/>
    <mergeCell ref="D6:J6"/>
    <mergeCell ref="D8:G8"/>
    <mergeCell ref="H8:I8"/>
    <mergeCell ref="D9:G9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Index</vt:lpstr>
      <vt:lpstr>Master sheet - Forecasting</vt:lpstr>
      <vt:lpstr>Double exp.smoothening</vt:lpstr>
      <vt:lpstr>Project managemet-Master</vt:lpstr>
      <vt:lpstr>Project management</vt:lpstr>
      <vt:lpstr>Project managemet-Node model</vt:lpstr>
      <vt:lpstr>Project managemet-project crash</vt:lpstr>
      <vt:lpstr>Project managemet-project c (2)</vt:lpstr>
      <vt:lpstr>Construction cost</vt:lpstr>
      <vt:lpstr>Logistic Optimization - Master</vt:lpstr>
      <vt:lpstr>Logistic Optimization-2023</vt:lpstr>
      <vt:lpstr>Logistic Optimization-2040</vt:lpstr>
      <vt:lpstr>Summary sheet</vt:lpstr>
      <vt:lpstr>Alpha</vt:lpstr>
      <vt:lpstr>Buffer_percent</vt:lpstr>
      <vt:lpstr>'Project managemet-project c (2)'!D</vt:lpstr>
      <vt:lpstr>'Project managemet-project crash'!D</vt:lpstr>
      <vt:lpstr>D</vt:lpstr>
      <vt:lpstr>'Logistic Optimization-2040'!fixed_order_cost_23</vt:lpstr>
      <vt:lpstr>fixed_order_cost_23</vt:lpstr>
      <vt:lpstr>MMR_data</vt:lpstr>
      <vt:lpstr>Monthly_dist_rate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 Baskaran</dc:creator>
  <cp:lastModifiedBy>Aravind kumar Baskaran</cp:lastModifiedBy>
  <dcterms:created xsi:type="dcterms:W3CDTF">2009-11-12T09:58:34Z</dcterms:created>
  <dcterms:modified xsi:type="dcterms:W3CDTF">2021-11-17T10:35:17Z</dcterms:modified>
</cp:coreProperties>
</file>