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esa613260\Downloads\"/>
    </mc:Choice>
  </mc:AlternateContent>
  <xr:revisionPtr revIDLastSave="0" documentId="8_{1FE2F0D5-DE35-442C-B450-8E12178E6103}" xr6:coauthVersionLast="45" xr6:coauthVersionMax="45" xr10:uidLastSave="{00000000-0000-0000-0000-000000000000}"/>
  <bookViews>
    <workbookView xWindow="0" yWindow="0" windowWidth="19200" windowHeight="10200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_xlnm.Print_Titles" localSheetId="1">Funções!$1:$7</definedName>
    <definedName name="TiposDeFuncao" localSheetId="1">Deflatores!$L$37:$L$64</definedName>
    <definedName name="TiposDeManutencao" localSheetId="1">Deflatores!$G$4:$G$38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3" i="2"/>
  <c r="L14" i="2"/>
  <c r="L15" i="2"/>
  <c r="L16" i="2"/>
  <c r="L17" i="2"/>
  <c r="L18" i="2"/>
  <c r="L19" i="2"/>
  <c r="L20" i="2"/>
  <c r="L21" i="2"/>
  <c r="L27" i="2"/>
  <c r="L28" i="2"/>
  <c r="L29" i="2"/>
  <c r="L34" i="2"/>
  <c r="L35" i="2"/>
  <c r="L36" i="2"/>
  <c r="L38" i="2"/>
  <c r="L39" i="2"/>
  <c r="L42" i="2"/>
  <c r="L46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I9" i="2"/>
  <c r="H9" i="2"/>
  <c r="I10" i="2"/>
  <c r="H10" i="2"/>
  <c r="I11" i="2"/>
  <c r="H11" i="2"/>
  <c r="I12" i="2"/>
  <c r="H12" i="2"/>
  <c r="I13" i="2"/>
  <c r="H13" i="2"/>
  <c r="I14" i="2"/>
  <c r="H14" i="2"/>
  <c r="I15" i="2"/>
  <c r="H15" i="2"/>
  <c r="I16" i="2"/>
  <c r="H16" i="2"/>
  <c r="I17" i="2"/>
  <c r="H17" i="2"/>
  <c r="I18" i="2"/>
  <c r="H18" i="2"/>
  <c r="I19" i="2"/>
  <c r="H19" i="2"/>
  <c r="I20" i="2"/>
  <c r="H20" i="2"/>
  <c r="I21" i="2"/>
  <c r="H21" i="2"/>
  <c r="I22" i="2"/>
  <c r="H22" i="2"/>
  <c r="I23" i="2"/>
  <c r="H23" i="2"/>
  <c r="I24" i="2"/>
  <c r="H24" i="2"/>
  <c r="I25" i="2"/>
  <c r="H25" i="2"/>
  <c r="I26" i="2"/>
  <c r="H26" i="2"/>
  <c r="I27" i="2"/>
  <c r="H27" i="2"/>
  <c r="I28" i="2"/>
  <c r="H28" i="2"/>
  <c r="I29" i="2"/>
  <c r="H29" i="2"/>
  <c r="I30" i="2"/>
  <c r="H30" i="2"/>
  <c r="I31" i="2"/>
  <c r="H31" i="2"/>
  <c r="I32" i="2"/>
  <c r="H32" i="2"/>
  <c r="I33" i="2"/>
  <c r="H33" i="2"/>
  <c r="I34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F9" i="2"/>
  <c r="K9" i="2"/>
  <c r="G9" i="2"/>
  <c r="J9" i="2"/>
  <c r="L10" i="2"/>
  <c r="G10" i="2"/>
  <c r="J10" i="2"/>
  <c r="F11" i="2"/>
  <c r="G11" i="2"/>
  <c r="J11" i="2"/>
  <c r="F12" i="2"/>
  <c r="L12" i="2"/>
  <c r="G12" i="2"/>
  <c r="J12" i="2"/>
  <c r="F13" i="2"/>
  <c r="K13" i="2"/>
  <c r="G13" i="2"/>
  <c r="J13" i="2"/>
  <c r="F14" i="2"/>
  <c r="K14" i="2"/>
  <c r="G14" i="2"/>
  <c r="J14" i="2"/>
  <c r="K15" i="2"/>
  <c r="G15" i="2"/>
  <c r="J15" i="2"/>
  <c r="K16" i="2"/>
  <c r="G16" i="2"/>
  <c r="J16" i="2"/>
  <c r="F17" i="2"/>
  <c r="J17" i="2"/>
  <c r="K18" i="2"/>
  <c r="F18" i="2"/>
  <c r="J18" i="2"/>
  <c r="F19" i="2"/>
  <c r="K19" i="2"/>
  <c r="G19" i="2"/>
  <c r="J19" i="2"/>
  <c r="F20" i="2"/>
  <c r="K20" i="2"/>
  <c r="G20" i="2"/>
  <c r="J20" i="2"/>
  <c r="F21" i="2"/>
  <c r="J21" i="2"/>
  <c r="G22" i="2"/>
  <c r="J22" i="2"/>
  <c r="G23" i="2"/>
  <c r="J23" i="2"/>
  <c r="G24" i="2"/>
  <c r="F24" i="2"/>
  <c r="J24" i="2"/>
  <c r="F25" i="2"/>
  <c r="J25" i="2"/>
  <c r="F26" i="2"/>
  <c r="G26" i="2"/>
  <c r="J26" i="2"/>
  <c r="F27" i="2"/>
  <c r="K27" i="2"/>
  <c r="G27" i="2"/>
  <c r="J27" i="2"/>
  <c r="F28" i="2"/>
  <c r="K28" i="2"/>
  <c r="G28" i="2"/>
  <c r="J28" i="2"/>
  <c r="G29" i="2"/>
  <c r="J29" i="2"/>
  <c r="G30" i="2"/>
  <c r="F30" i="2"/>
  <c r="J30" i="2"/>
  <c r="L31" i="2"/>
  <c r="F31" i="2"/>
  <c r="J31" i="2"/>
  <c r="F32" i="2"/>
  <c r="L32" i="2"/>
  <c r="G32" i="2"/>
  <c r="J32" i="2"/>
  <c r="F33" i="2"/>
  <c r="G33" i="2"/>
  <c r="J33" i="2"/>
  <c r="F34" i="2"/>
  <c r="G34" i="2"/>
  <c r="J34" i="2"/>
  <c r="F35" i="2"/>
  <c r="K35" i="2"/>
  <c r="I35" i="2"/>
  <c r="G35" i="2"/>
  <c r="J35" i="2"/>
  <c r="F36" i="2"/>
  <c r="K36" i="2"/>
  <c r="I36" i="2"/>
  <c r="G36" i="2"/>
  <c r="J36" i="2"/>
  <c r="I37" i="2"/>
  <c r="G37" i="2"/>
  <c r="J37" i="2"/>
  <c r="F38" i="2"/>
  <c r="I38" i="2"/>
  <c r="G38" i="2"/>
  <c r="J38" i="2"/>
  <c r="F39" i="2"/>
  <c r="I39" i="2"/>
  <c r="G39" i="2"/>
  <c r="J39" i="2"/>
  <c r="I40" i="2"/>
  <c r="G40" i="2"/>
  <c r="J40" i="2"/>
  <c r="I41" i="2"/>
  <c r="G41" i="2"/>
  <c r="F41" i="2"/>
  <c r="J41" i="2"/>
  <c r="F42" i="2"/>
  <c r="K42" i="2"/>
  <c r="I42" i="2"/>
  <c r="G42" i="2"/>
  <c r="J42" i="2"/>
  <c r="I43" i="2"/>
  <c r="F43" i="2"/>
  <c r="J43" i="2"/>
  <c r="I44" i="2"/>
  <c r="G44" i="2"/>
  <c r="J44" i="2"/>
  <c r="I45" i="2"/>
  <c r="G45" i="2"/>
  <c r="J45" i="2"/>
  <c r="F46" i="2"/>
  <c r="K46" i="2"/>
  <c r="I46" i="2"/>
  <c r="G46" i="2"/>
  <c r="J46" i="2"/>
  <c r="F47" i="2"/>
  <c r="I47" i="2"/>
  <c r="G47" i="2"/>
  <c r="J47" i="2"/>
  <c r="I48" i="2"/>
  <c r="G48" i="2"/>
  <c r="J48" i="2"/>
  <c r="I49" i="2"/>
  <c r="G49" i="2"/>
  <c r="J49" i="2"/>
  <c r="I50" i="2"/>
  <c r="G50" i="2"/>
  <c r="F50" i="2"/>
  <c r="J50" i="2"/>
  <c r="I51" i="2"/>
  <c r="G51" i="2"/>
  <c r="J51" i="2"/>
  <c r="F52" i="2"/>
  <c r="K52" i="2"/>
  <c r="I52" i="2"/>
  <c r="G52" i="2"/>
  <c r="J52" i="2"/>
  <c r="F53" i="2"/>
  <c r="K53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I64" i="2"/>
  <c r="G64" i="2"/>
  <c r="J64" i="2"/>
  <c r="F65" i="2"/>
  <c r="K65" i="2"/>
  <c r="I65" i="2"/>
  <c r="G65" i="2"/>
  <c r="J65" i="2"/>
  <c r="F66" i="2"/>
  <c r="K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I73" i="2"/>
  <c r="G73" i="2"/>
  <c r="J73" i="2"/>
  <c r="F74" i="2"/>
  <c r="K74" i="2"/>
  <c r="I74" i="2"/>
  <c r="G74" i="2"/>
  <c r="J74" i="2"/>
  <c r="F75" i="2"/>
  <c r="K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I79" i="2"/>
  <c r="G79" i="2"/>
  <c r="J79" i="2"/>
  <c r="F80" i="2"/>
  <c r="K80" i="2"/>
  <c r="I80" i="2"/>
  <c r="G80" i="2"/>
  <c r="J80" i="2"/>
  <c r="F81" i="2"/>
  <c r="K81" i="2"/>
  <c r="I81" i="2"/>
  <c r="G81" i="2"/>
  <c r="J81" i="2"/>
  <c r="F82" i="2"/>
  <c r="K82" i="2"/>
  <c r="I82" i="2"/>
  <c r="G82" i="2"/>
  <c r="J82" i="2"/>
  <c r="F83" i="2"/>
  <c r="I83" i="2"/>
  <c r="G83" i="2"/>
  <c r="J83" i="2"/>
  <c r="F84" i="2"/>
  <c r="K84" i="2"/>
  <c r="I84" i="2"/>
  <c r="G84" i="2"/>
  <c r="J84" i="2"/>
  <c r="F85" i="2"/>
  <c r="K85" i="2"/>
  <c r="I85" i="2"/>
  <c r="G85" i="2"/>
  <c r="J85" i="2"/>
  <c r="F86" i="2"/>
  <c r="I86" i="2"/>
  <c r="G86" i="2"/>
  <c r="J86" i="2"/>
  <c r="F87" i="2"/>
  <c r="K87" i="2"/>
  <c r="I87" i="2"/>
  <c r="G87" i="2"/>
  <c r="J87" i="2"/>
  <c r="F88" i="2"/>
  <c r="K88" i="2"/>
  <c r="I88" i="2"/>
  <c r="G88" i="2"/>
  <c r="J88" i="2"/>
  <c r="F89" i="2"/>
  <c r="K89" i="2"/>
  <c r="I89" i="2"/>
  <c r="G89" i="2"/>
  <c r="J89" i="2"/>
  <c r="F90" i="2"/>
  <c r="I90" i="2"/>
  <c r="G90" i="2"/>
  <c r="J90" i="2"/>
  <c r="F91" i="2"/>
  <c r="I91" i="2"/>
  <c r="G91" i="2"/>
  <c r="J91" i="2"/>
  <c r="F92" i="2"/>
  <c r="K92" i="2"/>
  <c r="I92" i="2"/>
  <c r="G92" i="2"/>
  <c r="J92" i="2"/>
  <c r="F93" i="2"/>
  <c r="K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I97" i="2"/>
  <c r="G97" i="2"/>
  <c r="J97" i="2"/>
  <c r="F98" i="2"/>
  <c r="K98" i="2"/>
  <c r="I98" i="2"/>
  <c r="G98" i="2"/>
  <c r="J98" i="2"/>
  <c r="F99" i="2"/>
  <c r="K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I117" i="2"/>
  <c r="G117" i="2"/>
  <c r="J117" i="2"/>
  <c r="F118" i="2"/>
  <c r="K118" i="2"/>
  <c r="I118" i="2"/>
  <c r="G118" i="2"/>
  <c r="J118" i="2"/>
  <c r="F119" i="2"/>
  <c r="K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I137" i="2"/>
  <c r="G137" i="2"/>
  <c r="J137" i="2"/>
  <c r="F138" i="2"/>
  <c r="K138" i="2"/>
  <c r="I138" i="2"/>
  <c r="G138" i="2"/>
  <c r="J138" i="2"/>
  <c r="F139" i="2"/>
  <c r="K139" i="2"/>
  <c r="I139" i="2"/>
  <c r="G139" i="2"/>
  <c r="J139" i="2"/>
  <c r="F140" i="2"/>
  <c r="I140" i="2"/>
  <c r="G140" i="2"/>
  <c r="J140" i="2"/>
  <c r="F141" i="2"/>
  <c r="K141" i="2"/>
  <c r="I141" i="2"/>
  <c r="G141" i="2"/>
  <c r="J141" i="2"/>
  <c r="F142" i="2"/>
  <c r="K142" i="2"/>
  <c r="I142" i="2"/>
  <c r="G142" i="2"/>
  <c r="J142" i="2"/>
  <c r="F143" i="2"/>
  <c r="K143" i="2"/>
  <c r="I143" i="2"/>
  <c r="G143" i="2"/>
  <c r="J143" i="2"/>
  <c r="F144" i="2"/>
  <c r="I144" i="2"/>
  <c r="G144" i="2"/>
  <c r="J144" i="2"/>
  <c r="F145" i="2"/>
  <c r="K145" i="2"/>
  <c r="I145" i="2"/>
  <c r="G145" i="2"/>
  <c r="J145" i="2"/>
  <c r="F146" i="2"/>
  <c r="K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I154" i="2"/>
  <c r="G154" i="2"/>
  <c r="J154" i="2"/>
  <c r="F155" i="2"/>
  <c r="K155" i="2"/>
  <c r="I155" i="2"/>
  <c r="G155" i="2"/>
  <c r="J155" i="2"/>
  <c r="F156" i="2"/>
  <c r="K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I162" i="2"/>
  <c r="G162" i="2"/>
  <c r="J162" i="2"/>
  <c r="F163" i="2"/>
  <c r="K163" i="2"/>
  <c r="I163" i="2"/>
  <c r="G163" i="2"/>
  <c r="J163" i="2"/>
  <c r="F164" i="2"/>
  <c r="K164" i="2"/>
  <c r="I164" i="2"/>
  <c r="G164" i="2"/>
  <c r="J164" i="2"/>
  <c r="F165" i="2"/>
  <c r="I165" i="2"/>
  <c r="G165" i="2"/>
  <c r="J165" i="2"/>
  <c r="F166" i="2"/>
  <c r="K166" i="2"/>
  <c r="I166" i="2"/>
  <c r="G166" i="2"/>
  <c r="J166" i="2"/>
  <c r="F167" i="2"/>
  <c r="K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I186" i="2"/>
  <c r="G186" i="2"/>
  <c r="J186" i="2"/>
  <c r="F187" i="2"/>
  <c r="K187" i="2"/>
  <c r="I187" i="2"/>
  <c r="G187" i="2"/>
  <c r="J187" i="2"/>
  <c r="F188" i="2"/>
  <c r="K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I193" i="2"/>
  <c r="G193" i="2"/>
  <c r="J193" i="2"/>
  <c r="F194" i="2"/>
  <c r="K194" i="2"/>
  <c r="I194" i="2"/>
  <c r="G194" i="2"/>
  <c r="J194" i="2"/>
  <c r="F195" i="2"/>
  <c r="K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I215" i="2"/>
  <c r="G215" i="2"/>
  <c r="J215" i="2"/>
  <c r="F216" i="2"/>
  <c r="K216" i="2"/>
  <c r="I216" i="2"/>
  <c r="G216" i="2"/>
  <c r="J216" i="2"/>
  <c r="F217" i="2"/>
  <c r="K217" i="2"/>
  <c r="I217" i="2"/>
  <c r="G217" i="2"/>
  <c r="J217" i="2"/>
  <c r="F218" i="2"/>
  <c r="K218" i="2"/>
  <c r="I218" i="2"/>
  <c r="G218" i="2"/>
  <c r="J218" i="2"/>
  <c r="F219" i="2"/>
  <c r="I219" i="2"/>
  <c r="G219" i="2"/>
  <c r="J219" i="2"/>
  <c r="F220" i="2"/>
  <c r="K220" i="2"/>
  <c r="I220" i="2"/>
  <c r="G220" i="2"/>
  <c r="J220" i="2"/>
  <c r="F221" i="2"/>
  <c r="K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I272" i="2"/>
  <c r="G272" i="2"/>
  <c r="J272" i="2"/>
  <c r="F273" i="2"/>
  <c r="K273" i="2"/>
  <c r="I273" i="2"/>
  <c r="G273" i="2"/>
  <c r="J273" i="2"/>
  <c r="F274" i="2"/>
  <c r="K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I279" i="2"/>
  <c r="G279" i="2"/>
  <c r="J279" i="2"/>
  <c r="F280" i="2"/>
  <c r="K280" i="2"/>
  <c r="I280" i="2"/>
  <c r="G280" i="2"/>
  <c r="J280" i="2"/>
  <c r="F281" i="2"/>
  <c r="K281" i="2"/>
  <c r="I281" i="2"/>
  <c r="G281" i="2"/>
  <c r="J281" i="2"/>
  <c r="F282" i="2"/>
  <c r="K282" i="2"/>
  <c r="I282" i="2"/>
  <c r="G282" i="2"/>
  <c r="J282" i="2"/>
  <c r="F283" i="2"/>
  <c r="I283" i="2"/>
  <c r="G283" i="2"/>
  <c r="J283" i="2"/>
  <c r="F284" i="2"/>
  <c r="K284" i="2"/>
  <c r="I284" i="2"/>
  <c r="G284" i="2"/>
  <c r="J284" i="2"/>
  <c r="F285" i="2"/>
  <c r="K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I393" i="2"/>
  <c r="G393" i="2"/>
  <c r="K393" i="2"/>
  <c r="J393" i="2"/>
  <c r="F394" i="2"/>
  <c r="K394" i="2"/>
  <c r="I394" i="2"/>
  <c r="G394" i="2"/>
  <c r="J394" i="2"/>
  <c r="F395" i="2"/>
  <c r="K395" i="2"/>
  <c r="I395" i="2"/>
  <c r="G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I401" i="2"/>
  <c r="G401" i="2"/>
  <c r="K401" i="2"/>
  <c r="J401" i="2"/>
  <c r="F402" i="2"/>
  <c r="K402" i="2"/>
  <c r="I402" i="2"/>
  <c r="G402" i="2"/>
  <c r="J402" i="2"/>
  <c r="F403" i="2"/>
  <c r="K403" i="2"/>
  <c r="I403" i="2"/>
  <c r="G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I434" i="2"/>
  <c r="K434" i="2"/>
  <c r="J434" i="2"/>
  <c r="K435" i="2"/>
  <c r="I435" i="2"/>
  <c r="F435" i="2"/>
  <c r="J435" i="2"/>
  <c r="F436" i="2"/>
  <c r="I436" i="2"/>
  <c r="G436" i="2"/>
  <c r="J436" i="2"/>
  <c r="F437" i="2"/>
  <c r="K437" i="2"/>
  <c r="I437" i="2"/>
  <c r="G437" i="2"/>
  <c r="J437" i="2"/>
  <c r="F438" i="2"/>
  <c r="K438" i="2"/>
  <c r="I438" i="2"/>
  <c r="G438" i="2"/>
  <c r="J438" i="2"/>
  <c r="F439" i="2"/>
  <c r="K439" i="2"/>
  <c r="I439" i="2"/>
  <c r="G439" i="2"/>
  <c r="J439" i="2"/>
  <c r="K440" i="2"/>
  <c r="I440" i="2"/>
  <c r="G440" i="2"/>
  <c r="F440" i="2"/>
  <c r="J440" i="2"/>
  <c r="F441" i="2"/>
  <c r="K441" i="2"/>
  <c r="I441" i="2"/>
  <c r="G441" i="2"/>
  <c r="J441" i="2"/>
  <c r="F442" i="2"/>
  <c r="K442" i="2"/>
  <c r="I442" i="2"/>
  <c r="G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I460" i="2"/>
  <c r="G460" i="2"/>
  <c r="J460" i="2"/>
  <c r="F461" i="2"/>
  <c r="K461" i="2"/>
  <c r="I461" i="2"/>
  <c r="G461" i="2"/>
  <c r="J461" i="2"/>
  <c r="F462" i="2"/>
  <c r="K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5" i="2"/>
  <c r="K436" i="2"/>
  <c r="G434" i="2"/>
  <c r="F434" i="2"/>
  <c r="K165" i="2"/>
  <c r="K117" i="2"/>
  <c r="K73" i="2"/>
  <c r="L47" i="2"/>
  <c r="K47" i="2"/>
  <c r="L51" i="2"/>
  <c r="F51" i="2"/>
  <c r="F49" i="2"/>
  <c r="F48" i="2"/>
  <c r="K12" i="2"/>
  <c r="L44" i="2"/>
  <c r="L43" i="2"/>
  <c r="K43" i="2"/>
  <c r="F45" i="2"/>
  <c r="F44" i="2"/>
  <c r="G43" i="2"/>
  <c r="K39" i="2"/>
  <c r="K34" i="2"/>
  <c r="F23" i="2"/>
  <c r="F16" i="2"/>
  <c r="F15" i="2"/>
  <c r="G21" i="2"/>
  <c r="G17" i="2"/>
  <c r="K79" i="2"/>
  <c r="K91" i="2"/>
  <c r="K64" i="2"/>
  <c r="K31" i="2"/>
  <c r="K17" i="2"/>
  <c r="K51" i="2"/>
  <c r="K32" i="2"/>
  <c r="L26" i="2"/>
  <c r="K26" i="2"/>
  <c r="L11" i="2"/>
  <c r="K11" i="2"/>
  <c r="K38" i="2"/>
  <c r="L40" i="2"/>
  <c r="K40" i="2"/>
  <c r="G31" i="2"/>
  <c r="K29" i="2"/>
  <c r="F22" i="2"/>
  <c r="K21" i="2"/>
  <c r="G18" i="2"/>
  <c r="F10" i="2"/>
  <c r="L23" i="2"/>
  <c r="K23" i="2"/>
  <c r="F40" i="2"/>
  <c r="F37" i="2"/>
  <c r="L33" i="2"/>
  <c r="K33" i="2"/>
  <c r="F29" i="2"/>
  <c r="G25" i="2"/>
  <c r="L24" i="2"/>
  <c r="K24" i="2"/>
  <c r="K219" i="2"/>
  <c r="K460" i="2"/>
  <c r="K154" i="2"/>
  <c r="K283" i="2"/>
  <c r="K144" i="2"/>
  <c r="K97" i="2"/>
  <c r="K90" i="2"/>
  <c r="K86" i="2"/>
  <c r="L49" i="2"/>
  <c r="L50" i="2"/>
  <c r="K50" i="2"/>
  <c r="L48" i="2"/>
  <c r="K48" i="2"/>
  <c r="K44" i="3"/>
  <c r="L25" i="2"/>
  <c r="K25" i="2"/>
  <c r="L37" i="2"/>
  <c r="K37" i="2"/>
  <c r="L22" i="2"/>
  <c r="K22" i="2"/>
  <c r="L45" i="2"/>
  <c r="L30" i="2"/>
  <c r="L41" i="2"/>
  <c r="K41" i="2"/>
  <c r="K49" i="2"/>
  <c r="K45" i="2"/>
  <c r="K44" i="2"/>
  <c r="K30" i="2"/>
  <c r="K272" i="2"/>
  <c r="K137" i="2"/>
  <c r="K279" i="2"/>
  <c r="K215" i="2"/>
  <c r="K140" i="2"/>
  <c r="K10" i="2"/>
  <c r="K186" i="2"/>
  <c r="K162" i="2"/>
  <c r="K193" i="2"/>
  <c r="K83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L4" i="2"/>
  <c r="Q4" i="1"/>
  <c r="L14" i="5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L5" i="2"/>
  <c r="Q5" i="1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<sst xmlns="http://schemas.openxmlformats.org/spreadsheetml/2006/main" count="317" uniqueCount="200">
  <si>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</si>
  <si>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</si>
  <si>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</si>
  <si>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</si>
  <si>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</si>
  <si>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</si>
  <si>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</si>
  <si>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</si>
  <si>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</si>
  <si>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</si>
  <si>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</si>
  <si>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</si>
  <si>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</si>
  <si>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</si>
  <si>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</si>
  <si>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</si>
  <si>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</si>
  <si>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</si>
  <si>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</si>
  <si>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</si>
  <si>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</si>
  <si>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</si>
  <si>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</si>
  <si>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</si>
  <si>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</si>
  <si>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</si>
  <si>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</si>
  <si>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</si>
  <si>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</si>
  <si>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</si>
  <si>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</si>
  <si>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</si>
  <si>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</si>
  <si>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</si>
  <si>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</si>
  <si>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</si>
  <si>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</si>
  <si>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</si>
  <si>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</si>
  <si>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</si>
  <si>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</si>
  <si>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</si>
  <si>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</si>
  <si>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</si>
  <si>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</si>
  <si>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</si>
  <si>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</si>
  <si>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</si>
  <si>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</si>
  <si>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</si>
  <si>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</si>
  <si>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</si>
  <si>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</si>
  <si>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</si>
  <si>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</si>
  <si>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</si>
  <si>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</si>
  <si>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</si>
  <si>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</si>
  <si>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</si>
  <si>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</si>
  <si>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</si>
  <si>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</si>
  <si>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</si>
  <si>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</si>
  <si>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</si>
  <si>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</si>
  <si>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</si>
  <si>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</si>
  <si>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</si>
  <si>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</si>
  <si>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</si>
  <si>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</si>
  <si>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</si>
  <si>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</si>
  <si>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</si>
  <si>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</si>
  <si>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</si>
  <si>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</si>
  <si>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</si>
  <si>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</si>
  <si>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</si>
  <si>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</si>
  <si>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</si>
  <si>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</si>
  <si>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</si>
  <si>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</si>
  <si>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</si>
  <si>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</si>
  <si>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</si>
  <si>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</si>
  <si>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</si>
  <si>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</si>
  <si>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</si>
  <si>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</si>
  <si>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</si>
  <si>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</si>
  <si>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</si>
  <si>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</si>
  <si>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</si>
  <si>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</si>
  <si>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</si>
  <si>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</si>
  <si>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</si>
  <si>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</si>
  <si>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</si>
  <si>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</si>
  <si>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</si>
  <si>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</si>
  <si>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</si>
  <si>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</si>
  <si>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</si>
  <si>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</si>
  <si>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</si>
  <si>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</si>
  <si>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</si>
  <si>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</si>
  <si>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</si>
  <si>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</si>
  <si>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</si>
  <si>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</si>
  <si>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</si>
  <si>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</si>
  <si>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</si>
  <si>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</si>
  <si>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</si>
  <si>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</si>
  <si>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</si>
  <si>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</si>
  <si>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</si>
  <si>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</si>
  <si>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</si>
  <si>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</si>
  <si>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</si>
  <si>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</si>
  <si>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</si>
  <si>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</si>
  <si>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</si>
  <si>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</si>
  <si>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</si>
  <si>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</si>
  <si>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</si>
  <si>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</si>
  <si>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</si>
  <si>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</si>
  <si>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</si>
  <si>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</si>
  <si>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</si>
  <si>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</si>
  <si>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</si>
  <si>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</si>
  <si>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</si>
  <si>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</si>
  <si>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</si>
  <si>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</si>
  <si>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</si>
  <si>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</si>
  <si>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</si>
  <si>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</si>
  <si>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</si>
  <si>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</si>
  <si>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</si>
  <si>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</si>
  <si>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</si>
  <si>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</si>
  <si>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</si>
  <si>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</si>
  <si>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</si>
  <si>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</si>
  <si>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</si>
  <si>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Adicionar/remover tarefas</t>
  </si>
  <si>
    <t>Project.IO - Sistema de Gerenciamento de Projetos</t>
  </si>
  <si>
    <t>Bárbara Cristina C. B. De Carvalho</t>
  </si>
  <si>
    <t>Sistema de Gerenciamento de Projetos</t>
  </si>
  <si>
    <t>Projeto de Desenvolvimento</t>
  </si>
  <si>
    <t>-</t>
  </si>
  <si>
    <t>Consultar participante</t>
  </si>
  <si>
    <t>Gerar relatório de controle de projetos</t>
  </si>
  <si>
    <t>Consultar/atualizar Status</t>
  </si>
  <si>
    <t>Atribuir fase de tarefas</t>
  </si>
  <si>
    <t>Arquivo de protótipo de interfaces com o usuário.</t>
  </si>
  <si>
    <t>A contagem foi realizada para os casos de uso principais, sendo eles a criação de um projeto e a adição de tarefas a este projeto.</t>
  </si>
  <si>
    <t>A contagem objetiva medir as funcionalidades implementadas no software de acordo com as interações com o usuário, entradas e saídas para identificar oportunidades de melhoria de custo e desenvolvimento.</t>
  </si>
  <si>
    <t>Atribuir status a tarefas</t>
  </si>
  <si>
    <t>Atribuir prioridade a tarefas</t>
  </si>
  <si>
    <t>Atribuir risco a tarefas</t>
  </si>
  <si>
    <t>Consultar projeto individualmente ou globalmente</t>
  </si>
  <si>
    <t>Notificar atividades em atraso aos participantes e gerente de projeto</t>
  </si>
  <si>
    <t>Usuário</t>
  </si>
  <si>
    <t>Atividade</t>
  </si>
  <si>
    <t>Adicionar/remover projeto</t>
  </si>
  <si>
    <t>Modificar projeto</t>
  </si>
  <si>
    <t>Modificar tarefa</t>
  </si>
  <si>
    <t>Adicionar/remover participantes de projeto</t>
  </si>
  <si>
    <t>Atribuir responsável a tarefa</t>
  </si>
  <si>
    <t>Atualizar prioridade de uma tarefa</t>
  </si>
  <si>
    <t>Atualizar risco de uma tarefa</t>
  </si>
  <si>
    <t>Atualizar fase de tarefa</t>
  </si>
  <si>
    <t>Atribuir impedimento a uma tarefa</t>
  </si>
  <si>
    <t>Visualização do andamento de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</si>
</sst>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TableStyleLight1" xfId="3" xr:uid="{00000000-0005-0000-0000-000003000000}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7867392746"/>
          <c:y val="0.77343777054046248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C38-4AD9-85EF-1B6188C196F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38-4AD9-85EF-1B6188C196F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38-4AD9-85EF-1B6188C196F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38-4AD9-85EF-1B6188C196F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C38-4AD9-85EF-1B6188C196F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38-4AD9-85EF-1B6188C196F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38-4AD9-85EF-1B6188C196F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38-4AD9-85EF-1B6188C196F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38-4AD9-85EF-1B6188C196F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38-4AD9-85EF-1B6188C196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0.58823529411764708</c:v>
                </c:pt>
                <c:pt idx="1">
                  <c:v>4.9019607843137254E-2</c:v>
                </c:pt>
                <c:pt idx="2">
                  <c:v>0.15686274509803921</c:v>
                </c:pt>
                <c:pt idx="3">
                  <c:v>0.20588235294117646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8-4AD9-85EF-1B6188C1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44219589373758"/>
          <c:y val="0.38743620398235562"/>
          <c:w val="0.13084148943998819"/>
          <c:h val="0.56021189759656997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0</xdr:row>
      <xdr:rowOff>25400</xdr:rowOff>
    </xdr:from>
    <xdr:to>
      <xdr:col>2</xdr:col>
      <xdr:colOff>57150</xdr:colOff>
      <xdr:row>2</xdr:row>
      <xdr:rowOff>152400</xdr:rowOff>
    </xdr:to>
    <xdr:pic>
      <xdr:nvPicPr>
        <xdr:cNvPr id="1607" name="Figura 1">
          <a:extLst>
            <a:ext uri="{FF2B5EF4-FFF2-40B4-BE49-F238E27FC236}">
              <a16:creationId xmlns:a16="http://schemas.microsoft.com/office/drawing/2014/main" id="{C989F7E8-C001-42CD-92AE-76F9BA300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5400"/>
          <a:ext cx="9461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608" name="shapetype_202" hidden="1">
          <a:extLst>
            <a:ext uri="{FF2B5EF4-FFF2-40B4-BE49-F238E27FC236}">
              <a16:creationId xmlns:a16="http://schemas.microsoft.com/office/drawing/2014/main" id="{F4FC0150-026E-41F9-8F6B-9278437ADB0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512300" cy="72453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609" name="shapetype_202" hidden="1">
          <a:extLst>
            <a:ext uri="{FF2B5EF4-FFF2-40B4-BE49-F238E27FC236}">
              <a16:creationId xmlns:a16="http://schemas.microsoft.com/office/drawing/2014/main" id="{AA6FE9D9-23FD-451C-B002-9610283A56A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512300" cy="72453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610" name="shapetype_202" hidden="1">
          <a:extLst>
            <a:ext uri="{FF2B5EF4-FFF2-40B4-BE49-F238E27FC236}">
              <a16:creationId xmlns:a16="http://schemas.microsoft.com/office/drawing/2014/main" id="{7B80A361-0249-425F-8EC8-74FD5A9353D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512300" cy="72453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0</xdr:row>
      <xdr:rowOff>25400</xdr:rowOff>
    </xdr:from>
    <xdr:to>
      <xdr:col>0</xdr:col>
      <xdr:colOff>977900</xdr:colOff>
      <xdr:row>2</xdr:row>
      <xdr:rowOff>120650</xdr:rowOff>
    </xdr:to>
    <xdr:pic>
      <xdr:nvPicPr>
        <xdr:cNvPr id="85096" name="Figura 1">
          <a:extLst>
            <a:ext uri="{FF2B5EF4-FFF2-40B4-BE49-F238E27FC236}">
              <a16:creationId xmlns:a16="http://schemas.microsoft.com/office/drawing/2014/main" id="{C4782CE6-C555-422A-8A2A-3A49308B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5400"/>
          <a:ext cx="94615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31750</xdr:rowOff>
    </xdr:from>
    <xdr:to>
      <xdr:col>1</xdr:col>
      <xdr:colOff>158750</xdr:colOff>
      <xdr:row>1</xdr:row>
      <xdr:rowOff>12700</xdr:rowOff>
    </xdr:to>
    <xdr:pic>
      <xdr:nvPicPr>
        <xdr:cNvPr id="3217" name="Figura 1">
          <a:extLst>
            <a:ext uri="{FF2B5EF4-FFF2-40B4-BE49-F238E27FC236}">
              <a16:creationId xmlns:a16="http://schemas.microsoft.com/office/drawing/2014/main" id="{4AD603B1-43F7-4150-B834-65783FB41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50"/>
          <a:ext cx="9207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43</xdr:row>
      <xdr:rowOff>31750</xdr:rowOff>
    </xdr:from>
    <xdr:to>
      <xdr:col>11</xdr:col>
      <xdr:colOff>361950</xdr:colOff>
      <xdr:row>50</xdr:row>
      <xdr:rowOff>139700</xdr:rowOff>
    </xdr:to>
    <xdr:graphicFrame macro="">
      <xdr:nvGraphicFramePr>
        <xdr:cNvPr id="4387" name="Gráfico 3">
          <a:extLst>
            <a:ext uri="{FF2B5EF4-FFF2-40B4-BE49-F238E27FC236}">
              <a16:creationId xmlns:a16="http://schemas.microsoft.com/office/drawing/2014/main" id="{F8867178-F888-4D2F-8669-26A690A8A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203200</xdr:colOff>
      <xdr:row>2</xdr:row>
      <xdr:rowOff>152400</xdr:rowOff>
    </xdr:to>
    <xdr:pic>
      <xdr:nvPicPr>
        <xdr:cNvPr id="4388" name="Figura 1">
          <a:extLst>
            <a:ext uri="{FF2B5EF4-FFF2-40B4-BE49-F238E27FC236}">
              <a16:creationId xmlns:a16="http://schemas.microsoft.com/office/drawing/2014/main" id="{888A7A48-0FB2-44CD-846A-5C0E089F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400"/>
          <a:ext cx="939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0</xdr:row>
      <xdr:rowOff>25400</xdr:rowOff>
    </xdr:from>
    <xdr:to>
      <xdr:col>1</xdr:col>
      <xdr:colOff>762000</xdr:colOff>
      <xdr:row>2</xdr:row>
      <xdr:rowOff>120650</xdr:rowOff>
    </xdr:to>
    <xdr:pic>
      <xdr:nvPicPr>
        <xdr:cNvPr id="5267" name="Figura 1">
          <a:extLst>
            <a:ext uri="{FF2B5EF4-FFF2-40B4-BE49-F238E27FC236}">
              <a16:creationId xmlns:a16="http://schemas.microsoft.com/office/drawing/2014/main" id="{CEBE104B-BD9A-4378-AB16-C0EA3C53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5400"/>
          <a:ext cx="9525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activeCell="B11" sqref="B11"/>
      <selection pane="bottomLeft" activeCell="F5" sqref="F5:N5"/>
    </sheetView>
  </sheetViews>
  <sheetFormatPr defaultColWidth="8.81640625" defaultRowHeight="13.5" x14ac:dyDescent="0.35"/>
  <cols>
    <col min="1" max="1" width="10.453125" style="1" customWidth="1"/>
    <col min="2" max="2" width="2.7265625" style="1" customWidth="1"/>
    <col min="3" max="3" width="8.453125" style="1" customWidth="1"/>
    <col min="4" max="4" width="4.453125" style="1" customWidth="1"/>
    <col min="5" max="5" width="4" style="1" customWidth="1"/>
    <col min="6" max="6" width="4.453125" style="1" customWidth="1"/>
    <col min="7" max="12" width="6" style="1" customWidth="1"/>
    <col min="13" max="13" width="18.453125" style="1" customWidth="1"/>
    <col min="14" max="14" width="8.26953125" style="1" customWidth="1"/>
    <col min="15" max="15" width="11.453125" style="1" customWidth="1"/>
    <col min="16" max="16" width="5.81640625" style="1" customWidth="1"/>
    <col min="17" max="18" width="2.7265625" style="1" customWidth="1"/>
    <col min="19" max="19" width="8" style="1" customWidth="1"/>
    <col min="20" max="22" width="2.7265625" style="1" customWidth="1"/>
  </cols>
  <sheetData>
    <row r="1" spans="1:22" ht="12.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2.5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2.5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31" t="s">
        <v>1</v>
      </c>
      <c r="B4" s="131"/>
      <c r="C4" s="131"/>
      <c r="D4" s="131"/>
      <c r="E4" s="131"/>
      <c r="F4" s="135" t="s">
        <v>175</v>
      </c>
      <c r="G4" s="135"/>
      <c r="H4" s="135"/>
      <c r="I4" s="135"/>
      <c r="J4" s="135"/>
      <c r="K4" s="135"/>
      <c r="L4" s="135"/>
      <c r="M4" s="135"/>
      <c r="N4" s="135"/>
      <c r="O4" s="140" t="s">
        <v>2</v>
      </c>
      <c r="P4" s="140"/>
      <c r="Q4" s="138">
        <f>Funções!L4</f>
        <v>102</v>
      </c>
      <c r="R4" s="138"/>
      <c r="S4" s="138"/>
      <c r="T4" s="138"/>
      <c r="U4" s="138"/>
      <c r="V4" s="138"/>
    </row>
    <row r="5" spans="1:22" x14ac:dyDescent="0.35">
      <c r="A5" s="131" t="s">
        <v>3</v>
      </c>
      <c r="B5" s="131"/>
      <c r="C5" s="131"/>
      <c r="D5" s="131"/>
      <c r="E5" s="131"/>
      <c r="F5" s="141" t="s">
        <v>171</v>
      </c>
      <c r="G5" s="135"/>
      <c r="H5" s="135"/>
      <c r="I5" s="135"/>
      <c r="J5" s="135"/>
      <c r="K5" s="135"/>
      <c r="L5" s="135"/>
      <c r="M5" s="135"/>
      <c r="N5" s="135"/>
      <c r="O5" s="136" t="s">
        <v>6</v>
      </c>
      <c r="P5" s="136"/>
      <c r="Q5" s="138">
        <f>Funções!L5</f>
        <v>102</v>
      </c>
      <c r="R5" s="138"/>
      <c r="S5" s="138"/>
      <c r="T5" s="138"/>
      <c r="U5" s="138"/>
      <c r="V5" s="138"/>
    </row>
    <row r="6" spans="1:22" x14ac:dyDescent="0.35">
      <c r="A6" s="131" t="s">
        <v>5</v>
      </c>
      <c r="B6" s="131"/>
      <c r="C6" s="131"/>
      <c r="D6" s="131"/>
      <c r="E6" s="131"/>
      <c r="F6" s="132" t="s">
        <v>174</v>
      </c>
      <c r="G6" s="132"/>
      <c r="H6" s="132"/>
      <c r="I6" s="132"/>
      <c r="J6" s="132"/>
      <c r="K6" s="132"/>
      <c r="L6" s="132"/>
      <c r="M6" s="132"/>
      <c r="N6" s="132"/>
      <c r="O6" s="136" t="s">
        <v>4</v>
      </c>
      <c r="P6" s="136"/>
      <c r="Q6" s="138">
        <f>Funções!L6</f>
        <v>0</v>
      </c>
      <c r="R6" s="138"/>
      <c r="S6" s="138"/>
      <c r="T6" s="138"/>
      <c r="U6" s="138"/>
      <c r="V6" s="138"/>
    </row>
    <row r="7" spans="1:22" ht="12.5" x14ac:dyDescent="0.25">
      <c r="A7" s="131" t="s">
        <v>7</v>
      </c>
      <c r="B7" s="131"/>
      <c r="C7" s="131"/>
      <c r="D7" s="131"/>
      <c r="E7" s="131"/>
      <c r="F7" s="135"/>
      <c r="G7" s="135"/>
      <c r="H7" s="135"/>
      <c r="I7" s="135"/>
      <c r="J7" s="135"/>
      <c r="K7" s="135"/>
      <c r="L7" s="135"/>
      <c r="M7" s="135"/>
      <c r="N7" s="135"/>
      <c r="O7" s="136" t="s">
        <v>8</v>
      </c>
      <c r="P7" s="136"/>
      <c r="Q7" s="136"/>
      <c r="R7" s="137"/>
      <c r="S7" s="137"/>
      <c r="T7" s="137"/>
      <c r="U7" s="137"/>
      <c r="V7" s="137"/>
    </row>
    <row r="8" spans="1:22" ht="12.5" x14ac:dyDescent="0.25">
      <c r="A8" s="131" t="s">
        <v>9</v>
      </c>
      <c r="B8" s="131"/>
      <c r="C8" s="131"/>
      <c r="D8" s="131"/>
      <c r="E8" s="131"/>
      <c r="F8" s="135" t="s">
        <v>173</v>
      </c>
      <c r="G8" s="135"/>
      <c r="H8" s="135"/>
      <c r="I8" s="135"/>
      <c r="J8" s="135"/>
      <c r="K8" s="135"/>
      <c r="L8" s="135"/>
      <c r="M8" s="135"/>
      <c r="N8" s="135"/>
      <c r="O8" s="136" t="s">
        <v>10</v>
      </c>
      <c r="P8" s="136"/>
      <c r="Q8" s="136"/>
      <c r="R8" s="137"/>
      <c r="S8" s="137"/>
      <c r="T8" s="137"/>
      <c r="U8" s="137"/>
      <c r="V8" s="137"/>
    </row>
    <row r="9" spans="1:22" x14ac:dyDescent="0.35">
      <c r="A9" s="131" t="s">
        <v>11</v>
      </c>
      <c r="B9" s="131"/>
      <c r="C9" s="131"/>
      <c r="D9" s="131"/>
      <c r="E9" s="131"/>
      <c r="F9" s="132" t="s">
        <v>172</v>
      </c>
      <c r="G9" s="132"/>
      <c r="H9" s="132"/>
      <c r="I9" s="132"/>
      <c r="J9" s="132"/>
      <c r="K9" s="132"/>
      <c r="L9" s="132"/>
      <c r="M9" s="132"/>
      <c r="N9" s="132"/>
      <c r="O9" s="133" t="s">
        <v>12</v>
      </c>
      <c r="P9" s="133"/>
      <c r="Q9" s="133"/>
      <c r="R9" s="134">
        <v>44355</v>
      </c>
      <c r="S9" s="134"/>
      <c r="T9" s="134"/>
      <c r="U9" s="134"/>
      <c r="V9" s="134"/>
    </row>
    <row r="10" spans="1:22" x14ac:dyDescent="0.35">
      <c r="A10" s="131" t="s">
        <v>13</v>
      </c>
      <c r="B10" s="131"/>
      <c r="C10" s="131"/>
      <c r="D10" s="131"/>
      <c r="E10" s="131"/>
      <c r="F10" s="132" t="s">
        <v>175</v>
      </c>
      <c r="G10" s="132"/>
      <c r="H10" s="132"/>
      <c r="I10" s="132"/>
      <c r="J10" s="132"/>
      <c r="K10" s="132"/>
      <c r="L10" s="132"/>
      <c r="M10" s="132"/>
      <c r="N10" s="132"/>
      <c r="O10" s="133" t="s">
        <v>14</v>
      </c>
      <c r="P10" s="133"/>
      <c r="Q10" s="133"/>
      <c r="R10" s="134">
        <v>44538</v>
      </c>
      <c r="S10" s="134"/>
      <c r="T10" s="134"/>
      <c r="U10" s="134"/>
      <c r="V10" s="134"/>
    </row>
    <row r="11" spans="1:22" x14ac:dyDescent="0.25">
      <c r="A11" s="128" t="s">
        <v>15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</row>
    <row r="12" spans="1:22" ht="12.5" x14ac:dyDescent="0.25">
      <c r="A12" s="129" t="s">
        <v>182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2.5" x14ac:dyDescent="0.25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2.5" x14ac:dyDescent="0.2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 ht="12.5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x14ac:dyDescent="0.25">
      <c r="A16" s="128" t="s">
        <v>16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</row>
    <row r="17" spans="1:22" ht="12.5" x14ac:dyDescent="0.25">
      <c r="A17" s="129" t="s">
        <v>181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 ht="12.5" x14ac:dyDescent="0.25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2.5" x14ac:dyDescent="0.25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2.5" x14ac:dyDescent="0.25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 x14ac:dyDescent="0.25">
      <c r="A21" s="128" t="s">
        <v>17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</row>
    <row r="22" spans="1:22" ht="12.5" x14ac:dyDescent="0.25">
      <c r="A22" s="130" t="s">
        <v>180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2.5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2.5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2.5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2.5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2.5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2.5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2.5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2.5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2.5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2.5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2.5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2.5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2.5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2.5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2.5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2.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2.5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2.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2.5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2.5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2.5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2.5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2.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&amp;A&amp;C&amp;1#&amp;"Arial"&amp;6&amp;K626469Internal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7"/>
  <sheetViews>
    <sheetView showGridLines="0" tabSelected="1" zoomScale="80" zoomScaleNormal="80" zoomScaleSheetLayoutView="100" workbookViewId="0">
      <pane ySplit="7" topLeftCell="A8" activePane="bottomLeft" state="frozen"/>
      <selection activeCell="B11" sqref="B11"/>
      <selection pane="bottomLeft" activeCell="B30" sqref="B30"/>
    </sheetView>
  </sheetViews>
  <sheetFormatPr defaultColWidth="8.81640625" defaultRowHeight="12.5" x14ac:dyDescent="0.25"/>
  <cols>
    <col min="1" max="1" width="55.81640625" customWidth="1"/>
    <col min="2" max="2" width="5" customWidth="1"/>
    <col min="3" max="3" width="10.453125" customWidth="1"/>
    <col min="4" max="4" width="3.7265625" customWidth="1"/>
    <col min="5" max="5" width="6.26953125" customWidth="1"/>
    <col min="6" max="6" width="8" customWidth="1"/>
    <col min="7" max="7" width="9" hidden="1" customWidth="1"/>
    <col min="8" max="8" width="12" customWidth="1"/>
    <col min="9" max="9" width="6.7265625" hidden="1" customWidth="1"/>
    <col min="10" max="10" width="7.26953125" hidden="1" customWidth="1"/>
    <col min="11" max="11" width="12.453125" customWidth="1"/>
    <col min="12" max="12" width="12" customWidth="1"/>
    <col min="13" max="13" width="6.81640625" customWidth="1"/>
    <col min="14" max="14" width="10.7265625" customWidth="1"/>
    <col min="15" max="15" width="32.453125" customWidth="1"/>
  </cols>
  <sheetData>
    <row r="1" spans="1:15" ht="13" thickBot="1" x14ac:dyDescent="0.3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" thickBo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5">
      <c r="A4" s="3" t="str">
        <f>Contagem!A5&amp;" : "&amp;Contagem!F5</f>
        <v>Aplicação : Project.IO - Sistema de Gerenciamento de Projetos</v>
      </c>
      <c r="B4" s="143" t="str">
        <f>Contagem!A8&amp;" : "&amp;Contagem!F8</f>
        <v>Projeto : Sistema de Gerenciamento de Projetos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SUM(H8:H467)</f>
        <v>102</v>
      </c>
      <c r="M4" s="149"/>
      <c r="N4" s="149"/>
      <c r="O4" s="149"/>
    </row>
    <row r="5" spans="1:15" x14ac:dyDescent="0.25">
      <c r="A5" s="3" t="str">
        <f>Contagem!A9&amp;" : "&amp;Contagem!F9</f>
        <v>Responsável : Bárbara Cristina C. B. De Carvalho</v>
      </c>
      <c r="B5" s="143" t="str">
        <f>Contagem!A10&amp;" : "&amp;Contagem!F10</f>
        <v>Revisor : -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SUM(K8:K467)</f>
        <v>102</v>
      </c>
      <c r="M5" s="142"/>
      <c r="N5" s="142"/>
      <c r="O5" s="142"/>
    </row>
    <row r="6" spans="1:15" x14ac:dyDescent="0.25">
      <c r="A6" s="121" t="str">
        <f>Contagem!A4&amp;" : "&amp;Contagem!F4</f>
        <v>Empresa : -</v>
      </c>
      <c r="B6" s="146" t="str">
        <f>"Tipo da Contagem : "&amp;Contagem!F6</f>
        <v>Tipo da Contagem : Projeto de Desenvolvimento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SUM(L8:L467)</f>
        <v>0</v>
      </c>
      <c r="M6" s="149"/>
      <c r="N6" s="149"/>
      <c r="O6" s="149"/>
    </row>
    <row r="7" spans="1:15" ht="13.5" customHeight="1" x14ac:dyDescent="0.3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5">
      <c r="A8" s="126" t="s">
        <v>188</v>
      </c>
      <c r="B8" s="4" t="s">
        <v>98</v>
      </c>
      <c r="C8" s="4"/>
      <c r="D8" s="7"/>
      <c r="E8" s="7"/>
      <c r="F8" s="8" t="str">
        <f t="shared" ref="F8:F59" si="0">IF(ISBLANK(B8),"",IF(I8="L","Baixa",IF(I8="A","Média",IF(I8="","","Alta"))))</f>
        <v>Baixa</v>
      </c>
      <c r="G8" s="7" t="str">
        <f t="shared" ref="G8:G59" si="1">CONCATENATE(B8,I8)</f>
        <v>ALIL</v>
      </c>
      <c r="H8" s="5">
        <f t="shared" ref="H8:H59" si="2">IF(ISBLANK(B8),"",IF(B8="ALI",IF(I8="L",7,IF(I8="A",10,15)),IF(B8="AIE",IF(I8="L",5,IF(I8="A",7,10)),IF(B8="SE",IF(I8="L",4,IF(I8="A",5,7)),IF(OR(B8="EE",B8="CE"),IF(I8="L",3,IF(I8="A",4,6)),0)))))</f>
        <v>7</v>
      </c>
      <c r="I8" s="122" t="str">
        <f t="shared" ref="I8:I59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59" si="4">CONCATENATE(B8,C8)</f>
        <v>ALI</v>
      </c>
      <c r="K8" s="9">
        <f t="shared" ref="K8:K61" si="5">IF(OR(H8="",H8=0),L8,H8)</f>
        <v>7</v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26" t="s">
        <v>9</v>
      </c>
      <c r="B9" s="4" t="s">
        <v>98</v>
      </c>
      <c r="C9" s="4"/>
      <c r="D9" s="7"/>
      <c r="E9" s="7"/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22" t="str">
        <f t="shared" si="3"/>
        <v>L</v>
      </c>
      <c r="J9" s="7" t="str">
        <f t="shared" si="4"/>
        <v>ALI</v>
      </c>
      <c r="K9" s="9">
        <f t="shared" si="5"/>
        <v>7</v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5">
      <c r="A10" s="126" t="s">
        <v>189</v>
      </c>
      <c r="B10" s="4" t="s">
        <v>98</v>
      </c>
      <c r="C10" s="4"/>
      <c r="D10" s="7"/>
      <c r="E10" s="7"/>
      <c r="F10" s="8" t="str">
        <f t="shared" si="0"/>
        <v>Baixa</v>
      </c>
      <c r="G10" s="7" t="str">
        <f t="shared" si="1"/>
        <v>ALIL</v>
      </c>
      <c r="H10" s="5">
        <f t="shared" si="2"/>
        <v>7</v>
      </c>
      <c r="I10" s="122" t="str">
        <f t="shared" si="3"/>
        <v>L</v>
      </c>
      <c r="J10" s="7" t="str">
        <f t="shared" si="4"/>
        <v>ALI</v>
      </c>
      <c r="K10" s="9">
        <f t="shared" si="5"/>
        <v>7</v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5">
      <c r="A11" s="126" t="s">
        <v>190</v>
      </c>
      <c r="B11" s="4" t="s">
        <v>100</v>
      </c>
      <c r="C11" s="4"/>
      <c r="D11" s="7"/>
      <c r="E11" s="7"/>
      <c r="F11" s="8" t="str">
        <f t="shared" si="0"/>
        <v>Média</v>
      </c>
      <c r="G11" s="7" t="str">
        <f t="shared" si="1"/>
        <v>EEA</v>
      </c>
      <c r="H11" s="5">
        <f t="shared" si="2"/>
        <v>4</v>
      </c>
      <c r="I11" s="122" t="str">
        <f t="shared" si="3"/>
        <v>A</v>
      </c>
      <c r="J11" s="7" t="str">
        <f t="shared" si="4"/>
        <v>EE</v>
      </c>
      <c r="K11" s="9">
        <f t="shared" si="5"/>
        <v>4</v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5">
      <c r="A12" s="126" t="s">
        <v>170</v>
      </c>
      <c r="B12" s="4" t="s">
        <v>100</v>
      </c>
      <c r="C12" s="4"/>
      <c r="D12" s="7"/>
      <c r="E12" s="7"/>
      <c r="F12" s="8" t="str">
        <f t="shared" si="0"/>
        <v>Média</v>
      </c>
      <c r="G12" s="7" t="str">
        <f t="shared" si="1"/>
        <v>EEA</v>
      </c>
      <c r="H12" s="5">
        <f t="shared" si="2"/>
        <v>4</v>
      </c>
      <c r="I12" s="122" t="str">
        <f t="shared" si="3"/>
        <v>A</v>
      </c>
      <c r="J12" s="7" t="str">
        <f t="shared" si="4"/>
        <v>EE</v>
      </c>
      <c r="K12" s="9">
        <f t="shared" si="5"/>
        <v>4</v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5">
      <c r="A13" s="126" t="s">
        <v>191</v>
      </c>
      <c r="B13" s="4" t="s">
        <v>100</v>
      </c>
      <c r="C13" s="4"/>
      <c r="D13" s="7"/>
      <c r="E13" s="7"/>
      <c r="F13" s="8" t="str">
        <f t="shared" si="0"/>
        <v>Média</v>
      </c>
      <c r="G13" s="7" t="str">
        <f t="shared" si="1"/>
        <v>EEA</v>
      </c>
      <c r="H13" s="5">
        <f t="shared" si="2"/>
        <v>4</v>
      </c>
      <c r="I13" s="122" t="str">
        <f t="shared" si="3"/>
        <v>A</v>
      </c>
      <c r="J13" s="7" t="str">
        <f t="shared" si="4"/>
        <v>EE</v>
      </c>
      <c r="K13" s="9">
        <f t="shared" si="5"/>
        <v>4</v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5">
      <c r="A14" s="126" t="s">
        <v>192</v>
      </c>
      <c r="B14" s="4" t="s">
        <v>100</v>
      </c>
      <c r="C14" s="4"/>
      <c r="D14" s="7"/>
      <c r="E14" s="7"/>
      <c r="F14" s="8" t="str">
        <f t="shared" si="0"/>
        <v>Média</v>
      </c>
      <c r="G14" s="7" t="str">
        <f t="shared" si="1"/>
        <v>EEA</v>
      </c>
      <c r="H14" s="5">
        <f t="shared" si="2"/>
        <v>4</v>
      </c>
      <c r="I14" s="122" t="str">
        <f t="shared" si="3"/>
        <v>A</v>
      </c>
      <c r="J14" s="7" t="str">
        <f t="shared" si="4"/>
        <v>EE</v>
      </c>
      <c r="K14" s="9">
        <f t="shared" si="5"/>
        <v>4</v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5">
      <c r="A15" s="126" t="s">
        <v>176</v>
      </c>
      <c r="B15" s="4" t="s">
        <v>102</v>
      </c>
      <c r="C15" s="4"/>
      <c r="D15" s="7"/>
      <c r="E15" s="7"/>
      <c r="F15" s="8" t="str">
        <f t="shared" si="0"/>
        <v>Média</v>
      </c>
      <c r="G15" s="7" t="str">
        <f t="shared" si="1"/>
        <v>CEA</v>
      </c>
      <c r="H15" s="5">
        <f t="shared" si="2"/>
        <v>4</v>
      </c>
      <c r="I15" s="122" t="str">
        <f t="shared" si="3"/>
        <v>A</v>
      </c>
      <c r="J15" s="7" t="str">
        <f t="shared" si="4"/>
        <v>CE</v>
      </c>
      <c r="K15" s="9">
        <f t="shared" si="5"/>
        <v>4</v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 x14ac:dyDescent="0.25">
      <c r="A16" s="126" t="s">
        <v>178</v>
      </c>
      <c r="B16" s="4" t="s">
        <v>100</v>
      </c>
      <c r="C16" s="4"/>
      <c r="D16" s="7"/>
      <c r="E16" s="7"/>
      <c r="F16" s="8" t="str">
        <f t="shared" si="0"/>
        <v>Média</v>
      </c>
      <c r="G16" s="7" t="str">
        <f t="shared" si="1"/>
        <v>EEA</v>
      </c>
      <c r="H16" s="5">
        <f t="shared" si="2"/>
        <v>4</v>
      </c>
      <c r="I16" s="122" t="str">
        <f t="shared" si="3"/>
        <v>A</v>
      </c>
      <c r="J16" s="7" t="str">
        <f t="shared" si="4"/>
        <v>EE</v>
      </c>
      <c r="K16" s="9">
        <f t="shared" si="5"/>
        <v>4</v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5">
      <c r="A17" s="126" t="s">
        <v>177</v>
      </c>
      <c r="B17" s="4" t="s">
        <v>102</v>
      </c>
      <c r="C17" s="4"/>
      <c r="D17" s="7"/>
      <c r="E17" s="7"/>
      <c r="F17" s="8" t="str">
        <f t="shared" si="0"/>
        <v>Média</v>
      </c>
      <c r="G17" s="7" t="str">
        <f t="shared" si="1"/>
        <v>CEA</v>
      </c>
      <c r="H17" s="5">
        <f t="shared" si="2"/>
        <v>4</v>
      </c>
      <c r="I17" s="122" t="str">
        <f t="shared" si="3"/>
        <v>A</v>
      </c>
      <c r="J17" s="7" t="str">
        <f t="shared" si="4"/>
        <v>CE</v>
      </c>
      <c r="K17" s="9">
        <f t="shared" si="5"/>
        <v>4</v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5">
      <c r="A18" s="126" t="s">
        <v>179</v>
      </c>
      <c r="B18" s="4" t="s">
        <v>100</v>
      </c>
      <c r="C18" s="4"/>
      <c r="D18" s="7"/>
      <c r="E18" s="7"/>
      <c r="F18" s="8" t="str">
        <f t="shared" si="0"/>
        <v>Média</v>
      </c>
      <c r="G18" s="7" t="str">
        <f t="shared" si="1"/>
        <v>EEA</v>
      </c>
      <c r="H18" s="5">
        <f t="shared" si="2"/>
        <v>4</v>
      </c>
      <c r="I18" s="122" t="str">
        <f t="shared" si="3"/>
        <v>A</v>
      </c>
      <c r="J18" s="7" t="str">
        <f t="shared" si="4"/>
        <v>EE</v>
      </c>
      <c r="K18" s="9">
        <f t="shared" si="5"/>
        <v>4</v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5">
      <c r="A19" s="126" t="s">
        <v>186</v>
      </c>
      <c r="B19" s="4" t="s">
        <v>102</v>
      </c>
      <c r="C19" s="4"/>
      <c r="D19" s="7"/>
      <c r="E19" s="7"/>
      <c r="F19" s="8" t="str">
        <f t="shared" si="0"/>
        <v>Média</v>
      </c>
      <c r="G19" s="7" t="str">
        <f t="shared" si="1"/>
        <v>CEA</v>
      </c>
      <c r="H19" s="5">
        <f t="shared" si="2"/>
        <v>4</v>
      </c>
      <c r="I19" s="122" t="str">
        <f t="shared" si="3"/>
        <v>A</v>
      </c>
      <c r="J19" s="7" t="str">
        <f t="shared" si="4"/>
        <v>CE</v>
      </c>
      <c r="K19" s="9">
        <f t="shared" si="5"/>
        <v>4</v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6" t="s">
        <v>197</v>
      </c>
      <c r="B20" s="4" t="s">
        <v>100</v>
      </c>
      <c r="C20" s="4"/>
      <c r="D20" s="7"/>
      <c r="E20" s="7"/>
      <c r="F20" s="8" t="str">
        <f t="shared" si="0"/>
        <v>Média</v>
      </c>
      <c r="G20" s="7" t="str">
        <f t="shared" si="1"/>
        <v>EEA</v>
      </c>
      <c r="H20" s="5">
        <f t="shared" si="2"/>
        <v>4</v>
      </c>
      <c r="I20" s="122" t="str">
        <f t="shared" si="3"/>
        <v>A</v>
      </c>
      <c r="J20" s="7" t="str">
        <f t="shared" si="4"/>
        <v>EE</v>
      </c>
      <c r="K20" s="9">
        <f t="shared" si="5"/>
        <v>4</v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26" t="s">
        <v>183</v>
      </c>
      <c r="B21" s="4" t="s">
        <v>100</v>
      </c>
      <c r="C21" s="4"/>
      <c r="D21" s="7"/>
      <c r="E21" s="7"/>
      <c r="F21" s="8" t="str">
        <f t="shared" si="0"/>
        <v>Média</v>
      </c>
      <c r="G21" s="7" t="str">
        <f t="shared" si="1"/>
        <v>EEA</v>
      </c>
      <c r="H21" s="5">
        <f t="shared" si="2"/>
        <v>4</v>
      </c>
      <c r="I21" s="122" t="str">
        <f t="shared" si="3"/>
        <v>A</v>
      </c>
      <c r="J21" s="7" t="str">
        <f t="shared" si="4"/>
        <v>EE</v>
      </c>
      <c r="K21" s="9">
        <f t="shared" si="5"/>
        <v>4</v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5">
      <c r="A22" s="126" t="s">
        <v>184</v>
      </c>
      <c r="B22" s="4" t="s">
        <v>100</v>
      </c>
      <c r="C22" s="4"/>
      <c r="D22" s="7"/>
      <c r="E22" s="7"/>
      <c r="F22" s="8" t="str">
        <f t="shared" si="0"/>
        <v>Média</v>
      </c>
      <c r="G22" s="7" t="str">
        <f t="shared" si="1"/>
        <v>EEA</v>
      </c>
      <c r="H22" s="5">
        <f t="shared" si="2"/>
        <v>4</v>
      </c>
      <c r="I22" s="122" t="str">
        <f t="shared" si="3"/>
        <v>A</v>
      </c>
      <c r="J22" s="7" t="str">
        <f t="shared" si="4"/>
        <v>EE</v>
      </c>
      <c r="K22" s="9">
        <f t="shared" si="5"/>
        <v>4</v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5">
      <c r="A23" s="126" t="s">
        <v>185</v>
      </c>
      <c r="B23" s="4" t="s">
        <v>100</v>
      </c>
      <c r="C23" s="4"/>
      <c r="D23" s="7"/>
      <c r="E23" s="7"/>
      <c r="F23" s="8" t="str">
        <f t="shared" si="0"/>
        <v>Média</v>
      </c>
      <c r="G23" s="7" t="str">
        <f t="shared" si="1"/>
        <v>EEA</v>
      </c>
      <c r="H23" s="5">
        <f t="shared" si="2"/>
        <v>4</v>
      </c>
      <c r="I23" s="122" t="str">
        <f t="shared" si="3"/>
        <v>A</v>
      </c>
      <c r="J23" s="7" t="str">
        <f t="shared" si="4"/>
        <v>EE</v>
      </c>
      <c r="K23" s="9">
        <f t="shared" si="5"/>
        <v>4</v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5">
      <c r="A24" s="126" t="s">
        <v>187</v>
      </c>
      <c r="B24" s="4" t="s">
        <v>103</v>
      </c>
      <c r="C24" s="4"/>
      <c r="D24" s="7"/>
      <c r="E24" s="7"/>
      <c r="F24" s="8" t="str">
        <f t="shared" si="0"/>
        <v>Média</v>
      </c>
      <c r="G24" s="7" t="str">
        <f t="shared" si="1"/>
        <v>SEA</v>
      </c>
      <c r="H24" s="5">
        <f t="shared" si="2"/>
        <v>5</v>
      </c>
      <c r="I24" s="122" t="str">
        <f t="shared" si="3"/>
        <v>A</v>
      </c>
      <c r="J24" s="7" t="str">
        <f t="shared" si="4"/>
        <v>SE</v>
      </c>
      <c r="K24" s="9">
        <f t="shared" si="5"/>
        <v>5</v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5">
      <c r="A25" s="126" t="s">
        <v>193</v>
      </c>
      <c r="B25" s="4" t="s">
        <v>100</v>
      </c>
      <c r="C25" s="4"/>
      <c r="D25" s="7"/>
      <c r="E25" s="7"/>
      <c r="F25" s="8" t="str">
        <f t="shared" si="0"/>
        <v>Média</v>
      </c>
      <c r="G25" s="7" t="str">
        <f t="shared" si="1"/>
        <v>EEA</v>
      </c>
      <c r="H25" s="5">
        <f t="shared" si="2"/>
        <v>4</v>
      </c>
      <c r="I25" s="122" t="str">
        <f t="shared" si="3"/>
        <v>A</v>
      </c>
      <c r="J25" s="7" t="str">
        <f t="shared" si="4"/>
        <v>EE</v>
      </c>
      <c r="K25" s="9">
        <f t="shared" si="5"/>
        <v>4</v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5">
      <c r="A26" s="126" t="s">
        <v>194</v>
      </c>
      <c r="B26" s="4" t="s">
        <v>100</v>
      </c>
      <c r="C26" s="4"/>
      <c r="D26" s="7"/>
      <c r="E26" s="7"/>
      <c r="F26" s="8" t="str">
        <f t="shared" si="0"/>
        <v>Média</v>
      </c>
      <c r="G26" s="7" t="str">
        <f t="shared" si="1"/>
        <v>EEA</v>
      </c>
      <c r="H26" s="5">
        <f t="shared" si="2"/>
        <v>4</v>
      </c>
      <c r="I26" s="122" t="str">
        <f t="shared" si="3"/>
        <v>A</v>
      </c>
      <c r="J26" s="7" t="str">
        <f t="shared" si="4"/>
        <v>EE</v>
      </c>
      <c r="K26" s="9">
        <f t="shared" si="5"/>
        <v>4</v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5">
      <c r="A27" s="126" t="s">
        <v>195</v>
      </c>
      <c r="B27" s="4" t="s">
        <v>100</v>
      </c>
      <c r="C27" s="4"/>
      <c r="D27" s="7"/>
      <c r="E27" s="7"/>
      <c r="F27" s="8" t="str">
        <f t="shared" si="0"/>
        <v>Média</v>
      </c>
      <c r="G27" s="7" t="str">
        <f t="shared" si="1"/>
        <v>EEA</v>
      </c>
      <c r="H27" s="5">
        <f t="shared" si="2"/>
        <v>4</v>
      </c>
      <c r="I27" s="122" t="str">
        <f t="shared" si="3"/>
        <v>A</v>
      </c>
      <c r="J27" s="7" t="str">
        <f t="shared" si="4"/>
        <v>EE</v>
      </c>
      <c r="K27" s="9">
        <f t="shared" si="5"/>
        <v>4</v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5">
      <c r="A28" s="126" t="s">
        <v>196</v>
      </c>
      <c r="B28" s="4" t="s">
        <v>100</v>
      </c>
      <c r="C28" s="4"/>
      <c r="D28" s="7"/>
      <c r="E28" s="7"/>
      <c r="F28" s="8" t="str">
        <f t="shared" si="0"/>
        <v>Média</v>
      </c>
      <c r="G28" s="7" t="str">
        <f t="shared" si="1"/>
        <v>EEA</v>
      </c>
      <c r="H28" s="5">
        <f t="shared" si="2"/>
        <v>4</v>
      </c>
      <c r="I28" s="122" t="str">
        <f t="shared" si="3"/>
        <v>A</v>
      </c>
      <c r="J28" s="7" t="str">
        <f t="shared" si="4"/>
        <v>EE</v>
      </c>
      <c r="K28" s="9">
        <f t="shared" si="5"/>
        <v>4</v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26" t="s">
        <v>198</v>
      </c>
      <c r="B29" s="4" t="s">
        <v>100</v>
      </c>
      <c r="C29" s="4"/>
      <c r="D29" s="7"/>
      <c r="E29" s="7"/>
      <c r="F29" s="8" t="str">
        <f t="shared" si="0"/>
        <v>Média</v>
      </c>
      <c r="G29" s="7" t="str">
        <f t="shared" si="1"/>
        <v>EEA</v>
      </c>
      <c r="H29" s="5">
        <f t="shared" si="2"/>
        <v>4</v>
      </c>
      <c r="I29" s="122" t="str">
        <f t="shared" si="3"/>
        <v>A</v>
      </c>
      <c r="J29" s="7" t="str">
        <f t="shared" si="4"/>
        <v>EE</v>
      </c>
      <c r="K29" s="9">
        <f t="shared" si="5"/>
        <v>4</v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5">
      <c r="A30" s="126" t="s">
        <v>199</v>
      </c>
      <c r="B30" s="4" t="s">
        <v>102</v>
      </c>
      <c r="C30" s="4"/>
      <c r="D30" s="7"/>
      <c r="E30" s="7"/>
      <c r="F30" s="8" t="str">
        <f t="shared" si="0"/>
        <v>Média</v>
      </c>
      <c r="G30" s="7" t="str">
        <f t="shared" si="1"/>
        <v>CEA</v>
      </c>
      <c r="H30" s="5">
        <f t="shared" si="2"/>
        <v>4</v>
      </c>
      <c r="I30" s="122" t="str">
        <f t="shared" si="3"/>
        <v>A</v>
      </c>
      <c r="J30" s="7" t="str">
        <f t="shared" si="4"/>
        <v>CE</v>
      </c>
      <c r="K30" s="9">
        <f t="shared" si="5"/>
        <v>4</v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5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5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5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5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5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26"/>
      <c r="B60" s="4"/>
      <c r="C60" s="4"/>
      <c r="D60" s="7"/>
      <c r="E60" s="7"/>
      <c r="F60" s="8" t="str">
        <f t="shared" ref="F60:F123" si="6">IF(ISBLANK(B60),"",IF(I60="L","Baixa",IF(I60="A","Média",IF(I60="","","Alta"))))</f>
        <v/>
      </c>
      <c r="G60" s="7" t="str">
        <f t="shared" ref="G60:G123" si="7">CONCATENATE(B60,I60)</f>
        <v/>
      </c>
      <c r="H60" s="5" t="str">
        <f t="shared" ref="H60:H123" si="8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123" si="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123" si="10">CONCATENATE(B60,C60)</f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6"/>
      <c r="B61" s="4"/>
      <c r="C61" s="4"/>
      <c r="D61" s="7"/>
      <c r="E61" s="7"/>
      <c r="F61" s="8" t="str">
        <f t="shared" si="6"/>
        <v/>
      </c>
      <c r="G61" s="7" t="str">
        <f t="shared" si="7"/>
        <v/>
      </c>
      <c r="H61" s="5" t="str">
        <f t="shared" si="8"/>
        <v/>
      </c>
      <c r="I61" s="122" t="str">
        <f t="shared" si="9"/>
        <v/>
      </c>
      <c r="J61" s="7" t="str">
        <f t="shared" si="10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26"/>
      <c r="B62" s="4"/>
      <c r="C62" s="4"/>
      <c r="D62" s="7"/>
      <c r="E62" s="7"/>
      <c r="F62" s="8" t="str">
        <f t="shared" si="6"/>
        <v/>
      </c>
      <c r="G62" s="7" t="str">
        <f t="shared" si="7"/>
        <v/>
      </c>
      <c r="H62" s="5" t="str">
        <f t="shared" si="8"/>
        <v/>
      </c>
      <c r="I62" s="122" t="str">
        <f t="shared" si="9"/>
        <v/>
      </c>
      <c r="J62" s="7" t="str">
        <f t="shared" si="10"/>
        <v/>
      </c>
      <c r="K62" s="9" t="str">
        <f t="shared" ref="K62:K125" si="11">IF(OR(H62="",H62=0),L62,H62)</f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11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si="1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26"/>
      <c r="B124" s="4"/>
      <c r="C124" s="4"/>
      <c r="D124" s="7"/>
      <c r="E124" s="7"/>
      <c r="F124" s="8" t="str">
        <f t="shared" ref="F124:F187" si="12">IF(ISBLANK(B124),"",IF(I124="L","Baixa",IF(I124="A","Média",IF(I124="","","Alta"))))</f>
        <v/>
      </c>
      <c r="G124" s="7" t="str">
        <f t="shared" ref="G124:G187" si="13">CONCATENATE(B124,I124)</f>
        <v/>
      </c>
      <c r="H124" s="5" t="str">
        <f t="shared" ref="H124:H187" si="14">IF(ISBLANK(B124),"",IF(B124="ALI",IF(I124="L",7,IF(I124="A",10,15)),IF(B124="AIE",IF(I124="L",5,IF(I124="A",7,10)),IF(B124="SE",IF(I124="L",4,IF(I124="A",5,7)),IF(OR(B124="EE",B124="CE"),IF(I124="L",3,IF(I124="A",4,6)),0)))))</f>
        <v/>
      </c>
      <c r="I124" s="122" t="str">
        <f t="shared" ref="I124:I187" si="15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/>
      </c>
      <c r="J124" s="7" t="str">
        <f t="shared" ref="J124:J187" si="16">CONCATENATE(B124,C124)</f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6"/>
      <c r="B125" s="4"/>
      <c r="C125" s="4"/>
      <c r="D125" s="7"/>
      <c r="E125" s="7"/>
      <c r="F125" s="8" t="str">
        <f t="shared" si="12"/>
        <v/>
      </c>
      <c r="G125" s="7" t="str">
        <f t="shared" si="13"/>
        <v/>
      </c>
      <c r="H125" s="5" t="str">
        <f t="shared" si="14"/>
        <v/>
      </c>
      <c r="I125" s="122" t="str">
        <f t="shared" si="15"/>
        <v/>
      </c>
      <c r="J125" s="7" t="str">
        <f t="shared" si="16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6"/>
      <c r="B126" s="4"/>
      <c r="C126" s="4"/>
      <c r="D126" s="7"/>
      <c r="E126" s="7"/>
      <c r="F126" s="8" t="str">
        <f t="shared" si="12"/>
        <v/>
      </c>
      <c r="G126" s="7" t="str">
        <f t="shared" si="13"/>
        <v/>
      </c>
      <c r="H126" s="5" t="str">
        <f t="shared" si="14"/>
        <v/>
      </c>
      <c r="I126" s="122" t="str">
        <f t="shared" si="15"/>
        <v/>
      </c>
      <c r="J126" s="7" t="str">
        <f t="shared" si="16"/>
        <v/>
      </c>
      <c r="K126" s="9" t="str">
        <f t="shared" ref="K126:K189" si="17">IF(OR(H126="",H126=0),L126,H126)</f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7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si="17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6"/>
      <c r="B188" s="4"/>
      <c r="C188" s="4"/>
      <c r="D188" s="7"/>
      <c r="E188" s="7"/>
      <c r="F188" s="8" t="str">
        <f t="shared" ref="F188:F251" si="18">IF(ISBLANK(B188),"",IF(I188="L","Baixa",IF(I188="A","Média",IF(I188="","","Alta"))))</f>
        <v/>
      </c>
      <c r="G188" s="7" t="str">
        <f t="shared" ref="G188:G251" si="19">CONCATENATE(B188,I188)</f>
        <v/>
      </c>
      <c r="H188" s="5" t="str">
        <f t="shared" ref="H188:H251" si="20">IF(ISBLANK(B188),"",IF(B188="ALI",IF(I188="L",7,IF(I188="A",10,15)),IF(B188="AIE",IF(I188="L",5,IF(I188="A",7,10)),IF(B188="SE",IF(I188="L",4,IF(I188="A",5,7)),IF(OR(B188="EE",B188="CE"),IF(I188="L",3,IF(I188="A",4,6)),0)))))</f>
        <v/>
      </c>
      <c r="I188" s="122" t="str">
        <f t="shared" ref="I188:I251" si="21">IF(OR(ISBLANK(D188),ISBLANK(E188)),IF(OR(B188="ALI",B188="AIE"),"L",IF(OR(B188="EE",B188="SE",B188="CE"),"A","")),IF(B188="EE",IF(E188&gt;=3,IF(D188&gt;=5,"H","A"),IF(E188&gt;=2,IF(D188&gt;=16,"H",IF(D188&lt;=4,"L","A")),IF(D188&lt;=15,"L","A"))),IF(OR(B188="SE",B188="CE"),IF(E188&gt;=4,IF(D188&gt;=6,"H","A"),IF(E188&gt;=2,IF(D188&gt;=20,"H",IF(D188&lt;=5,"L","A")),IF(D188&lt;=19,"L","A"))),IF(OR(B188="ALI",B188="AIE"),IF(E188&gt;=6,IF(D188&gt;=20,"H","A"),IF(E188&gt;=2,IF(D188&gt;=51,"H",IF(D188&lt;=19,"L","A")),IF(D188&lt;=50,"L","A"))),""))))</f>
        <v/>
      </c>
      <c r="J188" s="7" t="str">
        <f t="shared" ref="J188:J251" si="22">CONCATENATE(B188,C188)</f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26"/>
      <c r="B189" s="4"/>
      <c r="C189" s="4"/>
      <c r="D189" s="7"/>
      <c r="E189" s="7"/>
      <c r="F189" s="8" t="str">
        <f t="shared" si="18"/>
        <v/>
      </c>
      <c r="G189" s="7" t="str">
        <f t="shared" si="19"/>
        <v/>
      </c>
      <c r="H189" s="5" t="str">
        <f t="shared" si="20"/>
        <v/>
      </c>
      <c r="I189" s="122" t="str">
        <f t="shared" si="21"/>
        <v/>
      </c>
      <c r="J189" s="7" t="str">
        <f t="shared" si="22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6"/>
      <c r="B190" s="4"/>
      <c r="C190" s="4"/>
      <c r="D190" s="7"/>
      <c r="E190" s="7"/>
      <c r="F190" s="8" t="str">
        <f t="shared" si="18"/>
        <v/>
      </c>
      <c r="G190" s="7" t="str">
        <f t="shared" si="19"/>
        <v/>
      </c>
      <c r="H190" s="5" t="str">
        <f t="shared" si="20"/>
        <v/>
      </c>
      <c r="I190" s="122" t="str">
        <f t="shared" si="21"/>
        <v/>
      </c>
      <c r="J190" s="7" t="str">
        <f t="shared" si="22"/>
        <v/>
      </c>
      <c r="K190" s="9" t="str">
        <f t="shared" ref="K190:K253" si="23">IF(OR(H190="",H190=0),L190,H190)</f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2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si="2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26"/>
      <c r="B252" s="4"/>
      <c r="C252" s="4"/>
      <c r="D252" s="7"/>
      <c r="E252" s="7"/>
      <c r="F252" s="8" t="str">
        <f t="shared" ref="F252:F315" si="24">IF(ISBLANK(B252),"",IF(I252="L","Baixa",IF(I252="A","Média",IF(I252="","","Alta"))))</f>
        <v/>
      </c>
      <c r="G252" s="7" t="str">
        <f t="shared" ref="G252:G315" si="25">CONCATENATE(B252,I252)</f>
        <v/>
      </c>
      <c r="H252" s="5" t="str">
        <f t="shared" ref="H252:H315" si="26">IF(ISBLANK(B252),"",IF(B252="ALI",IF(I252="L",7,IF(I252="A",10,15)),IF(B252="AIE",IF(I252="L",5,IF(I252="A",7,10)),IF(B252="SE",IF(I252="L",4,IF(I252="A",5,7)),IF(OR(B252="EE",B252="CE"),IF(I252="L",3,IF(I252="A",4,6)),0)))))</f>
        <v/>
      </c>
      <c r="I252" s="122" t="str">
        <f t="shared" ref="I252:I315" si="27"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  <v/>
      </c>
      <c r="J252" s="7" t="str">
        <f t="shared" ref="J252:J315" si="28">CONCATENATE(B252,C252)</f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26"/>
      <c r="B253" s="4"/>
      <c r="C253" s="4"/>
      <c r="D253" s="7"/>
      <c r="E253" s="7"/>
      <c r="F253" s="8" t="str">
        <f t="shared" si="24"/>
        <v/>
      </c>
      <c r="G253" s="7" t="str">
        <f t="shared" si="25"/>
        <v/>
      </c>
      <c r="H253" s="5" t="str">
        <f t="shared" si="26"/>
        <v/>
      </c>
      <c r="I253" s="122" t="str">
        <f t="shared" si="27"/>
        <v/>
      </c>
      <c r="J253" s="7" t="str">
        <f t="shared" si="28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26"/>
      <c r="B254" s="4"/>
      <c r="C254" s="4"/>
      <c r="D254" s="7"/>
      <c r="E254" s="7"/>
      <c r="F254" s="8" t="str">
        <f t="shared" si="24"/>
        <v/>
      </c>
      <c r="G254" s="7" t="str">
        <f t="shared" si="25"/>
        <v/>
      </c>
      <c r="H254" s="5" t="str">
        <f t="shared" si="26"/>
        <v/>
      </c>
      <c r="I254" s="122" t="str">
        <f t="shared" si="27"/>
        <v/>
      </c>
      <c r="J254" s="7" t="str">
        <f t="shared" si="28"/>
        <v/>
      </c>
      <c r="K254" s="9" t="str">
        <f t="shared" ref="K254:K317" si="29">IF(OR(H254="",H254=0),L254,H254)</f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9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si="29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26"/>
      <c r="B316" s="4"/>
      <c r="C316" s="4"/>
      <c r="D316" s="7"/>
      <c r="E316" s="7"/>
      <c r="F316" s="8" t="str">
        <f t="shared" ref="F316:F379" si="30">IF(ISBLANK(B316),"",IF(I316="L","Baixa",IF(I316="A","Média",IF(I316="","","Alta"))))</f>
        <v/>
      </c>
      <c r="G316" s="7" t="str">
        <f t="shared" ref="G316:G379" si="31">CONCATENATE(B316,I316)</f>
        <v/>
      </c>
      <c r="H316" s="5" t="str">
        <f t="shared" ref="H316:H379" si="32">IF(ISBLANK(B316),"",IF(B316="ALI",IF(I316="L",7,IF(I316="A",10,15)),IF(B316="AIE",IF(I316="L",5,IF(I316="A",7,10)),IF(B316="SE",IF(I316="L",4,IF(I316="A",5,7)),IF(OR(B316="EE",B316="CE"),IF(I316="L",3,IF(I316="A",4,6)),0)))))</f>
        <v/>
      </c>
      <c r="I316" s="122" t="str">
        <f t="shared" ref="I316:I379" si="33">IF(OR(ISBLANK(D316),ISBLANK(E316)),IF(OR(B316="ALI",B316="AIE"),"L",IF(OR(B316="EE",B316="SE",B316="CE"),"A","")),IF(B316="EE",IF(E316&gt;=3,IF(D316&gt;=5,"H","A"),IF(E316&gt;=2,IF(D316&gt;=16,"H",IF(D316&lt;=4,"L","A")),IF(D316&lt;=15,"L","A"))),IF(OR(B316="SE",B316="CE"),IF(E316&gt;=4,IF(D316&gt;=6,"H","A"),IF(E316&gt;=2,IF(D316&gt;=20,"H",IF(D316&lt;=5,"L","A")),IF(D316&lt;=19,"L","A"))),IF(OR(B316="ALI",B316="AIE"),IF(E316&gt;=6,IF(D316&gt;=20,"H","A"),IF(E316&gt;=2,IF(D316&gt;=51,"H",IF(D316&lt;=19,"L","A")),IF(D316&lt;=50,"L","A"))),""))))</f>
        <v/>
      </c>
      <c r="J316" s="7" t="str">
        <f t="shared" ref="J316:J379" si="34">CONCATENATE(B316,C316)</f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26"/>
      <c r="B317" s="4"/>
      <c r="C317" s="4"/>
      <c r="D317" s="7"/>
      <c r="E317" s="7"/>
      <c r="F317" s="8" t="str">
        <f t="shared" si="30"/>
        <v/>
      </c>
      <c r="G317" s="7" t="str">
        <f t="shared" si="31"/>
        <v/>
      </c>
      <c r="H317" s="5" t="str">
        <f t="shared" si="32"/>
        <v/>
      </c>
      <c r="I317" s="122" t="str">
        <f t="shared" si="33"/>
        <v/>
      </c>
      <c r="J317" s="7" t="str">
        <f t="shared" si="34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26"/>
      <c r="B318" s="4"/>
      <c r="C318" s="4"/>
      <c r="D318" s="7"/>
      <c r="E318" s="7"/>
      <c r="F318" s="8" t="str">
        <f t="shared" si="30"/>
        <v/>
      </c>
      <c r="G318" s="7" t="str">
        <f t="shared" si="31"/>
        <v/>
      </c>
      <c r="H318" s="5" t="str">
        <f t="shared" si="32"/>
        <v/>
      </c>
      <c r="I318" s="122" t="str">
        <f t="shared" si="33"/>
        <v/>
      </c>
      <c r="J318" s="7" t="str">
        <f t="shared" si="34"/>
        <v/>
      </c>
      <c r="K318" s="9" t="str">
        <f t="shared" ref="K318:K381" si="35">IF(OR(H318="",H318=0),L318,H318)</f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35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si="35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26"/>
      <c r="B380" s="4"/>
      <c r="C380" s="4"/>
      <c r="D380" s="7"/>
      <c r="E380" s="7"/>
      <c r="F380" s="8" t="str">
        <f t="shared" ref="F380:F443" si="36">IF(ISBLANK(B380),"",IF(I380="L","Baixa",IF(I380="A","Média",IF(I380="","","Alta"))))</f>
        <v/>
      </c>
      <c r="G380" s="7" t="str">
        <f t="shared" ref="G380:G443" si="37">CONCATENATE(B380,I380)</f>
        <v/>
      </c>
      <c r="H380" s="5" t="str">
        <f t="shared" ref="H380:H443" si="38">IF(ISBLANK(B380),"",IF(B380="ALI",IF(I380="L",7,IF(I380="A",10,15)),IF(B380="AIE",IF(I380="L",5,IF(I380="A",7,10)),IF(B380="SE",IF(I380="L",4,IF(I380="A",5,7)),IF(OR(B380="EE",B380="CE"),IF(I380="L",3,IF(I380="A",4,6)),0)))))</f>
        <v/>
      </c>
      <c r="I380" s="122" t="str">
        <f t="shared" ref="I380:I443" si="39">IF(OR(ISBLANK(D380),ISBLANK(E380)),IF(OR(B380="ALI",B380="AIE"),"L",IF(OR(B380="EE",B380="SE",B380="CE"),"A","")),IF(B380="EE",IF(E380&gt;=3,IF(D380&gt;=5,"H","A"),IF(E380&gt;=2,IF(D380&gt;=16,"H",IF(D380&lt;=4,"L","A")),IF(D380&lt;=15,"L","A"))),IF(OR(B380="SE",B380="CE"),IF(E380&gt;=4,IF(D380&gt;=6,"H","A"),IF(E380&gt;=2,IF(D380&gt;=20,"H",IF(D380&lt;=5,"L","A")),IF(D380&lt;=19,"L","A"))),IF(OR(B380="ALI",B380="AIE"),IF(E380&gt;=6,IF(D380&gt;=20,"H","A"),IF(E380&gt;=2,IF(D380&gt;=51,"H",IF(D380&lt;=19,"L","A")),IF(D380&lt;=50,"L","A"))),""))))</f>
        <v/>
      </c>
      <c r="J380" s="7" t="str">
        <f t="shared" ref="J380:J443" si="40">CONCATENATE(B380,C380)</f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26"/>
      <c r="B381" s="4"/>
      <c r="C381" s="4"/>
      <c r="D381" s="7"/>
      <c r="E381" s="7"/>
      <c r="F381" s="8" t="str">
        <f t="shared" si="36"/>
        <v/>
      </c>
      <c r="G381" s="7" t="str">
        <f t="shared" si="37"/>
        <v/>
      </c>
      <c r="H381" s="5" t="str">
        <f t="shared" si="38"/>
        <v/>
      </c>
      <c r="I381" s="122" t="str">
        <f t="shared" si="39"/>
        <v/>
      </c>
      <c r="J381" s="7" t="str">
        <f t="shared" si="40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26"/>
      <c r="B382" s="4"/>
      <c r="C382" s="4"/>
      <c r="D382" s="7"/>
      <c r="E382" s="7"/>
      <c r="F382" s="8" t="str">
        <f t="shared" si="36"/>
        <v/>
      </c>
      <c r="G382" s="7" t="str">
        <f t="shared" si="37"/>
        <v/>
      </c>
      <c r="H382" s="5" t="str">
        <f t="shared" si="38"/>
        <v/>
      </c>
      <c r="I382" s="122" t="str">
        <f t="shared" si="39"/>
        <v/>
      </c>
      <c r="J382" s="7" t="str">
        <f t="shared" si="40"/>
        <v/>
      </c>
      <c r="K382" s="9" t="str">
        <f t="shared" ref="K382:K445" si="41">IF(OR(H382="",H382=0),L382,H382)</f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41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si="41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26"/>
      <c r="B444" s="4"/>
      <c r="C444" s="4"/>
      <c r="D444" s="7"/>
      <c r="E444" s="7"/>
      <c r="F444" s="8" t="str">
        <f t="shared" ref="F444:F467" si="42">IF(ISBLANK(B444),"",IF(I444="L","Baixa",IF(I444="A","Média",IF(I444="","","Alta"))))</f>
        <v/>
      </c>
      <c r="G444" s="7" t="str">
        <f t="shared" ref="G444:G467" si="43">CONCATENATE(B444,I444)</f>
        <v/>
      </c>
      <c r="H444" s="5" t="str">
        <f t="shared" ref="H444:H467" si="44">IF(ISBLANK(B444),"",IF(B444="ALI",IF(I444="L",7,IF(I444="A",10,15)),IF(B444="AIE",IF(I444="L",5,IF(I444="A",7,10)),IF(B444="SE",IF(I444="L",4,IF(I444="A",5,7)),IF(OR(B444="EE",B444="CE"),IF(I444="L",3,IF(I444="A",4,6)),0)))))</f>
        <v/>
      </c>
      <c r="I444" s="122" t="str">
        <f t="shared" ref="I444:I467" si="45">IF(OR(ISBLANK(D444),ISBLANK(E444)),IF(OR(B444="ALI",B444="AIE"),"L",IF(OR(B444="EE",B444="SE",B444="CE"),"A","")),IF(B444="EE",IF(E444&gt;=3,IF(D444&gt;=5,"H","A"),IF(E444&gt;=2,IF(D444&gt;=16,"H",IF(D444&lt;=4,"L","A")),IF(D444&lt;=15,"L","A"))),IF(OR(B444="SE",B444="CE"),IF(E444&gt;=4,IF(D444&gt;=6,"H","A"),IF(E444&gt;=2,IF(D444&gt;=20,"H",IF(D444&lt;=5,"L","A")),IF(D444&lt;=19,"L","A"))),IF(OR(B444="ALI",B444="AIE"),IF(E444&gt;=6,IF(D444&gt;=20,"H","A"),IF(E444&gt;=2,IF(D444&gt;=51,"H",IF(D444&lt;=19,"L","A")),IF(D444&lt;=50,"L","A"))),""))))</f>
        <v/>
      </c>
      <c r="J444" s="7" t="str">
        <f t="shared" ref="J444:J467" si="46">CONCATENATE(B444,C444)</f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26"/>
      <c r="B445" s="4"/>
      <c r="C445" s="4"/>
      <c r="D445" s="7"/>
      <c r="E445" s="7"/>
      <c r="F445" s="8" t="str">
        <f t="shared" si="42"/>
        <v/>
      </c>
      <c r="G445" s="7" t="str">
        <f t="shared" si="43"/>
        <v/>
      </c>
      <c r="H445" s="5" t="str">
        <f t="shared" si="44"/>
        <v/>
      </c>
      <c r="I445" s="122" t="str">
        <f t="shared" si="45"/>
        <v/>
      </c>
      <c r="J445" s="7" t="str">
        <f t="shared" si="46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26"/>
      <c r="B446" s="4"/>
      <c r="C446" s="4"/>
      <c r="D446" s="7"/>
      <c r="E446" s="7"/>
      <c r="F446" s="8" t="str">
        <f t="shared" si="42"/>
        <v/>
      </c>
      <c r="G446" s="7" t="str">
        <f t="shared" si="43"/>
        <v/>
      </c>
      <c r="H446" s="5" t="str">
        <f t="shared" si="44"/>
        <v/>
      </c>
      <c r="I446" s="122" t="str">
        <f t="shared" si="45"/>
        <v/>
      </c>
      <c r="J446" s="7" t="str">
        <f t="shared" si="46"/>
        <v/>
      </c>
      <c r="K446" s="9" t="str">
        <f t="shared" ref="K446:K467" si="47">IF(OR(H446="",H446=0),L446,H446)</f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7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si="47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ht="13" thickBot="1" x14ac:dyDescent="0.3">
      <c r="A467" s="127"/>
      <c r="B467" s="11"/>
      <c r="C467" s="11"/>
      <c r="D467" s="12"/>
      <c r="E467" s="12"/>
      <c r="F467" s="13" t="str">
        <f t="shared" si="42"/>
        <v/>
      </c>
      <c r="G467" s="14" t="str">
        <f t="shared" si="43"/>
        <v/>
      </c>
      <c r="H467" s="15" t="str">
        <f t="shared" si="44"/>
        <v/>
      </c>
      <c r="I467" s="123" t="str">
        <f t="shared" si="45"/>
        <v/>
      </c>
      <c r="J467" s="124" t="str">
        <f t="shared" si="46"/>
        <v/>
      </c>
      <c r="K467" s="16" t="str">
        <f t="shared" si="47"/>
        <v/>
      </c>
      <c r="L467" s="16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7"/>
      <c r="N467" s="17"/>
      <c r="O467" s="18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467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7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7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&amp;C&amp;"Calibri"&amp;11&amp;K000000Página &amp;P de &amp;N_x000D_&amp;1#&amp;"Arial"&amp;6&amp;K626469Internal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6" activePane="bottomLeft" state="frozen"/>
      <selection activeCell="B11" sqref="B11"/>
      <selection pane="bottomLeft" activeCell="B3" sqref="B3:E3"/>
    </sheetView>
  </sheetViews>
  <sheetFormatPr defaultColWidth="11.453125" defaultRowHeight="12.5" x14ac:dyDescent="0.25"/>
  <cols>
    <col min="4" max="4" width="10.7265625" customWidth="1"/>
    <col min="5" max="5" width="23.26953125" customWidth="1"/>
    <col min="6" max="6" width="53.26953125" customWidth="1"/>
    <col min="7" max="7" width="7.7265625" style="19" customWidth="1"/>
    <col min="8" max="8" width="13.26953125" style="20" customWidth="1"/>
    <col min="9" max="9" width="9.81640625" style="20" customWidth="1"/>
    <col min="10" max="11" width="10.453125" style="21" customWidth="1"/>
    <col min="12" max="12" width="0" style="19" hidden="1" customWidth="1"/>
  </cols>
  <sheetData>
    <row r="1" spans="1:12" ht="36.65" customHeight="1" x14ac:dyDescent="0.35">
      <c r="A1" s="139" t="s">
        <v>30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22"/>
    </row>
    <row r="2" spans="1:12" ht="14.9" customHeight="1" x14ac:dyDescent="0.25">
      <c r="A2" s="156" t="s">
        <v>31</v>
      </c>
      <c r="B2" s="156"/>
      <c r="C2" s="156"/>
      <c r="D2" s="156"/>
      <c r="E2" s="156"/>
      <c r="F2" s="156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9" customHeight="1" x14ac:dyDescent="0.25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5">
      <c r="A4" s="3" t="s">
        <v>39</v>
      </c>
      <c r="B4" s="136" t="s">
        <v>40</v>
      </c>
      <c r="C4" s="136"/>
      <c r="D4" s="136"/>
      <c r="E4" s="136"/>
      <c r="F4" s="2"/>
      <c r="G4" s="25" t="s">
        <v>41</v>
      </c>
      <c r="H4" s="104">
        <v>1</v>
      </c>
      <c r="I4" s="105"/>
      <c r="J4" s="106">
        <f>SUMIF(Funções!$C$8:$C$467,Deflatores!G4,Funções!$H$8:$H$467)</f>
        <v>0</v>
      </c>
      <c r="K4" s="107">
        <f>IF(H4="",COUNTIF(Funções!C$8:C$467,G4)*I4,H4*J4)</f>
        <v>0</v>
      </c>
    </row>
    <row r="5" spans="1:12" x14ac:dyDescent="0.25">
      <c r="A5" s="3" t="s">
        <v>42</v>
      </c>
      <c r="B5" s="136" t="s">
        <v>43</v>
      </c>
      <c r="C5" s="136"/>
      <c r="D5" s="136"/>
      <c r="E5" s="136"/>
      <c r="F5" s="2" t="s">
        <v>48</v>
      </c>
      <c r="G5" s="25" t="s">
        <v>44</v>
      </c>
      <c r="H5" s="104">
        <v>0.5</v>
      </c>
      <c r="I5" s="105"/>
      <c r="J5" s="106">
        <f>SUMIF(Funções!$C$8:$C$467,Deflatores!G5,Funções!$H$8:$H$467)</f>
        <v>0</v>
      </c>
      <c r="K5" s="107">
        <f>IF(H5="",COUNTIF(Funções!C$8:C$467,G5)*I5,H5*J5)</f>
        <v>0</v>
      </c>
    </row>
    <row r="6" spans="1:12" x14ac:dyDescent="0.25">
      <c r="A6" s="3" t="s">
        <v>45</v>
      </c>
      <c r="B6" s="136" t="s">
        <v>46</v>
      </c>
      <c r="C6" s="136"/>
      <c r="D6" s="136"/>
      <c r="E6" s="136"/>
      <c r="F6" s="2" t="s">
        <v>48</v>
      </c>
      <c r="G6" s="25" t="s">
        <v>47</v>
      </c>
      <c r="H6" s="104">
        <v>0.4</v>
      </c>
      <c r="I6" s="105"/>
      <c r="J6" s="106">
        <f>SUMIF(Funções!$C$8:$C$467,Deflatores!G6,Funções!$H$8:$H$467)</f>
        <v>0</v>
      </c>
      <c r="K6" s="107">
        <f>IF(H6="",COUNTIF(Funções!C$8:C$467,G6)*I6,H6*J6)</f>
        <v>0</v>
      </c>
    </row>
    <row r="7" spans="1:12" x14ac:dyDescent="0.25">
      <c r="A7" s="3"/>
      <c r="B7" s="136" t="s">
        <v>150</v>
      </c>
      <c r="C7" s="136"/>
      <c r="D7" s="136"/>
      <c r="E7" s="136"/>
      <c r="F7" s="2" t="s">
        <v>48</v>
      </c>
      <c r="G7" s="25" t="s">
        <v>49</v>
      </c>
      <c r="H7" s="104">
        <v>0.5</v>
      </c>
      <c r="I7" s="105"/>
      <c r="J7" s="106">
        <f>SUMIF(Funções!$C$8:$C$467,Deflatores!G7,Funções!$H$8:$H$467)</f>
        <v>0</v>
      </c>
      <c r="K7" s="107">
        <f>IF(H7="",COUNTIF(Funções!C$8:C$467,G7)*I7,H7*J7)</f>
        <v>0</v>
      </c>
    </row>
    <row r="8" spans="1:12" x14ac:dyDescent="0.25">
      <c r="A8" s="3"/>
      <c r="B8" s="136" t="s">
        <v>151</v>
      </c>
      <c r="C8" s="136"/>
      <c r="D8" s="136"/>
      <c r="E8" s="136"/>
      <c r="F8" s="2" t="s">
        <v>48</v>
      </c>
      <c r="G8" s="25" t="s">
        <v>50</v>
      </c>
      <c r="H8" s="104">
        <v>0.75</v>
      </c>
      <c r="I8" s="105"/>
      <c r="J8" s="106">
        <f>SUMIF(Funções!$C$8:$C$467,Deflatores!G8,Funções!$H$8:$H$467)</f>
        <v>0</v>
      </c>
      <c r="K8" s="107">
        <f>IF(H8="",COUNTIF(Funções!C$8:C$467,G8)*I8,H8*J8)</f>
        <v>0</v>
      </c>
    </row>
    <row r="9" spans="1:12" x14ac:dyDescent="0.25">
      <c r="A9" s="3"/>
      <c r="B9" s="136" t="s">
        <v>152</v>
      </c>
      <c r="C9" s="136"/>
      <c r="D9" s="136"/>
      <c r="E9" s="136"/>
      <c r="F9" s="2" t="s">
        <v>48</v>
      </c>
      <c r="G9" s="25" t="s">
        <v>51</v>
      </c>
      <c r="H9" s="104">
        <v>0.9</v>
      </c>
      <c r="I9" s="105"/>
      <c r="J9" s="106">
        <f>SUMIF(Funções!$C$8:$C$467,Deflatores!G9,Funções!$H$8:$H$467)</f>
        <v>0</v>
      </c>
      <c r="K9" s="107">
        <f>IF(H9="",COUNTIF(Funções!C$8:C$467,G9)*I9,H9*J9)</f>
        <v>0</v>
      </c>
    </row>
    <row r="10" spans="1:12" x14ac:dyDescent="0.25">
      <c r="A10" s="3"/>
      <c r="B10" s="136" t="s">
        <v>52</v>
      </c>
      <c r="C10" s="136"/>
      <c r="D10" s="136"/>
      <c r="E10" s="136"/>
      <c r="F10" s="2" t="s">
        <v>53</v>
      </c>
      <c r="G10" s="25" t="s">
        <v>54</v>
      </c>
      <c r="H10" s="104">
        <v>1</v>
      </c>
      <c r="I10" s="105"/>
      <c r="J10" s="106">
        <f>SUMIF(Funções!$C$8:$C$467,Deflatores!G10,Funções!$H$8:$H$467)</f>
        <v>0</v>
      </c>
      <c r="K10" s="107">
        <f>IF(H10="",COUNTIF(Funções!C$8:C$467,G10)*I10,H10*J10)</f>
        <v>0</v>
      </c>
    </row>
    <row r="11" spans="1:12" x14ac:dyDescent="0.25">
      <c r="A11" s="3"/>
      <c r="B11" s="136" t="s">
        <v>55</v>
      </c>
      <c r="C11" s="136"/>
      <c r="D11" s="136"/>
      <c r="E11" s="136"/>
      <c r="F11" s="2" t="s">
        <v>56</v>
      </c>
      <c r="G11" s="25" t="s">
        <v>57</v>
      </c>
      <c r="H11" s="104">
        <v>0.5</v>
      </c>
      <c r="I11" s="105"/>
      <c r="J11" s="106">
        <f>SUMIF(Funções!$C$8:$C$467,Deflatores!G11,Funções!$H$8:$H$467)</f>
        <v>0</v>
      </c>
      <c r="K11" s="107">
        <f>IF(H11="",COUNTIF(Funções!C$8:C$467,G11)*I11,H11*J11)</f>
        <v>0</v>
      </c>
    </row>
    <row r="12" spans="1:12" ht="13.5" customHeight="1" x14ac:dyDescent="0.25">
      <c r="A12" s="3"/>
      <c r="B12" s="136" t="s">
        <v>146</v>
      </c>
      <c r="C12" s="136"/>
      <c r="D12" s="136"/>
      <c r="E12" s="136"/>
      <c r="F12" s="2" t="s">
        <v>56</v>
      </c>
      <c r="G12" s="25" t="s">
        <v>58</v>
      </c>
      <c r="H12" s="104">
        <v>0.5</v>
      </c>
      <c r="I12" s="105"/>
      <c r="J12" s="106">
        <f>SUMIF(Funções!$C$8:$C$467,Deflatores!G12,Funções!$H$8:$H$467)</f>
        <v>0</v>
      </c>
      <c r="K12" s="107">
        <f>IF(H12="",COUNTIF(Funções!C$8:C$467,G12)*I12,H12*J12)</f>
        <v>0</v>
      </c>
    </row>
    <row r="13" spans="1:12" ht="13.5" customHeight="1" x14ac:dyDescent="0.25">
      <c r="A13" s="3"/>
      <c r="B13" s="136" t="s">
        <v>147</v>
      </c>
      <c r="C13" s="136"/>
      <c r="D13" s="136"/>
      <c r="E13" s="136"/>
      <c r="F13" s="2" t="s">
        <v>56</v>
      </c>
      <c r="G13" s="25" t="s">
        <v>59</v>
      </c>
      <c r="H13" s="104">
        <v>0.75</v>
      </c>
      <c r="I13" s="105"/>
      <c r="J13" s="106">
        <f>SUMIF(Funções!$C$8:$C$467,Deflatores!G13,Funções!$H$8:$H$467)</f>
        <v>0</v>
      </c>
      <c r="K13" s="107">
        <f>IF(H13="",COUNTIF(Funções!C$8:C$467,G13)*I13,H13*J13)</f>
        <v>0</v>
      </c>
    </row>
    <row r="14" spans="1:12" ht="13.5" customHeight="1" x14ac:dyDescent="0.25">
      <c r="A14" s="3"/>
      <c r="B14" s="136" t="s">
        <v>148</v>
      </c>
      <c r="C14" s="136"/>
      <c r="D14" s="136"/>
      <c r="E14" s="136"/>
      <c r="F14" s="2" t="s">
        <v>56</v>
      </c>
      <c r="G14" s="25" t="s">
        <v>149</v>
      </c>
      <c r="H14" s="104">
        <v>0.9</v>
      </c>
      <c r="I14" s="105"/>
      <c r="J14" s="106">
        <f>SUMIF(Funções!$C$8:$C$467,Deflatores!G14,Funções!$H$8:$H$467)</f>
        <v>0</v>
      </c>
      <c r="K14" s="107">
        <f>IF(H14="",COUNTIF(Funções!C$8:C$467,G14)*I14,H14*J14)</f>
        <v>0</v>
      </c>
    </row>
    <row r="15" spans="1:12" ht="13.5" customHeight="1" x14ac:dyDescent="0.25">
      <c r="A15" s="3"/>
      <c r="B15" s="136" t="s">
        <v>60</v>
      </c>
      <c r="C15" s="136"/>
      <c r="D15" s="136"/>
      <c r="E15" s="136"/>
      <c r="F15" s="2" t="s">
        <v>56</v>
      </c>
      <c r="G15" s="25" t="s">
        <v>61</v>
      </c>
      <c r="H15" s="104">
        <v>0</v>
      </c>
      <c r="I15" s="105"/>
      <c r="J15" s="106">
        <f>SUMIF(Funções!$C$8:$C$467,Deflatores!G15,Funções!$H$8:$H$467)</f>
        <v>0</v>
      </c>
      <c r="K15" s="107">
        <f>IF(H15="",COUNTIF(Funções!C$8:C$467,G15)*I15,H15*J15)</f>
        <v>0</v>
      </c>
    </row>
    <row r="16" spans="1:12" ht="13.5" customHeight="1" x14ac:dyDescent="0.25">
      <c r="A16" s="3"/>
      <c r="B16" s="136" t="s">
        <v>62</v>
      </c>
      <c r="C16" s="136"/>
      <c r="D16" s="136"/>
      <c r="E16" s="136"/>
      <c r="F16" s="2" t="s">
        <v>63</v>
      </c>
      <c r="G16" s="25" t="s">
        <v>64</v>
      </c>
      <c r="H16" s="104">
        <v>1</v>
      </c>
      <c r="I16" s="105"/>
      <c r="J16" s="106">
        <f>SUMIF(Funções!$C$8:$C$467,Deflatores!G16,Funções!$H$8:$H$467)</f>
        <v>0</v>
      </c>
      <c r="K16" s="107">
        <f>IF(H16="",COUNTIF(Funções!C$8:C$467,G16)*I16,H16*J16)</f>
        <v>0</v>
      </c>
    </row>
    <row r="17" spans="1:11" x14ac:dyDescent="0.25">
      <c r="A17" s="3"/>
      <c r="B17" s="136" t="s">
        <v>168</v>
      </c>
      <c r="C17" s="136"/>
      <c r="D17" s="136"/>
      <c r="E17" s="136"/>
      <c r="F17" s="2" t="s">
        <v>65</v>
      </c>
      <c r="G17" s="25" t="s">
        <v>161</v>
      </c>
      <c r="H17" s="104">
        <v>1</v>
      </c>
      <c r="I17" s="105"/>
      <c r="J17" s="106">
        <f>SUMIF(Funções!$C$8:$C$467,Deflatores!G17,Funções!$H$8:$H$467)</f>
        <v>0</v>
      </c>
      <c r="K17" s="107">
        <f>IF(H17="",COUNTIF(Funções!C$8:C$467,G17)*I17,H17*J17)</f>
        <v>0</v>
      </c>
    </row>
    <row r="18" spans="1:11" ht="13.5" customHeight="1" x14ac:dyDescent="0.25">
      <c r="A18" s="3"/>
      <c r="B18" s="136" t="s">
        <v>169</v>
      </c>
      <c r="C18" s="136"/>
      <c r="D18" s="136"/>
      <c r="E18" s="136"/>
      <c r="F18" s="2" t="s">
        <v>65</v>
      </c>
      <c r="G18" s="25" t="s">
        <v>162</v>
      </c>
      <c r="H18" s="104">
        <v>0.3</v>
      </c>
      <c r="I18" s="105"/>
      <c r="J18" s="106">
        <f>SUMIF(Funções!$C$8:$C$467,Deflatores!G18,Funções!$H$8:$H$467)</f>
        <v>0</v>
      </c>
      <c r="K18" s="107">
        <f>IF(H18="",COUNTIF(Funções!C$8:C$467,G18)*I18,H18*J18)</f>
        <v>0</v>
      </c>
    </row>
    <row r="19" spans="1:11" ht="13.5" customHeight="1" x14ac:dyDescent="0.25">
      <c r="A19" s="3"/>
      <c r="B19" s="136" t="s">
        <v>66</v>
      </c>
      <c r="C19" s="136"/>
      <c r="D19" s="136"/>
      <c r="E19" s="136"/>
      <c r="F19" s="2" t="s">
        <v>67</v>
      </c>
      <c r="G19" s="25" t="s">
        <v>68</v>
      </c>
      <c r="H19" s="104">
        <v>0.3</v>
      </c>
      <c r="I19" s="105"/>
      <c r="J19" s="106">
        <f>SUMIF(Funções!$C$8:$C$467,Deflatores!G19,Funções!$H$8:$H$467)</f>
        <v>0</v>
      </c>
      <c r="K19" s="107">
        <f>IF(H19="",COUNTIF(Funções!C$8:C$467,G19)*I19,H19*J19)</f>
        <v>0</v>
      </c>
    </row>
    <row r="20" spans="1:11" ht="13.5" customHeight="1" x14ac:dyDescent="0.25">
      <c r="A20" s="3"/>
      <c r="B20" s="136" t="s">
        <v>69</v>
      </c>
      <c r="C20" s="136"/>
      <c r="D20" s="136"/>
      <c r="E20" s="136"/>
      <c r="F20" s="2" t="s">
        <v>70</v>
      </c>
      <c r="G20" s="25" t="s">
        <v>71</v>
      </c>
      <c r="H20" s="104">
        <v>0.3</v>
      </c>
      <c r="I20" s="105"/>
      <c r="J20" s="106">
        <f>SUMIF(Funções!$C$8:$C$467,Deflatores!G20,Funções!$H$8:$H$467)</f>
        <v>0</v>
      </c>
      <c r="K20" s="107">
        <f>IF(H20="",COUNTIF(Funções!C$8:C$467,G20)*I20,H20*J20)</f>
        <v>0</v>
      </c>
    </row>
    <row r="21" spans="1:11" ht="13.5" customHeight="1" x14ac:dyDescent="0.25">
      <c r="A21" s="3"/>
      <c r="B21" s="136" t="s">
        <v>72</v>
      </c>
      <c r="C21" s="136"/>
      <c r="D21" s="136"/>
      <c r="E21" s="136"/>
      <c r="F21" s="2" t="s">
        <v>73</v>
      </c>
      <c r="G21" s="25" t="s">
        <v>74</v>
      </c>
      <c r="H21" s="104">
        <v>0.3</v>
      </c>
      <c r="I21" s="105"/>
      <c r="J21" s="106">
        <f>SUMIF(Funções!$C$8:$C$467,Deflatores!G21,Funções!$H$8:$H$467)</f>
        <v>0</v>
      </c>
      <c r="K21" s="107">
        <f>IF(H21="",COUNTIF(Funções!C$8:C$467,G21)*I21,H21*J21)</f>
        <v>0</v>
      </c>
    </row>
    <row r="22" spans="1:11" x14ac:dyDescent="0.25">
      <c r="A22" s="3"/>
      <c r="B22" s="136" t="s">
        <v>75</v>
      </c>
      <c r="C22" s="136"/>
      <c r="D22" s="136"/>
      <c r="E22" s="136"/>
      <c r="F22" s="2" t="s">
        <v>76</v>
      </c>
      <c r="G22" s="25" t="s">
        <v>77</v>
      </c>
      <c r="H22" s="104"/>
      <c r="I22" s="105">
        <v>0.6</v>
      </c>
      <c r="J22" s="106">
        <f>SUMIF(Funções!$C$8:$C$467,Deflatores!G22,Funções!$H$8:$H$467)</f>
        <v>0</v>
      </c>
      <c r="K22" s="107">
        <f>IF(H22="",COUNTIF(Funções!C$8:C$467,G22)*I22,H22*J22)</f>
        <v>0</v>
      </c>
    </row>
    <row r="23" spans="1:11" ht="27" customHeight="1" x14ac:dyDescent="0.25">
      <c r="A23" s="3"/>
      <c r="B23" s="158" t="s">
        <v>154</v>
      </c>
      <c r="C23" s="159"/>
      <c r="D23" s="159"/>
      <c r="E23" s="160"/>
      <c r="F23" s="103" t="s">
        <v>78</v>
      </c>
      <c r="G23" s="25" t="s">
        <v>153</v>
      </c>
      <c r="H23" s="104">
        <v>0.5</v>
      </c>
      <c r="I23" s="105"/>
      <c r="J23" s="106">
        <f>SUMIF(Funções!$C$8:$C$467,Deflatores!G23,Funções!$H$8:$H$467)</f>
        <v>0</v>
      </c>
      <c r="K23" s="107">
        <f>IF(H23="",COUNTIF(Funções!C$8:C$467,G23)*I23,H23*J23)</f>
        <v>0</v>
      </c>
    </row>
    <row r="24" spans="1:11" ht="27" customHeight="1" x14ac:dyDescent="0.25">
      <c r="A24" s="3"/>
      <c r="B24" s="158" t="s">
        <v>155</v>
      </c>
      <c r="C24" s="159"/>
      <c r="D24" s="159"/>
      <c r="E24" s="160"/>
      <c r="F24" s="103" t="s">
        <v>78</v>
      </c>
      <c r="G24" s="25" t="s">
        <v>79</v>
      </c>
      <c r="H24" s="104">
        <v>0.5</v>
      </c>
      <c r="I24" s="105"/>
      <c r="J24" s="106">
        <f>SUMIF(Funções!$C$8:$C$467,Deflatores!G24,Funções!$H$8:$H$467)</f>
        <v>0</v>
      </c>
      <c r="K24" s="107">
        <f>IF(H24="",COUNTIF(Funções!C$8:C$467,G24)*I24,H24*J24)</f>
        <v>0</v>
      </c>
    </row>
    <row r="25" spans="1:11" ht="27" customHeight="1" x14ac:dyDescent="0.25">
      <c r="A25" s="3"/>
      <c r="B25" s="157" t="s">
        <v>156</v>
      </c>
      <c r="C25" s="136"/>
      <c r="D25" s="136"/>
      <c r="E25" s="136"/>
      <c r="F25" s="103" t="s">
        <v>78</v>
      </c>
      <c r="G25" s="25" t="s">
        <v>80</v>
      </c>
      <c r="H25" s="104">
        <v>0.75</v>
      </c>
      <c r="I25" s="105"/>
      <c r="J25" s="106">
        <f>SUMIF(Funções!$C$8:$C$467,Deflatores!G25,Funções!$H$8:$H$467)</f>
        <v>0</v>
      </c>
      <c r="K25" s="107">
        <f>IF(H25="",COUNTIF(Funções!C$8:C$467,G25)*I25,H25*J25)</f>
        <v>0</v>
      </c>
    </row>
    <row r="26" spans="1:11" ht="13.5" customHeight="1" x14ac:dyDescent="0.25">
      <c r="A26" s="3"/>
      <c r="B26" s="136" t="s">
        <v>167</v>
      </c>
      <c r="C26" s="136"/>
      <c r="D26" s="136"/>
      <c r="E26" s="136"/>
      <c r="F26" s="2" t="s">
        <v>81</v>
      </c>
      <c r="G26" s="25" t="s">
        <v>82</v>
      </c>
      <c r="H26" s="104">
        <v>1</v>
      </c>
      <c r="I26" s="105"/>
      <c r="J26" s="106">
        <f>SUMIF(Funções!$C$8:$C$467,Deflatores!G26,Funções!$H$8:$H$467)</f>
        <v>0</v>
      </c>
      <c r="K26" s="107">
        <f>IF(H26="",COUNTIF(Funções!C$8:C$467,G26)*I26,H26*J26)</f>
        <v>0</v>
      </c>
    </row>
    <row r="27" spans="1:11" ht="13.5" customHeight="1" x14ac:dyDescent="0.25">
      <c r="A27" s="3"/>
      <c r="B27" s="136" t="s">
        <v>166</v>
      </c>
      <c r="C27" s="136"/>
      <c r="D27" s="136"/>
      <c r="E27" s="136"/>
      <c r="F27" s="2" t="s">
        <v>81</v>
      </c>
      <c r="G27" s="25" t="s">
        <v>83</v>
      </c>
      <c r="H27" s="104">
        <v>1</v>
      </c>
      <c r="I27" s="105"/>
      <c r="J27" s="106">
        <f>SUMIF(Funções!$C$8:$C$467,Deflatores!G27,Funções!$H$8:$H$467)</f>
        <v>0</v>
      </c>
      <c r="K27" s="107">
        <f>IF(H27="",COUNTIF(Funções!C$8:C$467,G27)*I27,H27*J27)</f>
        <v>0</v>
      </c>
    </row>
    <row r="28" spans="1:11" ht="13.5" customHeight="1" x14ac:dyDescent="0.25">
      <c r="A28" s="3"/>
      <c r="B28" s="136" t="s">
        <v>165</v>
      </c>
      <c r="C28" s="136"/>
      <c r="D28" s="136"/>
      <c r="E28" s="136"/>
      <c r="F28" s="2" t="s">
        <v>81</v>
      </c>
      <c r="G28" s="25" t="s">
        <v>84</v>
      </c>
      <c r="H28" s="104">
        <v>0.6</v>
      </c>
      <c r="I28" s="105"/>
      <c r="J28" s="106">
        <f>SUMIF(Funções!$C$8:$C$467,Deflatores!G28,Funções!$H$8:$H$467)</f>
        <v>0</v>
      </c>
      <c r="K28" s="107">
        <f>IF(H28="",COUNTIF(Funções!C$8:C$467,G28)*I28,H28*J28)</f>
        <v>0</v>
      </c>
    </row>
    <row r="29" spans="1:11" ht="13.5" customHeight="1" x14ac:dyDescent="0.25">
      <c r="A29" s="3"/>
      <c r="B29" s="136" t="s">
        <v>85</v>
      </c>
      <c r="C29" s="136"/>
      <c r="D29" s="136"/>
      <c r="E29" s="136"/>
      <c r="F29" s="2" t="s">
        <v>86</v>
      </c>
      <c r="G29" s="25" t="s">
        <v>87</v>
      </c>
      <c r="H29" s="104">
        <v>1</v>
      </c>
      <c r="I29" s="105"/>
      <c r="J29" s="106">
        <f>SUMIF(Funções!$C$8:$C$467,Deflatores!G29,Funções!$H$8:$H$467)</f>
        <v>0</v>
      </c>
      <c r="K29" s="107">
        <f>IF(H29="",COUNTIF(Funções!C$8:C$467,G29)*I29,H29*J29)</f>
        <v>0</v>
      </c>
    </row>
    <row r="30" spans="1:11" ht="13.5" customHeight="1" x14ac:dyDescent="0.25">
      <c r="A30" s="3"/>
      <c r="B30" s="136" t="s">
        <v>88</v>
      </c>
      <c r="C30" s="136"/>
      <c r="D30" s="136"/>
      <c r="E30" s="136"/>
      <c r="F30" s="2" t="s">
        <v>89</v>
      </c>
      <c r="G30" s="25" t="s">
        <v>90</v>
      </c>
      <c r="H30" s="104">
        <v>0.1</v>
      </c>
      <c r="I30" s="105"/>
      <c r="J30" s="106">
        <f>SUMIF(Funções!$C$8:$C$467,Deflatores!G30,Funções!$H$8:$H$467)</f>
        <v>0</v>
      </c>
      <c r="K30" s="107">
        <f>IF(H30="",COUNTIF(Funções!C$8:C$467,G30)*I30,H30*J30)</f>
        <v>0</v>
      </c>
    </row>
    <row r="31" spans="1:11" ht="13.5" customHeight="1" x14ac:dyDescent="0.25">
      <c r="A31" s="3"/>
      <c r="B31" s="136" t="s">
        <v>91</v>
      </c>
      <c r="C31" s="136"/>
      <c r="D31" s="136"/>
      <c r="E31" s="136"/>
      <c r="F31" s="2" t="s">
        <v>92</v>
      </c>
      <c r="G31" s="25" t="s">
        <v>93</v>
      </c>
      <c r="H31" s="104">
        <v>0.1</v>
      </c>
      <c r="I31" s="105"/>
      <c r="J31" s="106">
        <f>SUMIF(Funções!$C$8:$C$467,Deflatores!G31,Funções!$H$8:$H$467)</f>
        <v>0</v>
      </c>
      <c r="K31" s="107">
        <f>IF(H31="",COUNTIF(Funções!C$8:C$467,G31)*I31,H31*J31)</f>
        <v>0</v>
      </c>
    </row>
    <row r="32" spans="1:11" ht="13.5" customHeight="1" x14ac:dyDescent="0.25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SUMIF(Funções!$C$8:$C$467,Deflatores!G32,Funções!$H$8:$H$467)</f>
        <v>0</v>
      </c>
      <c r="K32" s="107">
        <f>IF(H32="",COUNTIF(Funções!C$8:C$467,G32)*I32,H32*J32)</f>
        <v>0</v>
      </c>
    </row>
    <row r="33" spans="1:12" ht="13.5" customHeight="1" x14ac:dyDescent="0.25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SUMIF(Funções!$C$8:$C$467,Deflatores!G33,Funções!$H$8:$H$467)</f>
        <v>0</v>
      </c>
      <c r="K33" s="107">
        <f>IF(H33="",COUNTIF(Funções!C$8:C$467,G33)*I33,H33*J33)</f>
        <v>0</v>
      </c>
    </row>
    <row r="34" spans="1:12" ht="13.5" customHeight="1" x14ac:dyDescent="0.25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SUMIF(Funções!$C$8:$C$467,Deflatores!G34,Funções!$H$8:$H$467)</f>
        <v>0</v>
      </c>
      <c r="K34" s="107">
        <f>IF(H34="",COUNTIF(Funções!C$8:C$467,G34)*I34,H34*J34)</f>
        <v>0</v>
      </c>
    </row>
    <row r="35" spans="1:12" ht="13.5" customHeight="1" x14ac:dyDescent="0.25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SUMIF(Funções!$C$8:$C$467,Deflatores!G35,Funções!$H$8:$H$467)</f>
        <v>0</v>
      </c>
      <c r="K35" s="107">
        <f>IF(H35="",COUNTIF(Funções!C$8:C$467,G35)*I35,H35*J35)</f>
        <v>0</v>
      </c>
    </row>
    <row r="36" spans="1:12" ht="13.5" customHeight="1" x14ac:dyDescent="0.25">
      <c r="A36" s="3"/>
      <c r="B36" s="136" t="s">
        <v>94</v>
      </c>
      <c r="C36" s="136"/>
      <c r="D36" s="136"/>
      <c r="E36" s="136"/>
      <c r="F36" s="2" t="s">
        <v>95</v>
      </c>
      <c r="G36" s="25" t="s">
        <v>96</v>
      </c>
      <c r="H36" s="104">
        <v>1</v>
      </c>
      <c r="I36" s="105"/>
      <c r="J36" s="106">
        <f>SUMIF(Funções!$C$8:$C$467,Deflatores!G36,Funções!$H$8:$H$467)</f>
        <v>0</v>
      </c>
      <c r="K36" s="107">
        <f>IF(H36="",COUNTIF(Funções!C$8:C$467,G36)*I36,H36*J36)</f>
        <v>0</v>
      </c>
    </row>
    <row r="37" spans="1:12" ht="13.5" customHeight="1" x14ac:dyDescent="0.25">
      <c r="A37" s="3"/>
      <c r="B37" s="136"/>
      <c r="C37" s="136"/>
      <c r="D37" s="136"/>
      <c r="E37" s="136"/>
      <c r="F37" s="2"/>
      <c r="G37" s="25" t="s">
        <v>97</v>
      </c>
      <c r="H37" s="104"/>
      <c r="I37" s="105"/>
      <c r="J37" s="106">
        <f>SUMIF(Funções!$C$8:$C$467,Deflatores!G37,Funções!$H$8:$H$467)</f>
        <v>0</v>
      </c>
      <c r="K37" s="107">
        <f>IF(H37="",COUNTIF(Funções!C$8:C$467,G37)*I37,H37*J37)</f>
        <v>0</v>
      </c>
      <c r="L37" s="19" t="s">
        <v>98</v>
      </c>
    </row>
    <row r="38" spans="1:12" ht="13.5" customHeight="1" x14ac:dyDescent="0.25">
      <c r="A38" s="3"/>
      <c r="B38" s="136"/>
      <c r="C38" s="136"/>
      <c r="D38" s="136"/>
      <c r="E38" s="136"/>
      <c r="F38" s="2"/>
      <c r="G38" s="25" t="s">
        <v>97</v>
      </c>
      <c r="H38" s="104"/>
      <c r="I38" s="105"/>
      <c r="J38" s="106">
        <f>SUMIF(Funções!$C$8:$C$467,Deflatores!G38,Funções!$H$8:$H$467)</f>
        <v>0</v>
      </c>
      <c r="K38" s="107">
        <f>IF(H38="",COUNTIF(Funções!C$8:C$467,G38)*I38,H38*J38)</f>
        <v>0</v>
      </c>
      <c r="L38" s="19" t="s">
        <v>99</v>
      </c>
    </row>
    <row r="39" spans="1:12" ht="13.5" x14ac:dyDescent="0.3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9" customHeight="1" x14ac:dyDescent="0.25">
      <c r="A40" s="156" t="s">
        <v>30</v>
      </c>
      <c r="B40" s="156"/>
      <c r="C40" s="156"/>
      <c r="D40" s="156"/>
      <c r="E40" s="156"/>
      <c r="F40" s="156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9" customHeight="1" x14ac:dyDescent="0.25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35">
      <c r="A42" s="27"/>
      <c r="B42" s="136" t="s">
        <v>104</v>
      </c>
      <c r="C42" s="136"/>
      <c r="D42" s="136"/>
      <c r="E42" s="136"/>
      <c r="F42" s="2" t="s">
        <v>105</v>
      </c>
      <c r="G42" s="25" t="s">
        <v>106</v>
      </c>
      <c r="H42" s="151">
        <v>0.6</v>
      </c>
      <c r="I42" s="151"/>
      <c r="J42" s="28">
        <f>COUNTIF(Funções!B$8:B$467,G42)</f>
        <v>0</v>
      </c>
      <c r="K42" s="26">
        <f>SUMIF(Funções!B$8:B$467,$G42,Funções!K$8:K$467)</f>
        <v>0</v>
      </c>
      <c r="L42" s="19" t="str">
        <f t="shared" ref="L42:L64" si="0">""&amp;G42</f>
        <v>PAG</v>
      </c>
    </row>
    <row r="43" spans="1:12" ht="13.5" customHeight="1" x14ac:dyDescent="0.35">
      <c r="A43" s="27"/>
      <c r="B43" s="136" t="s">
        <v>116</v>
      </c>
      <c r="C43" s="136"/>
      <c r="D43" s="136"/>
      <c r="E43" s="136"/>
      <c r="F43" s="2" t="s">
        <v>76</v>
      </c>
      <c r="G43" s="25" t="s">
        <v>117</v>
      </c>
      <c r="H43" s="151">
        <v>0.6</v>
      </c>
      <c r="I43" s="151"/>
      <c r="J43" s="28">
        <f>COUNTIF(Funções!B$8:B$467,G43)</f>
        <v>0</v>
      </c>
      <c r="K43" s="26">
        <f>SUMIF(Funções!B$8:B$467,$G43,Funções!K$8:K$467)</f>
        <v>0</v>
      </c>
      <c r="L43" s="19" t="str">
        <f t="shared" si="0"/>
        <v>COSNF</v>
      </c>
    </row>
    <row r="44" spans="1:12" ht="13.5" customHeight="1" x14ac:dyDescent="0.35">
      <c r="A44" s="27"/>
      <c r="B44" s="136" t="s">
        <v>159</v>
      </c>
      <c r="C44" s="136"/>
      <c r="D44" s="136"/>
      <c r="E44" s="136"/>
      <c r="F44" s="2"/>
      <c r="G44" s="25" t="s">
        <v>160</v>
      </c>
      <c r="H44" s="151">
        <v>0</v>
      </c>
      <c r="I44" s="151"/>
      <c r="J44" s="28">
        <f>COUNTIF(Funções!B$8:B$467,G44)</f>
        <v>0</v>
      </c>
      <c r="K44" s="26">
        <f>SUMIF(Funções!B$8:B$467,$G44,Funções!K$8:K$467)</f>
        <v>0</v>
      </c>
      <c r="L44" s="19" t="str">
        <f t="shared" si="0"/>
        <v>DC</v>
      </c>
    </row>
    <row r="45" spans="1:12" ht="13.5" customHeight="1" x14ac:dyDescent="0.35">
      <c r="A45" s="27"/>
      <c r="B45" s="136"/>
      <c r="C45" s="136"/>
      <c r="D45" s="136"/>
      <c r="E45" s="136"/>
      <c r="F45" s="2"/>
      <c r="G45" s="25" t="s">
        <v>97</v>
      </c>
      <c r="H45" s="151"/>
      <c r="I45" s="151"/>
      <c r="J45" s="28">
        <f>COUNTIF(Funções!B$8:B$467,G45)</f>
        <v>0</v>
      </c>
      <c r="K45" s="26">
        <f>SUMIF(Funções!B$8:B$467,$G45,Funções!K$8:K$467)</f>
        <v>0</v>
      </c>
      <c r="L45" s="19" t="str">
        <f t="shared" si="0"/>
        <v xml:space="preserve">           .</v>
      </c>
    </row>
    <row r="46" spans="1:12" ht="13.5" customHeight="1" x14ac:dyDescent="0.35">
      <c r="A46" s="27"/>
      <c r="B46" s="136"/>
      <c r="C46" s="136"/>
      <c r="D46" s="136"/>
      <c r="E46" s="136"/>
      <c r="F46" s="2"/>
      <c r="G46" s="25" t="s">
        <v>97</v>
      </c>
      <c r="H46" s="151"/>
      <c r="I46" s="151"/>
      <c r="J46" s="28">
        <f>COUNTIF(Funções!B$8:B$467,G46)</f>
        <v>0</v>
      </c>
      <c r="K46" s="26">
        <f>SUMIF(Funções!B$8:B$467,$G46,Funções!K$8:K$467)</f>
        <v>0</v>
      </c>
      <c r="L46" s="19" t="str">
        <f t="shared" si="0"/>
        <v xml:space="preserve">           .</v>
      </c>
    </row>
    <row r="47" spans="1:12" ht="13.5" x14ac:dyDescent="0.35">
      <c r="A47" s="27"/>
      <c r="B47" s="136"/>
      <c r="C47" s="136"/>
      <c r="D47" s="136"/>
      <c r="E47" s="136"/>
      <c r="F47" s="2"/>
      <c r="G47" s="25" t="s">
        <v>97</v>
      </c>
      <c r="H47" s="151"/>
      <c r="I47" s="151"/>
      <c r="J47" s="28">
        <f>COUNTIF(Funções!B$8:B$467,G47)</f>
        <v>0</v>
      </c>
      <c r="K47" s="26">
        <f>SUMIF(Funções!B$8:B$467,$G47,Funções!K$8:K$467)</f>
        <v>0</v>
      </c>
      <c r="L47" s="19" t="str">
        <f t="shared" si="0"/>
        <v xml:space="preserve">           .</v>
      </c>
    </row>
    <row r="48" spans="1:12" ht="13.5" x14ac:dyDescent="0.35">
      <c r="A48" s="27"/>
      <c r="B48" s="136"/>
      <c r="C48" s="136"/>
      <c r="D48" s="136"/>
      <c r="E48" s="136"/>
      <c r="F48" s="2"/>
      <c r="G48" s="25" t="s">
        <v>97</v>
      </c>
      <c r="H48" s="151"/>
      <c r="I48" s="151"/>
      <c r="J48" s="28">
        <f>COUNTIF(Funções!B$8:B$467,G48)</f>
        <v>0</v>
      </c>
      <c r="K48" s="26">
        <f>SUMIF(Funções!B$8:B$467,$G48,Funções!K$8:K$467)</f>
        <v>0</v>
      </c>
      <c r="L48" s="19" t="str">
        <f t="shared" si="0"/>
        <v xml:space="preserve">           .</v>
      </c>
    </row>
    <row r="49" spans="1:12" ht="13.5" x14ac:dyDescent="0.35">
      <c r="A49" s="27"/>
      <c r="B49" s="136"/>
      <c r="C49" s="136"/>
      <c r="D49" s="136"/>
      <c r="E49" s="136"/>
      <c r="F49" s="2"/>
      <c r="G49" s="25" t="s">
        <v>97</v>
      </c>
      <c r="H49" s="151"/>
      <c r="I49" s="151"/>
      <c r="J49" s="28">
        <f>COUNTIF(Funções!B$8:B$467,G49)</f>
        <v>0</v>
      </c>
      <c r="K49" s="26">
        <f>SUMIF(Funções!B$8:B$467,$G49,Funções!K$8:K$467)</f>
        <v>0</v>
      </c>
      <c r="L49" s="19" t="str">
        <f t="shared" si="0"/>
        <v xml:space="preserve">           .</v>
      </c>
    </row>
    <row r="50" spans="1:12" ht="13.5" x14ac:dyDescent="0.35">
      <c r="A50" s="27"/>
      <c r="B50" s="136"/>
      <c r="C50" s="136"/>
      <c r="D50" s="136"/>
      <c r="E50" s="136"/>
      <c r="F50" s="2"/>
      <c r="G50" s="25" t="s">
        <v>97</v>
      </c>
      <c r="H50" s="151"/>
      <c r="I50" s="151"/>
      <c r="J50" s="28">
        <f>COUNTIF(Funções!B$8:B$467,G50)</f>
        <v>0</v>
      </c>
      <c r="K50" s="26">
        <f>SUMIF(Funções!B$8:B$467,$G50,Funções!K$8:K$467)</f>
        <v>0</v>
      </c>
      <c r="L50" s="19" t="str">
        <f t="shared" si="0"/>
        <v xml:space="preserve">           .</v>
      </c>
    </row>
    <row r="51" spans="1:12" ht="13.5" x14ac:dyDescent="0.35">
      <c r="A51" s="27"/>
      <c r="B51" s="136"/>
      <c r="C51" s="136"/>
      <c r="D51" s="136"/>
      <c r="E51" s="136"/>
      <c r="F51" s="2"/>
      <c r="G51" s="25" t="s">
        <v>97</v>
      </c>
      <c r="H51" s="151"/>
      <c r="I51" s="151"/>
      <c r="J51" s="28">
        <f>COUNTIF(Funções!B$8:B$467,G51)</f>
        <v>0</v>
      </c>
      <c r="K51" s="26">
        <f>SUMIF(Funções!B$8:B$467,$G51,Funções!K$8:K$467)</f>
        <v>0</v>
      </c>
      <c r="L51" s="19" t="str">
        <f t="shared" si="0"/>
        <v xml:space="preserve">           .</v>
      </c>
    </row>
    <row r="52" spans="1:12" ht="13.5" x14ac:dyDescent="0.35">
      <c r="A52" s="27"/>
      <c r="B52" s="136"/>
      <c r="C52" s="136"/>
      <c r="D52" s="136"/>
      <c r="E52" s="136"/>
      <c r="F52" s="2"/>
      <c r="G52" s="25" t="s">
        <v>97</v>
      </c>
      <c r="H52" s="151"/>
      <c r="I52" s="151"/>
      <c r="J52" s="28">
        <f>COUNTIF(Funções!B$8:B$467,G52)</f>
        <v>0</v>
      </c>
      <c r="K52" s="26">
        <f>SUMIF(Funções!B$8:B$467,$G52,Funções!K$8:K$467)</f>
        <v>0</v>
      </c>
      <c r="L52" s="19" t="str">
        <f t="shared" si="0"/>
        <v xml:space="preserve">           .</v>
      </c>
    </row>
    <row r="53" spans="1:12" ht="13.5" x14ac:dyDescent="0.35">
      <c r="A53" s="27"/>
      <c r="B53" s="136"/>
      <c r="C53" s="136"/>
      <c r="D53" s="136"/>
      <c r="E53" s="136"/>
      <c r="F53" s="2"/>
      <c r="G53" s="25" t="s">
        <v>97</v>
      </c>
      <c r="H53" s="151"/>
      <c r="I53" s="151"/>
      <c r="J53" s="28">
        <f>COUNTIF(Funções!B$8:B$467,G53)</f>
        <v>0</v>
      </c>
      <c r="K53" s="26">
        <f>SUMIF(Funções!B$8:B$467,$G53,Funções!K$8:K$467)</f>
        <v>0</v>
      </c>
      <c r="L53" s="19" t="str">
        <f t="shared" si="0"/>
        <v xml:space="preserve">           .</v>
      </c>
    </row>
    <row r="54" spans="1:12" ht="13.5" x14ac:dyDescent="0.35">
      <c r="A54" s="27"/>
      <c r="B54" s="136"/>
      <c r="C54" s="136"/>
      <c r="D54" s="136"/>
      <c r="E54" s="136"/>
      <c r="F54" s="2"/>
      <c r="G54" s="25" t="s">
        <v>97</v>
      </c>
      <c r="H54" s="151"/>
      <c r="I54" s="151"/>
      <c r="J54" s="28">
        <f>COUNTIF(Funções!B$8:B$467,G54)</f>
        <v>0</v>
      </c>
      <c r="K54" s="26">
        <f>SUMIF(Funções!B$8:B$467,$G54,Funções!K$8:K$467)</f>
        <v>0</v>
      </c>
      <c r="L54" s="19" t="str">
        <f t="shared" si="0"/>
        <v xml:space="preserve">           .</v>
      </c>
    </row>
    <row r="55" spans="1:12" ht="13.5" x14ac:dyDescent="0.35">
      <c r="A55" s="27"/>
      <c r="B55" s="136"/>
      <c r="C55" s="136"/>
      <c r="D55" s="136"/>
      <c r="E55" s="136"/>
      <c r="F55" s="2"/>
      <c r="G55" s="25" t="s">
        <v>97</v>
      </c>
      <c r="H55" s="151"/>
      <c r="I55" s="151"/>
      <c r="J55" s="28">
        <f>COUNTIF(Funções!B$8:B$467,G55)</f>
        <v>0</v>
      </c>
      <c r="K55" s="26">
        <f>SUMIF(Funções!B$8:B$467,$G55,Funções!K$8:K$467)</f>
        <v>0</v>
      </c>
      <c r="L55" s="19" t="str">
        <f t="shared" si="0"/>
        <v xml:space="preserve">           .</v>
      </c>
    </row>
    <row r="56" spans="1:12" ht="13.5" x14ac:dyDescent="0.35">
      <c r="A56" s="27"/>
      <c r="B56" s="136"/>
      <c r="C56" s="136"/>
      <c r="D56" s="136"/>
      <c r="E56" s="136"/>
      <c r="F56" s="2"/>
      <c r="G56" s="25" t="s">
        <v>97</v>
      </c>
      <c r="H56" s="151"/>
      <c r="I56" s="151"/>
      <c r="J56" s="28">
        <f>COUNTIF(Funções!B$8:B$467,G56)</f>
        <v>0</v>
      </c>
      <c r="K56" s="26">
        <f>SUMIF(Funções!B$8:B$467,$G56,Funções!K$8:K$467)</f>
        <v>0</v>
      </c>
      <c r="L56" s="19" t="str">
        <f t="shared" si="0"/>
        <v xml:space="preserve">           .</v>
      </c>
    </row>
    <row r="57" spans="1:12" ht="13.5" x14ac:dyDescent="0.35">
      <c r="A57" s="27"/>
      <c r="B57" s="136"/>
      <c r="C57" s="136"/>
      <c r="D57" s="136"/>
      <c r="E57" s="136"/>
      <c r="F57" s="2"/>
      <c r="G57" s="25" t="s">
        <v>97</v>
      </c>
      <c r="H57" s="151"/>
      <c r="I57" s="151"/>
      <c r="J57" s="28">
        <f>COUNTIF(Funções!B$8:B$467,G57)</f>
        <v>0</v>
      </c>
      <c r="K57" s="26">
        <f>SUMIF(Funções!B$8:B$467,$G57,Funções!K$8:K$467)</f>
        <v>0</v>
      </c>
      <c r="L57" s="19" t="str">
        <f t="shared" si="0"/>
        <v xml:space="preserve">           .</v>
      </c>
    </row>
    <row r="58" spans="1:12" ht="13.5" x14ac:dyDescent="0.35">
      <c r="A58" s="27"/>
      <c r="B58" s="136"/>
      <c r="C58" s="136"/>
      <c r="D58" s="136"/>
      <c r="E58" s="136"/>
      <c r="F58" s="2"/>
      <c r="G58" s="25" t="s">
        <v>97</v>
      </c>
      <c r="H58" s="151"/>
      <c r="I58" s="151"/>
      <c r="J58" s="28">
        <f>COUNTIF(Funções!B$8:B$467,G58)</f>
        <v>0</v>
      </c>
      <c r="K58" s="26">
        <f>SUMIF(Funções!B$8:B$467,$G58,Funções!K$8:K$467)</f>
        <v>0</v>
      </c>
      <c r="L58" s="19" t="str">
        <f t="shared" si="0"/>
        <v xml:space="preserve">           .</v>
      </c>
    </row>
    <row r="59" spans="1:12" ht="13.5" x14ac:dyDescent="0.35">
      <c r="A59" s="27"/>
      <c r="B59" s="136"/>
      <c r="C59" s="136"/>
      <c r="D59" s="136"/>
      <c r="E59" s="136"/>
      <c r="F59" s="2"/>
      <c r="G59" s="25" t="s">
        <v>97</v>
      </c>
      <c r="H59" s="151"/>
      <c r="I59" s="151"/>
      <c r="J59" s="28">
        <f>COUNTIF(Funções!B$8:B$467,G59)</f>
        <v>0</v>
      </c>
      <c r="K59" s="26">
        <f>SUMIF(Funções!B$8:B$467,$G59,Funções!K$8:K$467)</f>
        <v>0</v>
      </c>
      <c r="L59" s="19" t="str">
        <f t="shared" si="0"/>
        <v xml:space="preserve">           .</v>
      </c>
    </row>
    <row r="60" spans="1:12" ht="13.5" x14ac:dyDescent="0.35">
      <c r="A60" s="27"/>
      <c r="B60" s="136"/>
      <c r="C60" s="136"/>
      <c r="D60" s="136"/>
      <c r="E60" s="136"/>
      <c r="F60" s="2"/>
      <c r="G60" s="25" t="s">
        <v>97</v>
      </c>
      <c r="H60" s="151"/>
      <c r="I60" s="151"/>
      <c r="J60" s="28">
        <f>COUNTIF(Funções!B$8:B$467,G60)</f>
        <v>0</v>
      </c>
      <c r="K60" s="26">
        <f>SUMIF(Funções!B$8:B$467,$G60,Funções!K$8:K$467)</f>
        <v>0</v>
      </c>
      <c r="L60" s="19" t="str">
        <f t="shared" si="0"/>
        <v xml:space="preserve">           .</v>
      </c>
    </row>
    <row r="61" spans="1:12" ht="13.5" x14ac:dyDescent="0.35">
      <c r="A61" s="27"/>
      <c r="B61" s="136"/>
      <c r="C61" s="136"/>
      <c r="D61" s="136"/>
      <c r="E61" s="136"/>
      <c r="F61" s="2"/>
      <c r="G61" s="25" t="s">
        <v>97</v>
      </c>
      <c r="H61" s="151"/>
      <c r="I61" s="151"/>
      <c r="J61" s="28">
        <f>COUNTIF(Funções!B$8:B$467,G61)</f>
        <v>0</v>
      </c>
      <c r="K61" s="26">
        <f>SUMIF(Funções!B$8:B$467,$G61,Funções!K$8:K$467)</f>
        <v>0</v>
      </c>
      <c r="L61" s="19" t="str">
        <f t="shared" si="0"/>
        <v xml:space="preserve">           .</v>
      </c>
    </row>
    <row r="62" spans="1:12" ht="13.5" x14ac:dyDescent="0.35">
      <c r="A62" s="27"/>
      <c r="B62" s="136"/>
      <c r="C62" s="136"/>
      <c r="D62" s="136"/>
      <c r="E62" s="136"/>
      <c r="F62" s="2"/>
      <c r="G62" s="25" t="s">
        <v>97</v>
      </c>
      <c r="H62" s="151"/>
      <c r="I62" s="151"/>
      <c r="J62" s="28">
        <f>COUNTIF(Funções!B$8:B$467,G62)</f>
        <v>0</v>
      </c>
      <c r="K62" s="26">
        <f>SUMIF(Funções!B$8:B$467,$G62,Funções!K$8:K$467)</f>
        <v>0</v>
      </c>
      <c r="L62" s="19" t="str">
        <f t="shared" si="0"/>
        <v xml:space="preserve">           .</v>
      </c>
    </row>
    <row r="63" spans="1:12" ht="13.5" x14ac:dyDescent="0.35">
      <c r="A63" s="27"/>
      <c r="B63" s="136"/>
      <c r="C63" s="136"/>
      <c r="D63" s="136"/>
      <c r="E63" s="136"/>
      <c r="F63" s="2"/>
      <c r="G63" s="25" t="s">
        <v>97</v>
      </c>
      <c r="H63" s="151"/>
      <c r="I63" s="151"/>
      <c r="J63" s="28">
        <f>COUNTIF(Funções!B$8:B$467,G63)</f>
        <v>0</v>
      </c>
      <c r="K63" s="26">
        <f>SUMIF(Funções!B$8:B$467,$G63,Funções!K$8:K$467)</f>
        <v>0</v>
      </c>
      <c r="L63" s="19" t="str">
        <f t="shared" si="0"/>
        <v xml:space="preserve">           .</v>
      </c>
    </row>
    <row r="64" spans="1:12" ht="13.5" x14ac:dyDescent="0.35">
      <c r="A64" s="29"/>
      <c r="B64" s="152"/>
      <c r="C64" s="152"/>
      <c r="D64" s="152"/>
      <c r="E64" s="152"/>
      <c r="F64" s="30"/>
      <c r="G64" s="31" t="s">
        <v>97</v>
      </c>
      <c r="H64" s="153"/>
      <c r="I64" s="153"/>
      <c r="J64" s="32">
        <f>COUNTIF(Funções!B$8:B$467,G64)</f>
        <v>0</v>
      </c>
      <c r="K64" s="33">
        <f>SUMIF(Funções!B$8:B$467,$G64,Funções!K$8:K$467)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&amp;C&amp;"Calibri"&amp;11&amp;K000000Página &amp;P de &amp;N_x000D_&amp;1#&amp;"Arial"&amp;6&amp;K626469Internal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9" activePane="bottomLeft" state="frozen"/>
      <selection activeCell="B11" sqref="B11"/>
      <selection pane="bottomLeft" activeCell="A9" sqref="A9"/>
    </sheetView>
  </sheetViews>
  <sheetFormatPr defaultColWidth="8.81640625" defaultRowHeight="12.5" x14ac:dyDescent="0.25"/>
  <cols>
    <col min="1" max="1" width="2.81640625" customWidth="1"/>
    <col min="2" max="2" width="8.26953125" customWidth="1"/>
    <col min="3" max="3" width="11.453125" customWidth="1"/>
    <col min="4" max="4" width="1.1796875" customWidth="1"/>
    <col min="5" max="5" width="7.7265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453125" customWidth="1"/>
    <col min="11" max="11" width="8.453125" customWidth="1"/>
    <col min="12" max="12" width="6.453125" customWidth="1"/>
  </cols>
  <sheetData>
    <row r="1" spans="1:12" x14ac:dyDescent="0.25">
      <c r="A1" s="139" t="s">
        <v>118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2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12" x14ac:dyDescent="0.25">
      <c r="A4" s="166" t="str">
        <f>Contagem!A5&amp;" : "&amp;Contagem!F5</f>
        <v>Aplicação : Project.IO - Sistema de Gerenciamento de Projetos</v>
      </c>
      <c r="B4" s="166"/>
      <c r="C4" s="166"/>
      <c r="D4" s="166"/>
      <c r="E4" s="166"/>
      <c r="F4" s="149" t="str">
        <f>Contagem!A8&amp;" : "&amp;Contagem!F8</f>
        <v>Projeto : Sistema de Gerenciamento de Projetos</v>
      </c>
      <c r="G4" s="149"/>
      <c r="H4" s="149"/>
      <c r="I4" s="149"/>
      <c r="J4" s="149"/>
      <c r="K4" s="149"/>
      <c r="L4" s="149"/>
    </row>
    <row r="5" spans="1:12" x14ac:dyDescent="0.25">
      <c r="A5" s="166" t="str">
        <f>Contagem!A9&amp;" : "&amp;Contagem!F9</f>
        <v>Responsável : Bárbara Cristina C. B. De Carvalho</v>
      </c>
      <c r="B5" s="166"/>
      <c r="C5" s="166"/>
      <c r="D5" s="166"/>
      <c r="E5" s="166"/>
      <c r="F5" s="149" t="str">
        <f>Contagem!A10&amp;" : "&amp;Contagem!F10</f>
        <v>Revisor : -</v>
      </c>
      <c r="G5" s="149"/>
      <c r="H5" s="149"/>
      <c r="I5" s="149"/>
      <c r="J5" s="149"/>
      <c r="K5" s="149"/>
      <c r="L5" s="149"/>
    </row>
    <row r="6" spans="1:12" x14ac:dyDescent="0.25">
      <c r="A6" s="166" t="str">
        <f>Contagem!A4&amp;" : "&amp;Contagem!F4</f>
        <v>Empresa : -</v>
      </c>
      <c r="B6" s="166"/>
      <c r="C6" s="166"/>
      <c r="D6" s="166"/>
      <c r="E6" s="166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</row>
    <row r="7" spans="1:12" ht="12.75" customHeight="1" x14ac:dyDescent="0.25">
      <c r="A7" s="162" t="s">
        <v>119</v>
      </c>
      <c r="B7" s="162"/>
      <c r="C7" s="163" t="s">
        <v>120</v>
      </c>
      <c r="D7" s="163"/>
      <c r="E7" s="163"/>
      <c r="F7" s="163"/>
      <c r="G7" s="164" t="s">
        <v>121</v>
      </c>
      <c r="H7" s="164" t="s">
        <v>122</v>
      </c>
      <c r="I7" s="69"/>
      <c r="J7" s="164" t="s">
        <v>123</v>
      </c>
      <c r="K7" s="164"/>
      <c r="L7" s="165" t="s">
        <v>122</v>
      </c>
    </row>
    <row r="8" spans="1:12" x14ac:dyDescent="0.25">
      <c r="A8" s="162"/>
      <c r="B8" s="162"/>
      <c r="C8" s="163"/>
      <c r="D8" s="163"/>
      <c r="E8" s="163"/>
      <c r="F8" s="163"/>
      <c r="G8" s="164"/>
      <c r="H8" s="164"/>
      <c r="I8" s="70"/>
      <c r="J8" s="164"/>
      <c r="K8" s="164"/>
      <c r="L8" s="165"/>
    </row>
    <row r="9" spans="1:12" ht="6" customHeight="1" x14ac:dyDescent="0.3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35">
      <c r="A10" s="50"/>
      <c r="B10" s="51" t="s">
        <v>100</v>
      </c>
      <c r="C10" s="52">
        <f>COUNTIF(Funções!G8:G467,"EEL")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SUMIF(Funções!$J$8:$J$467,"EE"&amp;Deflatores!G4,Funções!$L$8:$L$467)</f>
        <v>0</v>
      </c>
      <c r="L10" s="56"/>
    </row>
    <row r="11" spans="1:12" ht="13.5" x14ac:dyDescent="0.35">
      <c r="A11" s="57"/>
      <c r="B11" s="51"/>
      <c r="C11" s="52">
        <f>COUNTIF(Funções!G8:G467,"EEA")</f>
        <v>15</v>
      </c>
      <c r="D11" s="51"/>
      <c r="E11" s="53" t="s">
        <v>126</v>
      </c>
      <c r="F11" s="53" t="s">
        <v>127</v>
      </c>
      <c r="G11" s="52">
        <f>C11*4</f>
        <v>60</v>
      </c>
      <c r="H11" s="51"/>
      <c r="I11" s="34"/>
      <c r="J11" s="54" t="str">
        <f>Deflatores!$G$5&amp;"="</f>
        <v>A=</v>
      </c>
      <c r="K11" s="55">
        <f>SUMIF(Funções!$J$8:$J$467,"EE"&amp;Deflatores!G5,Funções!$L$8:$L$467)</f>
        <v>0</v>
      </c>
      <c r="L11" s="56"/>
    </row>
    <row r="12" spans="1:12" ht="13.5" x14ac:dyDescent="0.35">
      <c r="A12" s="57"/>
      <c r="B12" s="51"/>
      <c r="C12" s="52">
        <f>COUNTIF(Funções!G8:G467,"EEH")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SUMIF(Funções!$J$8:$J$467,"EE"&amp;Deflatores!G6,Funções!$L$8:$L$467)</f>
        <v>0</v>
      </c>
      <c r="L12" s="58"/>
    </row>
    <row r="13" spans="1:12" ht="13.5" x14ac:dyDescent="0.3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35">
      <c r="A14" s="57"/>
      <c r="B14" s="60" t="s">
        <v>130</v>
      </c>
      <c r="C14" s="52">
        <f>SUM(C10:C12)</f>
        <v>15</v>
      </c>
      <c r="D14" s="51"/>
      <c r="E14" s="51"/>
      <c r="F14" s="60" t="s">
        <v>131</v>
      </c>
      <c r="G14" s="52">
        <f>SUM(G10:G12)</f>
        <v>60</v>
      </c>
      <c r="H14" s="34">
        <f>IF($G$45&lt;&gt;0,G14/$G$45,"")</f>
        <v>0.58823529411764708</v>
      </c>
      <c r="I14" s="61"/>
      <c r="J14" s="54"/>
      <c r="K14" s="55">
        <f>SUM(K10:K13)</f>
        <v>0</v>
      </c>
      <c r="L14" s="36" t="str">
        <f>IF('Sumário 2'!L11&lt;&gt;0,K14/'Sumário 2'!L11,"")</f>
        <v/>
      </c>
    </row>
    <row r="15" spans="1:12" ht="6" customHeight="1" x14ac:dyDescent="0.3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3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35">
      <c r="A17" s="57"/>
      <c r="B17" s="51" t="s">
        <v>103</v>
      </c>
      <c r="C17" s="54">
        <f>COUNTIF(Funções!G8:G467,"SEL")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SUMIF(Funções!$J$8:$J$467,"SE"&amp;Deflatores!$G$4,Funções!$L$8:$L$467)</f>
        <v>0</v>
      </c>
      <c r="L17" s="56"/>
    </row>
    <row r="18" spans="1:12" ht="13.5" x14ac:dyDescent="0.35">
      <c r="A18" s="57"/>
      <c r="B18" s="51"/>
      <c r="C18" s="54">
        <f>COUNTIF(Funções!G8:G467,"SEA")</f>
        <v>1</v>
      </c>
      <c r="D18" s="51"/>
      <c r="E18" s="53" t="s">
        <v>126</v>
      </c>
      <c r="F18" s="53" t="s">
        <v>132</v>
      </c>
      <c r="G18" s="54">
        <f>C18*5</f>
        <v>5</v>
      </c>
      <c r="H18" s="51"/>
      <c r="I18" s="51"/>
      <c r="J18" s="54" t="str">
        <f>Deflatores!$G$5&amp;"="</f>
        <v>A=</v>
      </c>
      <c r="K18" s="64">
        <f>SUMIF(Funções!$J$8:$J$467,"SE"&amp;Deflatores!$G$5,Funções!$L$8:$L$467)</f>
        <v>0</v>
      </c>
      <c r="L18" s="56"/>
    </row>
    <row r="19" spans="1:12" ht="13.5" x14ac:dyDescent="0.35">
      <c r="A19" s="57"/>
      <c r="B19" s="51"/>
      <c r="C19" s="54">
        <f>COUNTIF(Funções!G8:G467,"SEH")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SUMIF(Funções!$J$8:$J$467,"SE"&amp;Deflatores!$G$6,Funções!$L$8:$L$467)</f>
        <v>0</v>
      </c>
      <c r="L19" s="58"/>
    </row>
    <row r="20" spans="1:12" ht="13.5" x14ac:dyDescent="0.3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35">
      <c r="A21" s="57"/>
      <c r="B21" s="60" t="s">
        <v>130</v>
      </c>
      <c r="C21" s="52">
        <f>SUM(C17:C19)</f>
        <v>1</v>
      </c>
      <c r="D21" s="51"/>
      <c r="E21" s="51"/>
      <c r="F21" s="60" t="s">
        <v>131</v>
      </c>
      <c r="G21" s="52">
        <f>SUM(G17:G19)</f>
        <v>5</v>
      </c>
      <c r="H21" s="34">
        <f>IF($G$45&lt;&gt;0,G21/$G$45,"")</f>
        <v>4.9019607843137254E-2</v>
      </c>
      <c r="I21" s="61"/>
      <c r="J21" s="54"/>
      <c r="K21" s="55">
        <f>SUM(K17:K20)</f>
        <v>0</v>
      </c>
      <c r="L21" s="36" t="str">
        <f>IF('Sumário 2'!L11&lt;&gt;0,K21/'Sumário 2'!L11,"")</f>
        <v/>
      </c>
    </row>
    <row r="22" spans="1:12" ht="6" customHeight="1" x14ac:dyDescent="0.3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3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35">
      <c r="A24" s="57"/>
      <c r="B24" s="51" t="s">
        <v>102</v>
      </c>
      <c r="C24" s="52">
        <f>COUNTIF(Funções!G8:G467,"CEL")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SUMIF(Funções!$J$8:$J$467,"CE"&amp;Deflatores!$G$4,Funções!$L$8:$L$467)</f>
        <v>0</v>
      </c>
      <c r="L24" s="56"/>
    </row>
    <row r="25" spans="1:12" ht="13.5" x14ac:dyDescent="0.35">
      <c r="A25" s="57"/>
      <c r="B25" s="51"/>
      <c r="C25" s="52">
        <f>COUNTIF(Funções!G8:G467,"CEA")</f>
        <v>4</v>
      </c>
      <c r="D25" s="51"/>
      <c r="E25" s="53" t="s">
        <v>126</v>
      </c>
      <c r="F25" s="53" t="s">
        <v>127</v>
      </c>
      <c r="G25" s="52">
        <f>C25*4</f>
        <v>16</v>
      </c>
      <c r="H25" s="51"/>
      <c r="I25" s="51"/>
      <c r="J25" s="54" t="str">
        <f>Deflatores!$G$5&amp;"="</f>
        <v>A=</v>
      </c>
      <c r="K25" s="55">
        <f>SUMIF(Funções!$J$8:$J$467,"CE"&amp;Deflatores!$G$5,Funções!$L$8:$L$467)</f>
        <v>0</v>
      </c>
      <c r="L25" s="56"/>
    </row>
    <row r="26" spans="1:12" ht="13.5" x14ac:dyDescent="0.35">
      <c r="A26" s="57"/>
      <c r="B26" s="51"/>
      <c r="C26" s="52">
        <f>COUNTIF(Funções!G8:G467,"CEH")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SUMIF(Funções!$J$8:$J$467,"CE"&amp;Deflatores!$G$6,Funções!$L$8:$L$467)</f>
        <v>0</v>
      </c>
      <c r="L26" s="58"/>
    </row>
    <row r="27" spans="1:12" ht="13.5" x14ac:dyDescent="0.3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35">
      <c r="A28" s="57"/>
      <c r="B28" s="60" t="s">
        <v>130</v>
      </c>
      <c r="C28" s="52">
        <f>SUM(C24:C26)</f>
        <v>4</v>
      </c>
      <c r="D28" s="51"/>
      <c r="E28" s="51"/>
      <c r="F28" s="60" t="s">
        <v>131</v>
      </c>
      <c r="G28" s="52">
        <f>SUM(G24:G26)</f>
        <v>16</v>
      </c>
      <c r="H28" s="34">
        <f>IF($G$45&lt;&gt;0,G28/$G$45,"")</f>
        <v>0.15686274509803921</v>
      </c>
      <c r="I28" s="61"/>
      <c r="J28" s="54"/>
      <c r="K28" s="55">
        <f>SUM(K24:K27)</f>
        <v>0</v>
      </c>
      <c r="L28" s="36" t="str">
        <f>IF('Sumário 2'!L11&lt;&gt;0,K28/'Sumário 2'!L11,"")</f>
        <v/>
      </c>
    </row>
    <row r="29" spans="1:12" ht="6" customHeight="1" x14ac:dyDescent="0.3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3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35">
      <c r="A31" s="57"/>
      <c r="B31" s="51" t="s">
        <v>98</v>
      </c>
      <c r="C31" s="52">
        <f>COUNTIF(Funções!G8:G467,"ALIL")</f>
        <v>3</v>
      </c>
      <c r="D31" s="51"/>
      <c r="E31" s="51" t="s">
        <v>124</v>
      </c>
      <c r="F31" s="51" t="s">
        <v>133</v>
      </c>
      <c r="G31" s="52">
        <f>C31*7</f>
        <v>21</v>
      </c>
      <c r="H31" s="51"/>
      <c r="I31" s="51"/>
      <c r="J31" s="54" t="str">
        <f>Deflatores!$G$4&amp;"="</f>
        <v>I=</v>
      </c>
      <c r="K31" s="55">
        <f>SUMIF(Funções!$J$8:$J$467,"ALI"&amp;Deflatores!$G$4,Funções!$L$8:$L$467)</f>
        <v>0</v>
      </c>
      <c r="L31" s="56"/>
    </row>
    <row r="32" spans="1:12" ht="13.5" x14ac:dyDescent="0.35">
      <c r="A32" s="57"/>
      <c r="B32" s="51"/>
      <c r="C32" s="52">
        <f>COUNTIF(Funções!G8:G467,"ALIA")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SUMIF(Funções!$J$8:$J$467,"ALI"&amp;Deflatores!$G$5,Funções!$L$8:$L$467)</f>
        <v>0</v>
      </c>
      <c r="L32" s="56"/>
    </row>
    <row r="33" spans="1:12" ht="13.5" x14ac:dyDescent="0.35">
      <c r="A33" s="57"/>
      <c r="B33" s="51"/>
      <c r="C33" s="52">
        <f>COUNTIF(Funções!G8:G467,"ALIH")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SUMIF(Funções!$J$8:$J$467,"ALI"&amp;Deflatores!$G$6,Funções!$L$8:$L$467)</f>
        <v>0</v>
      </c>
      <c r="L33" s="58"/>
    </row>
    <row r="34" spans="1:12" ht="13.5" x14ac:dyDescent="0.3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35">
      <c r="A35" s="57"/>
      <c r="B35" s="60" t="s">
        <v>130</v>
      </c>
      <c r="C35" s="52">
        <f>SUM(C31:C33)</f>
        <v>3</v>
      </c>
      <c r="D35" s="51"/>
      <c r="E35" s="51"/>
      <c r="F35" s="60" t="s">
        <v>131</v>
      </c>
      <c r="G35" s="52">
        <f>SUM(G31:G33)</f>
        <v>21</v>
      </c>
      <c r="H35" s="34">
        <f>IF($G$45&lt;&gt;0,G35/$G$45,"")</f>
        <v>0.20588235294117646</v>
      </c>
      <c r="I35" s="61"/>
      <c r="J35" s="54"/>
      <c r="K35" s="55">
        <f>SUM(K31:K34)</f>
        <v>0</v>
      </c>
      <c r="L35" s="36" t="str">
        <f>IF('Sumário 2'!L11&lt;&gt;0,K35/'Sumário 2'!L11,"")</f>
        <v/>
      </c>
    </row>
    <row r="36" spans="1:12" ht="6" customHeight="1" x14ac:dyDescent="0.3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3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35">
      <c r="A38" s="57"/>
      <c r="B38" s="51" t="s">
        <v>99</v>
      </c>
      <c r="C38" s="52">
        <f>COUNTIF(Funções!G8:G467,"AIEL")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SUMIF(Funções!$J$8:$J$467,"AIE"&amp;Deflatores!$G$4,Funções!$L$8:$L$467)</f>
        <v>0</v>
      </c>
      <c r="L38" s="56"/>
    </row>
    <row r="39" spans="1:12" ht="13.5" x14ac:dyDescent="0.35">
      <c r="A39" s="57"/>
      <c r="B39" s="51"/>
      <c r="C39" s="52">
        <f>COUNTIF(Funções!G8:G467,"AIEA")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SUMIF(Funções!$J$8:$J$467,"AIE"&amp;Deflatores!$G$5,Funções!$L$8:$L$467)</f>
        <v>0</v>
      </c>
      <c r="L39" s="56"/>
    </row>
    <row r="40" spans="1:12" ht="13.5" x14ac:dyDescent="0.35">
      <c r="A40" s="57"/>
      <c r="B40" s="51"/>
      <c r="C40" s="52">
        <f>COUNTIF(Funções!G8:G467,"AIEH")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SUMIF(Funções!$J$8:$J$467,"AIE"&amp;Deflatores!$G$6,Funções!$L$8:$L$467)</f>
        <v>0</v>
      </c>
      <c r="L40" s="58"/>
    </row>
    <row r="41" spans="1:12" ht="13.5" x14ac:dyDescent="0.3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3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 t="str">
        <f>IF('Sumário 2'!L11&lt;&gt;0,K42/'Sumário 2'!L11,"")</f>
        <v/>
      </c>
    </row>
    <row r="43" spans="1:12" ht="6" customHeight="1" x14ac:dyDescent="0.3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3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35">
      <c r="A45" s="57"/>
      <c r="B45" s="161" t="s">
        <v>136</v>
      </c>
      <c r="C45" s="161"/>
      <c r="D45" s="161"/>
      <c r="E45" s="161"/>
      <c r="F45" s="161"/>
      <c r="G45" s="52">
        <f>SUM(G14+G21+G28+G35+G42)</f>
        <v>102</v>
      </c>
      <c r="H45" s="51"/>
      <c r="I45" s="51"/>
      <c r="J45" s="51"/>
      <c r="K45" s="51"/>
      <c r="L45" s="56"/>
    </row>
    <row r="46" spans="1:12" ht="13.5" x14ac:dyDescent="0.35">
      <c r="A46" s="57"/>
      <c r="B46" s="161" t="s">
        <v>137</v>
      </c>
      <c r="C46" s="161"/>
      <c r="D46" s="161"/>
      <c r="E46" s="161"/>
      <c r="F46" s="161"/>
      <c r="G46" s="52">
        <f>(C10+C11+C12)*4+(C17+C18+C19)*5+(C24+C25+C26)*4+(C31+C32+C33)*7+(C38+C39+C40)*5</f>
        <v>102</v>
      </c>
      <c r="H46" s="51"/>
      <c r="I46" s="51"/>
      <c r="J46" s="51"/>
      <c r="K46" s="51"/>
      <c r="L46" s="56"/>
    </row>
    <row r="47" spans="1:12" ht="13.5" x14ac:dyDescent="0.35">
      <c r="A47" s="57"/>
      <c r="B47" s="161" t="s">
        <v>138</v>
      </c>
      <c r="C47" s="161"/>
      <c r="D47" s="161"/>
      <c r="E47" s="161"/>
      <c r="F47" s="161"/>
      <c r="G47" s="52">
        <f>(C31+C32+C33)*35+(C38+C39+C40)*15</f>
        <v>105</v>
      </c>
      <c r="H47" s="51"/>
      <c r="I47" s="51"/>
      <c r="J47" s="51"/>
      <c r="K47" s="51"/>
      <c r="L47" s="56"/>
    </row>
    <row r="48" spans="1:12" ht="13.5" x14ac:dyDescent="0.3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3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3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3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3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&amp;C&amp;"Calibri"&amp;11&amp;K000000Página &amp;P de &amp;N_x000D_&amp;1#&amp;"Arial"&amp;6&amp;K626469Internal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B37" sqref="B37:C37"/>
    </sheetView>
  </sheetViews>
  <sheetFormatPr defaultColWidth="11.453125" defaultRowHeight="12.5" x14ac:dyDescent="0.25"/>
  <cols>
    <col min="1" max="1" width="3.1796875" customWidth="1"/>
    <col min="2" max="2" width="32.453125" customWidth="1"/>
    <col min="3" max="3" width="36.453125" customWidth="1"/>
    <col min="4" max="4" width="7" customWidth="1"/>
    <col min="5" max="5" width="9.81640625" customWidth="1"/>
    <col min="6" max="6" width="9.26953125" customWidth="1"/>
    <col min="7" max="8" width="12.26953125" customWidth="1"/>
    <col min="9" max="9" width="12.453125" customWidth="1"/>
    <col min="10" max="10" width="7.453125" customWidth="1"/>
    <col min="11" max="11" width="2.1796875" customWidth="1"/>
    <col min="12" max="12" width="13.453125" customWidth="1"/>
    <col min="13" max="13" width="1.81640625" customWidth="1"/>
  </cols>
  <sheetData>
    <row r="1" spans="1:13" x14ac:dyDescent="0.25">
      <c r="A1" s="139" t="s">
        <v>139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3" x14ac:dyDescent="0.25">
      <c r="A4" s="166" t="str">
        <f>Contagem!A5&amp;" : "&amp;Contagem!F5</f>
        <v>Aplicação : Project.IO - Sistema de Gerenciamento de Projetos</v>
      </c>
      <c r="B4" s="166"/>
      <c r="C4" s="166"/>
      <c r="D4" s="166"/>
      <c r="E4" s="166"/>
      <c r="F4" s="149" t="str">
        <f>Contagem!A8&amp;" : "&amp;Contagem!F8</f>
        <v>Projeto : Sistema de Gerenciamento de Projetos</v>
      </c>
      <c r="G4" s="149"/>
      <c r="H4" s="149"/>
      <c r="I4" s="149"/>
      <c r="J4" s="149"/>
      <c r="K4" s="149"/>
      <c r="L4" s="149"/>
      <c r="M4" s="149"/>
    </row>
    <row r="5" spans="1:13" x14ac:dyDescent="0.25">
      <c r="A5" s="168" t="str">
        <f>Contagem!A9&amp;" : "&amp;Contagem!F9</f>
        <v>Responsável : Bárbara Cristina C. B. De Carvalho</v>
      </c>
      <c r="B5" s="168"/>
      <c r="C5" s="168"/>
      <c r="D5" s="168"/>
      <c r="E5" s="168"/>
      <c r="F5" s="149" t="str">
        <f>Contagem!A10&amp;" : "&amp;Contagem!F10</f>
        <v>Revisor : -</v>
      </c>
      <c r="G5" s="149"/>
      <c r="H5" s="149"/>
      <c r="I5" s="149"/>
      <c r="J5" s="149"/>
      <c r="K5" s="149"/>
      <c r="L5" s="149"/>
      <c r="M5" s="149"/>
    </row>
    <row r="6" spans="1:13" x14ac:dyDescent="0.25">
      <c r="A6" s="168" t="str">
        <f>Contagem!A4&amp;" : "&amp;Contagem!F4</f>
        <v>Empresa : -</v>
      </c>
      <c r="B6" s="168"/>
      <c r="C6" s="168"/>
      <c r="D6" s="168"/>
      <c r="E6" s="168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  <c r="M6" s="149"/>
    </row>
    <row r="7" spans="1:13" x14ac:dyDescent="0.25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35">
      <c r="A8" s="84"/>
      <c r="B8" s="169"/>
      <c r="C8" s="169"/>
      <c r="D8" s="169"/>
      <c r="E8" s="169"/>
      <c r="F8" s="169"/>
      <c r="G8" s="169"/>
      <c r="H8" s="169"/>
      <c r="I8" s="169"/>
      <c r="J8" s="61"/>
      <c r="K8" s="61"/>
      <c r="L8" s="61"/>
      <c r="M8" s="85"/>
    </row>
    <row r="9" spans="1:13" ht="13.5" x14ac:dyDescent="0.35">
      <c r="A9" s="84"/>
      <c r="B9" s="170" t="s">
        <v>140</v>
      </c>
      <c r="C9" s="170"/>
      <c r="D9" s="170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35">
      <c r="A10" s="84"/>
      <c r="B10" s="136" t="str">
        <f>""&amp;Deflatores!B4</f>
        <v>Inclusão</v>
      </c>
      <c r="C10" s="136"/>
      <c r="D10" s="25" t="str">
        <f>""&amp;Deflatores!G4</f>
        <v>I</v>
      </c>
      <c r="E10" s="108">
        <f>IF(D10="","",COUNTIF(Funções!C$8:C$467,D10))</f>
        <v>0</v>
      </c>
      <c r="F10" s="109">
        <f>SUMIF(Funções!$C$8:$C$467,Deflatores!G4,Funções!$H$8:$H$467)</f>
        <v>0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0</v>
      </c>
      <c r="J10" s="112" t="str">
        <f t="shared" ref="J10:J44" si="0">IF($L$11&lt;&gt;0,I10/$L$11,"")</f>
        <v/>
      </c>
      <c r="K10" s="61"/>
      <c r="L10" s="42" t="s">
        <v>4</v>
      </c>
      <c r="M10" s="56"/>
    </row>
    <row r="11" spans="1:13" ht="13.5" customHeight="1" x14ac:dyDescent="0.35">
      <c r="A11" s="84"/>
      <c r="B11" s="136" t="str">
        <f>""&amp;Deflatores!B5</f>
        <v>Alteração (sem conhecimento do Fator de Impacto)</v>
      </c>
      <c r="C11" s="136"/>
      <c r="D11" s="25" t="str">
        <f>""&amp;Deflatores!G5</f>
        <v>A</v>
      </c>
      <c r="E11" s="108">
        <f>IF(D11="","",COUNTIF(Funções!C$8:C$467,D11))</f>
        <v>0</v>
      </c>
      <c r="F11" s="109">
        <f>SUMIF(Funções!$C$8:$C$467,Deflatores!G5,Funções!$H$8:$H$467)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 t="str">
        <f t="shared" si="0"/>
        <v/>
      </c>
      <c r="K11" s="96"/>
      <c r="L11" s="43">
        <f>Contagem!Q6</f>
        <v>0</v>
      </c>
      <c r="M11" s="56"/>
    </row>
    <row r="12" spans="1:13" ht="13.5" customHeight="1" x14ac:dyDescent="0.35">
      <c r="A12" s="84"/>
      <c r="B12" s="136" t="str">
        <f>""&amp;Deflatores!B6</f>
        <v>Exclusão</v>
      </c>
      <c r="C12" s="136"/>
      <c r="D12" s="25" t="str">
        <f>""&amp;Deflatores!G6</f>
        <v>E</v>
      </c>
      <c r="E12" s="108">
        <f>IF(D12="","",COUNTIF(Funções!C$8:C$467,D12))</f>
        <v>0</v>
      </c>
      <c r="F12" s="109">
        <f>SUMIF(Funções!$C$8:$C$467,Deflatores!G6,Funções!$H$8:$H$467)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 t="str">
        <f t="shared" si="0"/>
        <v/>
      </c>
      <c r="K12" s="96"/>
      <c r="L12" s="97"/>
      <c r="M12" s="56"/>
    </row>
    <row r="13" spans="1:13" ht="13.5" customHeight="1" x14ac:dyDescent="0.35">
      <c r="A13" s="84"/>
      <c r="B13" s="136" t="str">
        <f>""&amp;Deflatores!B7</f>
        <v>Alteração (50%) de função desenvolvida ou já alterada pela empresa atual</v>
      </c>
      <c r="C13" s="136"/>
      <c r="D13" s="25" t="str">
        <f>""&amp;Deflatores!G7</f>
        <v>A50</v>
      </c>
      <c r="E13" s="108">
        <f>IF(D13="","",COUNTIF(Funções!C$8:C$467,D13))</f>
        <v>0</v>
      </c>
      <c r="F13" s="109">
        <f>SUMIF(Funções!$C$8:$C$467,Deflatores!G7,Funções!$H$8:$H$467)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 t="str">
        <f t="shared" si="0"/>
        <v/>
      </c>
      <c r="K13" s="96"/>
      <c r="L13" s="42" t="s">
        <v>144</v>
      </c>
      <c r="M13" s="56"/>
    </row>
    <row r="14" spans="1:13" ht="13.5" customHeight="1" x14ac:dyDescent="0.35">
      <c r="A14" s="84"/>
      <c r="B14" s="136" t="str">
        <f>""&amp;Deflatores!B8</f>
        <v>Alteração (75%) de função não desenv. e ainda não alterada pela empresa atual</v>
      </c>
      <c r="C14" s="136"/>
      <c r="D14" s="25" t="str">
        <f>""&amp;Deflatores!G8</f>
        <v>A75</v>
      </c>
      <c r="E14" s="108">
        <f>IF(D14="","",COUNTIF(Funções!C$8:C$467,D14))</f>
        <v>0</v>
      </c>
      <c r="F14" s="109">
        <f>SUMIF(Funções!$C$8:$C$467,Deflatores!G8,Funções!$H$8:$H$467)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 t="str">
        <f t="shared" si="0"/>
        <v/>
      </c>
      <c r="K14" s="61"/>
      <c r="L14" s="43">
        <f>Contagem!Q4</f>
        <v>102</v>
      </c>
      <c r="M14" s="56"/>
    </row>
    <row r="15" spans="1:13" ht="13.5" customHeight="1" x14ac:dyDescent="0.25">
      <c r="A15" s="84"/>
      <c r="B15" s="136" t="str">
        <f>""&amp;Deflatores!B9</f>
        <v>Alteração (75%+15%): o mesmo acima + redocumentar a função</v>
      </c>
      <c r="C15" s="136"/>
      <c r="D15" s="25" t="str">
        <f>""&amp;Deflatores!G9</f>
        <v>A90</v>
      </c>
      <c r="E15" s="108">
        <f>IF(D15="","",COUNTIF(Funções!C$8:C$467,D15))</f>
        <v>0</v>
      </c>
      <c r="F15" s="109">
        <f>SUMIF(Funções!$C$8:$C$467,Deflatores!G9,Funções!$H$8:$H$467)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 t="str">
        <f t="shared" si="0"/>
        <v/>
      </c>
      <c r="K15" s="61"/>
      <c r="L15" s="61"/>
      <c r="M15" s="85"/>
    </row>
    <row r="16" spans="1:13" ht="13.5" customHeight="1" x14ac:dyDescent="0.25">
      <c r="A16" s="84"/>
      <c r="B16" s="136" t="str">
        <f>""&amp;Deflatores!B10</f>
        <v>Migração de Dados</v>
      </c>
      <c r="C16" s="136"/>
      <c r="D16" s="25" t="str">
        <f>""&amp;Deflatores!G10</f>
        <v>PMD</v>
      </c>
      <c r="E16" s="108">
        <f>IF(D16="","",COUNTIF(Funções!C$8:C$467,D16))</f>
        <v>0</v>
      </c>
      <c r="F16" s="109">
        <f>SUMIF(Funções!$C$8:$C$467,Deflatores!G10,Funções!$H$8:$H$467)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 t="str">
        <f t="shared" si="0"/>
        <v/>
      </c>
      <c r="K16" s="61"/>
      <c r="L16" s="61"/>
      <c r="M16" s="85"/>
    </row>
    <row r="17" spans="1:13" ht="13.5" customHeight="1" x14ac:dyDescent="0.25">
      <c r="A17" s="84"/>
      <c r="B17" s="136" t="str">
        <f>""&amp;Deflatores!B11</f>
        <v>Corretiva (sem conhecimento do Fator de Impacto)</v>
      </c>
      <c r="C17" s="136"/>
      <c r="D17" s="25" t="str">
        <f>""&amp;Deflatores!G11</f>
        <v>COR</v>
      </c>
      <c r="E17" s="108">
        <f>IF(D17="","",COUNTIF(Funções!C$8:C$467,D17))</f>
        <v>0</v>
      </c>
      <c r="F17" s="109">
        <f>SUMIF(Funções!$C$8:$C$467,Deflatores!G11,Funções!$H$8:$H$467)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 t="str">
        <f>IF($L$11&lt;&gt;0,I17/$L$11,"")</f>
        <v/>
      </c>
      <c r="K17" s="61"/>
      <c r="L17" s="61"/>
      <c r="M17" s="85"/>
    </row>
    <row r="18" spans="1:13" ht="13.5" customHeight="1" x14ac:dyDescent="0.25">
      <c r="A18" s="84"/>
      <c r="B18" s="136" t="str">
        <f>""&amp;Deflatores!B12</f>
        <v>Corretiva (50%) - Fora da garantia (mesma empresa)</v>
      </c>
      <c r="C18" s="136"/>
      <c r="D18" s="25" t="str">
        <f>""&amp;Deflatores!G12</f>
        <v>COR50</v>
      </c>
      <c r="E18" s="108">
        <f>IF(D18="","",COUNTIF(Funções!C$8:C$467,D18))</f>
        <v>0</v>
      </c>
      <c r="F18" s="109">
        <f>SUMIF(Funções!$C$8:$C$467,Deflatores!G12,Funções!$H$8:$H$467)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 t="str">
        <f t="shared" si="0"/>
        <v/>
      </c>
      <c r="K18" s="61"/>
      <c r="L18" s="61"/>
      <c r="M18" s="85"/>
    </row>
    <row r="19" spans="1:13" ht="13.5" customHeight="1" x14ac:dyDescent="0.25">
      <c r="A19" s="84"/>
      <c r="B19" s="136" t="str">
        <f>""&amp;Deflatores!B13</f>
        <v>Corretiva (75%) - Fora da garantia (outra empresa)</v>
      </c>
      <c r="C19" s="136"/>
      <c r="D19" s="25" t="str">
        <f>""&amp;Deflatores!G13</f>
        <v>COR75</v>
      </c>
      <c r="E19" s="108">
        <f>IF(D19="","",COUNTIF(Funções!C$8:C$467,D19))</f>
        <v>0</v>
      </c>
      <c r="F19" s="109">
        <f>SUMIF(Funções!$C$8:$C$467,Deflatores!G13,Funções!$H$8:$H$467)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 t="str">
        <f t="shared" si="0"/>
        <v/>
      </c>
      <c r="K19" s="61"/>
      <c r="L19" s="61"/>
      <c r="M19" s="85"/>
    </row>
    <row r="20" spans="1:13" ht="13.5" customHeight="1" x14ac:dyDescent="0.25">
      <c r="A20" s="84"/>
      <c r="B20" s="136" t="str">
        <f>""&amp;Deflatores!B14</f>
        <v>Corretiva (75%+15%) - Fora da garantia (outra empresa) + Redocumentação</v>
      </c>
      <c r="C20" s="136"/>
      <c r="D20" s="25" t="str">
        <f>""&amp;Deflatores!G14</f>
        <v>COR90</v>
      </c>
      <c r="E20" s="108">
        <f>IF(D20="","",COUNTIF(Funções!C$8:C$467,D20))</f>
        <v>0</v>
      </c>
      <c r="F20" s="109">
        <f>SUMIF(Funções!$C$8:$C$467,Deflatores!G14,Funções!$H$8:$H$467)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 t="str">
        <f>IF($L$11&lt;&gt;0,I20/$L$11,"")</f>
        <v/>
      </c>
      <c r="K20" s="61"/>
      <c r="L20" s="61"/>
      <c r="M20" s="85"/>
    </row>
    <row r="21" spans="1:13" ht="13.5" customHeight="1" x14ac:dyDescent="0.25">
      <c r="A21" s="84"/>
      <c r="B21" s="136" t="str">
        <f>""&amp;Deflatores!B15</f>
        <v>Corretiva em Garantia</v>
      </c>
      <c r="C21" s="136"/>
      <c r="D21" s="25" t="str">
        <f>""&amp;Deflatores!G15</f>
        <v>GAR</v>
      </c>
      <c r="E21" s="108">
        <f>IF(D21="","",COUNTIF(Funções!C$8:C$467,D21))</f>
        <v>0</v>
      </c>
      <c r="F21" s="109">
        <f>SUMIF(Funções!$C$8:$C$467,Deflatores!G15,Funções!$H$8:$H$467)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 t="str">
        <f>IF($L$11&lt;&gt;0,I21/$L$11,"")</f>
        <v/>
      </c>
      <c r="K21" s="61"/>
      <c r="L21" s="61"/>
      <c r="M21" s="85"/>
    </row>
    <row r="22" spans="1:13" ht="13.5" customHeight="1" x14ac:dyDescent="0.25">
      <c r="A22" s="84"/>
      <c r="B22" s="136" t="str">
        <f>""&amp;Deflatores!B16</f>
        <v>Mudança de Plataforma - Linguagem de Programação</v>
      </c>
      <c r="C22" s="136"/>
      <c r="D22" s="25" t="str">
        <f>""&amp;Deflatores!G16</f>
        <v>MLP</v>
      </c>
      <c r="E22" s="108">
        <f>IF(D22="","",COUNTIF(Funções!C$8:C$467,D22))</f>
        <v>0</v>
      </c>
      <c r="F22" s="109">
        <f>SUMIF(Funções!$C$8:$C$467,Deflatores!G16,Funções!$H$8:$H$467)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 t="str">
        <f t="shared" si="0"/>
        <v/>
      </c>
      <c r="K22" s="61"/>
      <c r="L22" s="61"/>
      <c r="M22" s="85"/>
    </row>
    <row r="23" spans="1:13" ht="13.5" customHeight="1" x14ac:dyDescent="0.25">
      <c r="A23" s="84"/>
      <c r="B23" s="136" t="str">
        <f>""&amp;Deflatores!B17</f>
        <v>Mudança de Plataforma - Banco de Dados (outro paradigma)</v>
      </c>
      <c r="C23" s="136"/>
      <c r="D23" s="25" t="str">
        <f>""&amp;Deflatores!G17</f>
        <v>MBO</v>
      </c>
      <c r="E23" s="108">
        <f>IF(D23="","",COUNTIF(Funções!C$8:C$467,D23))</f>
        <v>0</v>
      </c>
      <c r="F23" s="109">
        <f>SUMIF(Funções!$C$8:$C$467,Deflatores!G17,Funções!$H$8:$H$467)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 t="str">
        <f t="shared" si="0"/>
        <v/>
      </c>
      <c r="K23" s="61"/>
      <c r="L23" s="61"/>
      <c r="M23" s="85"/>
    </row>
    <row r="24" spans="1:13" ht="13.5" customHeight="1" x14ac:dyDescent="0.25">
      <c r="A24" s="84"/>
      <c r="B24" s="136" t="str">
        <f>""&amp;Deflatores!B18</f>
        <v>Mudança de Plataforma - Banco de Dados (mesmo paradigma com alterações)</v>
      </c>
      <c r="C24" s="136"/>
      <c r="D24" s="25" t="str">
        <f>""&amp;Deflatores!G18</f>
        <v>MBM</v>
      </c>
      <c r="E24" s="108">
        <f>IF(D24="","",COUNTIF(Funções!C$8:C$467,D24))</f>
        <v>0</v>
      </c>
      <c r="F24" s="109">
        <f>SUMIF(Funções!$C$8:$C$467,Deflatores!G18,Funções!$H$8:$H$467)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 t="str">
        <f t="shared" si="0"/>
        <v/>
      </c>
      <c r="K24" s="96"/>
      <c r="L24" s="61"/>
      <c r="M24" s="85"/>
    </row>
    <row r="25" spans="1:13" ht="13.5" customHeight="1" x14ac:dyDescent="0.25">
      <c r="A25" s="84"/>
      <c r="B25" s="136" t="str">
        <f>""&amp;Deflatores!B19</f>
        <v>Atualização de Versão – Linguagem de Programação</v>
      </c>
      <c r="C25" s="136"/>
      <c r="D25" s="25" t="str">
        <f>""&amp;Deflatores!G19</f>
        <v>ALP</v>
      </c>
      <c r="E25" s="108">
        <f>IF(D25="","",COUNTIF(Funções!C$8:C$467,D25))</f>
        <v>0</v>
      </c>
      <c r="F25" s="109">
        <f>SUMIF(Funções!$C$8:$C$467,Deflatores!G19,Funções!$H$8:$H$467)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 t="str">
        <f t="shared" si="0"/>
        <v/>
      </c>
      <c r="K25" s="96"/>
      <c r="L25" s="61"/>
      <c r="M25" s="85"/>
    </row>
    <row r="26" spans="1:13" ht="13.5" customHeight="1" x14ac:dyDescent="0.25">
      <c r="A26" s="84"/>
      <c r="B26" s="136" t="str">
        <f>""&amp;Deflatores!B20</f>
        <v>Atualização de Versão – Browser</v>
      </c>
      <c r="C26" s="136"/>
      <c r="D26" s="25" t="str">
        <f>""&amp;Deflatores!G20</f>
        <v>AVB</v>
      </c>
      <c r="E26" s="108">
        <f>IF(D26="","",COUNTIF(Funções!C$8:C$467,D26))</f>
        <v>0</v>
      </c>
      <c r="F26" s="109">
        <f>SUMIF(Funções!$C$8:$C$467,Deflatores!G20,Funções!$H$8:$H$467)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 t="str">
        <f t="shared" si="0"/>
        <v/>
      </c>
      <c r="K26" s="96"/>
      <c r="L26" s="61"/>
      <c r="M26" s="85"/>
    </row>
    <row r="27" spans="1:13" ht="13.5" customHeight="1" x14ac:dyDescent="0.25">
      <c r="A27" s="84"/>
      <c r="B27" s="136" t="str">
        <f>""&amp;Deflatores!B21</f>
        <v>Atualização de Versão – Banco de Dados</v>
      </c>
      <c r="C27" s="136"/>
      <c r="D27" s="25" t="str">
        <f>""&amp;Deflatores!G21</f>
        <v>ABD</v>
      </c>
      <c r="E27" s="108">
        <f>IF(D27="","",COUNTIF(Funções!C$8:C$467,D27))</f>
        <v>0</v>
      </c>
      <c r="F27" s="109">
        <f>SUMIF(Funções!$C$8:$C$467,Deflatores!G21,Funções!$H$8:$H$467)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 t="str">
        <f t="shared" si="0"/>
        <v/>
      </c>
      <c r="K27" s="96"/>
      <c r="L27" s="61"/>
      <c r="M27" s="85"/>
    </row>
    <row r="28" spans="1:13" ht="13.5" customHeight="1" x14ac:dyDescent="0.25">
      <c r="A28" s="84"/>
      <c r="B28" s="136" t="str">
        <f>""&amp;Deflatores!B22</f>
        <v>Manutenção Cosmética</v>
      </c>
      <c r="C28" s="136"/>
      <c r="D28" s="25" t="str">
        <f>""&amp;Deflatores!G22</f>
        <v>COS</v>
      </c>
      <c r="E28" s="108">
        <f>IF(D28="","",COUNTIF(Funções!C$8:C$467,D28))</f>
        <v>0</v>
      </c>
      <c r="F28" s="109">
        <f>SUMIF(Funções!$C$8:$C$467,Deflatores!G22,Funções!$H$8:$H$467)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 t="str">
        <f t="shared" si="0"/>
        <v/>
      </c>
      <c r="K28" s="61"/>
      <c r="L28" s="61"/>
      <c r="M28" s="85"/>
    </row>
    <row r="29" spans="1:13" ht="27" customHeight="1" x14ac:dyDescent="0.25">
      <c r="A29" s="84"/>
      <c r="B29" s="158" t="str">
        <f>""&amp;Deflatores!B23</f>
        <v>Adaptação em Funcionalidades sem Alteração de Requisitos Funcionais
(sem conhecimento do Fator de Impacto)</v>
      </c>
      <c r="C29" s="160"/>
      <c r="D29" s="25" t="str">
        <f>""&amp;Deflatores!G23</f>
        <v>ARN</v>
      </c>
      <c r="E29" s="108">
        <f>IF(D29="","",COUNTIF(Funções!C$8:C$467,D29))</f>
        <v>0</v>
      </c>
      <c r="F29" s="109">
        <f>SUMIF(Funções!$C$8:$C$467,Deflatores!G23,Funções!$H$8:$H$467)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 t="str">
        <f>IF($L$11&lt;&gt;0,I29/$L$11,"")</f>
        <v/>
      </c>
      <c r="K29" s="61"/>
      <c r="L29" s="61"/>
      <c r="M29" s="85"/>
    </row>
    <row r="30" spans="1:13" ht="27" customHeight="1" x14ac:dyDescent="0.25">
      <c r="A30" s="84"/>
      <c r="B30" s="158" t="str">
        <f>""&amp;Deflatores!B24</f>
        <v>Adaptação em Funcionalidades sem Alteração de Requisitos Funcionais (50%)
(em função desenvolvida ou já alterada pela empresa atual)</v>
      </c>
      <c r="C30" s="160"/>
      <c r="D30" s="25" t="str">
        <f>""&amp;Deflatores!G24</f>
        <v>ARN50</v>
      </c>
      <c r="E30" s="108">
        <f>IF(D30="","",COUNTIF(Funções!C$8:C$467,D30))</f>
        <v>0</v>
      </c>
      <c r="F30" s="109">
        <f>SUMIF(Funções!$C$8:$C$467,Deflatores!G24,Funções!$H$8:$H$467)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 t="str">
        <f t="shared" si="0"/>
        <v/>
      </c>
      <c r="K30" s="61"/>
      <c r="L30" s="61"/>
      <c r="M30" s="85"/>
    </row>
    <row r="31" spans="1:13" ht="27" customHeight="1" x14ac:dyDescent="0.25">
      <c r="A31" s="84"/>
      <c r="B31" s="158" t="str">
        <f>""&amp;Deflatores!B25</f>
        <v>Adaptação em Funcionalidades sem Alteração de Requisitos Funcionais (75%)
(em função não desenvolvida e ainda não alterada pela empresa atual)</v>
      </c>
      <c r="C31" s="160"/>
      <c r="D31" s="25" t="str">
        <f>""&amp;Deflatores!G25</f>
        <v>ARN75</v>
      </c>
      <c r="E31" s="108">
        <f>IF(D31="","",COUNTIF(Funções!C$8:C$467,D31))</f>
        <v>0</v>
      </c>
      <c r="F31" s="109">
        <f>SUMIF(Funções!$C$8:$C$467,Deflatores!G25,Funções!$H$8:$H$467)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 t="str">
        <f t="shared" si="0"/>
        <v/>
      </c>
      <c r="K31" s="61"/>
      <c r="L31" s="61"/>
      <c r="M31" s="85"/>
    </row>
    <row r="32" spans="1:13" ht="13.5" customHeight="1" x14ac:dyDescent="0.25">
      <c r="A32" s="84"/>
      <c r="B32" s="136" t="str">
        <f>""&amp;Deflatores!B26</f>
        <v>Atualização de Dados sem Consulta Prévia</v>
      </c>
      <c r="C32" s="136"/>
      <c r="D32" s="25" t="str">
        <f>""&amp;Deflatores!G26</f>
        <v>ADS</v>
      </c>
      <c r="E32" s="108">
        <f>IF(D32="","",COUNTIF(Funções!C$8:C$467,D32))</f>
        <v>0</v>
      </c>
      <c r="F32" s="109">
        <f>SUMIF(Funções!$C$8:$C$467,Deflatores!G26,Funções!$H$8:$H$467)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 t="str">
        <f t="shared" si="0"/>
        <v/>
      </c>
      <c r="K32" s="61"/>
      <c r="L32" s="61"/>
      <c r="M32" s="85"/>
    </row>
    <row r="33" spans="1:13" ht="13.5" customHeight="1" x14ac:dyDescent="0.25">
      <c r="A33" s="84"/>
      <c r="B33" s="136" t="str">
        <f>""&amp;Deflatores!B27</f>
        <v>Consulta Prévia sem Atualização</v>
      </c>
      <c r="C33" s="136"/>
      <c r="D33" s="25" t="str">
        <f>""&amp;Deflatores!G27</f>
        <v>CPA</v>
      </c>
      <c r="E33" s="108">
        <f>IF(D33="","",COUNTIF(Funções!C$8:C$467,D33))</f>
        <v>0</v>
      </c>
      <c r="F33" s="109">
        <f>SUMIF(Funções!$C$8:$C$467,Deflatores!G27,Funções!$H$8:$H$467)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 t="str">
        <f t="shared" si="0"/>
        <v/>
      </c>
      <c r="K33" s="61"/>
      <c r="L33" s="61"/>
      <c r="M33" s="85"/>
    </row>
    <row r="34" spans="1:13" ht="13.5" customHeight="1" x14ac:dyDescent="0.25">
      <c r="A34" s="84"/>
      <c r="B34" s="136" t="str">
        <f>""&amp;Deflatores!B28</f>
        <v>Atualização de Dados com Consulta Prévia</v>
      </c>
      <c r="C34" s="136"/>
      <c r="D34" s="25" t="str">
        <f>""&amp;Deflatores!G28</f>
        <v>ADC</v>
      </c>
      <c r="E34" s="108">
        <f>IF(D34="","",COUNTIF(Funções!C$8:C$467,D34))</f>
        <v>0</v>
      </c>
      <c r="F34" s="109">
        <f>SUMIF(Funções!$C$8:$C$467,Deflatores!G28,Funções!$H$8:$H$467)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 t="str">
        <f t="shared" si="0"/>
        <v/>
      </c>
      <c r="K34" s="61"/>
      <c r="L34" s="61"/>
      <c r="M34" s="85"/>
    </row>
    <row r="35" spans="1:13" ht="13.5" customHeight="1" x14ac:dyDescent="0.25">
      <c r="A35" s="84"/>
      <c r="B35" s="136" t="str">
        <f>""&amp;Deflatores!B29</f>
        <v>Apuração Especial – Geração de Relatórios</v>
      </c>
      <c r="C35" s="136"/>
      <c r="D35" s="25" t="str">
        <f>""&amp;Deflatores!G29</f>
        <v>AGR</v>
      </c>
      <c r="E35" s="108">
        <f>IF(D35="","",COUNTIF(Funções!C$8:C$467,D35))</f>
        <v>0</v>
      </c>
      <c r="F35" s="109">
        <f>SUMIF(Funções!$C$8:$C$467,Deflatores!G29,Funções!$H$8:$H$467)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 t="str">
        <f t="shared" si="0"/>
        <v/>
      </c>
      <c r="K35" s="61"/>
      <c r="L35" s="61"/>
      <c r="M35" s="85"/>
    </row>
    <row r="36" spans="1:13" ht="13.5" customHeight="1" x14ac:dyDescent="0.25">
      <c r="A36" s="84"/>
      <c r="B36" s="136" t="str">
        <f>""&amp;Deflatores!B30</f>
        <v>Apuração Especial – Reexecução</v>
      </c>
      <c r="C36" s="136"/>
      <c r="D36" s="25" t="str">
        <f>""&amp;Deflatores!G30</f>
        <v>AER</v>
      </c>
      <c r="E36" s="108">
        <f>IF(D36="","",COUNTIF(Funções!C$8:C$467,D36))</f>
        <v>0</v>
      </c>
      <c r="F36" s="109">
        <f>SUMIF(Funções!$C$8:$C$467,Deflatores!G30,Funções!$H$8:$H$467)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 t="str">
        <f t="shared" si="0"/>
        <v/>
      </c>
      <c r="K36" s="61"/>
      <c r="L36" s="61"/>
      <c r="M36" s="85"/>
    </row>
    <row r="37" spans="1:13" ht="13.5" customHeight="1" x14ac:dyDescent="0.25">
      <c r="A37" s="84"/>
      <c r="B37" s="136" t="str">
        <f>""&amp;Deflatores!B31</f>
        <v>Atualização de Dados</v>
      </c>
      <c r="C37" s="136"/>
      <c r="D37" s="25" t="str">
        <f>""&amp;Deflatores!G31</f>
        <v>ATD</v>
      </c>
      <c r="E37" s="108">
        <f>IF(D37="","",COUNTIF(Funções!C$8:C$467,D37))</f>
        <v>0</v>
      </c>
      <c r="F37" s="109">
        <f>SUMIF(Funções!$C$8:$C$467,Deflatores!G31,Funções!$H$8:$H$467)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 t="str">
        <f t="shared" si="0"/>
        <v/>
      </c>
      <c r="K37" s="61"/>
      <c r="L37" s="61"/>
      <c r="M37" s="85"/>
    </row>
    <row r="38" spans="1:13" ht="13.5" customHeight="1" x14ac:dyDescent="0.25">
      <c r="A38" s="84"/>
      <c r="B38" s="136" t="str">
        <f>""&amp;Deflatores!B32</f>
        <v>Manutenção de Documentação de Sistemas Legados</v>
      </c>
      <c r="C38" s="136"/>
      <c r="D38" s="25" t="str">
        <f>""&amp;Deflatores!G32</f>
        <v>MSL</v>
      </c>
      <c r="E38" s="108">
        <f>IF(D38="","",COUNTIF(Funções!C$8:C$467,D38))</f>
        <v>0</v>
      </c>
      <c r="F38" s="109">
        <f>SUMIF(Funções!$C$8:$C$467,Deflatores!G32,Funções!$H$8:$H$467)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 t="str">
        <f>IF($L$11&lt;&gt;0,I38/$L$11,"")</f>
        <v/>
      </c>
      <c r="K38" s="61"/>
      <c r="L38" s="61"/>
      <c r="M38" s="85"/>
    </row>
    <row r="39" spans="1:13" ht="13.5" customHeight="1" x14ac:dyDescent="0.25">
      <c r="A39" s="84"/>
      <c r="B39" s="136" t="str">
        <f>""&amp;Deflatores!B33</f>
        <v>Verificação de Erros (Sem Documentação de Teste existente)</v>
      </c>
      <c r="C39" s="136"/>
      <c r="D39" s="25" t="str">
        <f>""&amp;Deflatores!G33</f>
        <v>VES</v>
      </c>
      <c r="E39" s="108">
        <f>IF(D39="","",COUNTIF(Funções!C$8:C$467,D39))</f>
        <v>0</v>
      </c>
      <c r="F39" s="109">
        <f>SUMIF(Funções!$C$8:$C$467,Deflatores!G33,Funções!$H$8:$H$467)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 t="str">
        <f>IF($L$11&lt;&gt;0,I39/$L$11,"")</f>
        <v/>
      </c>
      <c r="K39" s="61"/>
      <c r="L39" s="61"/>
      <c r="M39" s="85"/>
    </row>
    <row r="40" spans="1:13" ht="13.5" customHeight="1" x14ac:dyDescent="0.25">
      <c r="A40" s="84"/>
      <c r="B40" s="136" t="str">
        <f>""&amp;Deflatores!B34</f>
        <v>Verificação de Erros (Com Documentação de Teste existente)</v>
      </c>
      <c r="C40" s="136"/>
      <c r="D40" s="25" t="str">
        <f>""&amp;Deflatores!G34</f>
        <v>VEC</v>
      </c>
      <c r="E40" s="108">
        <f>IF(D40="","",COUNTIF(Funções!C$8:C$467,D40))</f>
        <v>0</v>
      </c>
      <c r="F40" s="109">
        <f>SUMIF(Funções!$C$8:$C$467,Deflatores!G34,Funções!$H$8:$H$467)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 t="str">
        <f>IF($L$11&lt;&gt;0,I40/$L$11,"")</f>
        <v/>
      </c>
      <c r="K40" s="61"/>
      <c r="L40" s="61"/>
      <c r="M40" s="85"/>
    </row>
    <row r="41" spans="1:13" ht="13.5" customHeight="1" x14ac:dyDescent="0.25">
      <c r="A41" s="84"/>
      <c r="B41" s="136" t="str">
        <f>""&amp;Deflatores!B35</f>
        <v>Pontos de Função de Teste</v>
      </c>
      <c r="C41" s="136"/>
      <c r="D41" s="25" t="str">
        <f>""&amp;Deflatores!G35</f>
        <v>PFT</v>
      </c>
      <c r="E41" s="108">
        <f>IF(D41="","",COUNTIF(Funções!C$8:C$467,D41))</f>
        <v>0</v>
      </c>
      <c r="F41" s="109">
        <f>SUMIF(Funções!$C$8:$C$467,Deflatores!G35,Funções!$H$8:$H$467)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 t="str">
        <f>IF($L$11&lt;&gt;0,I41/$L$11,"")</f>
        <v/>
      </c>
      <c r="K41" s="61"/>
      <c r="L41" s="61"/>
      <c r="M41" s="85"/>
    </row>
    <row r="42" spans="1:13" ht="13.5" customHeight="1" x14ac:dyDescent="0.25">
      <c r="A42" s="84"/>
      <c r="B42" s="136" t="str">
        <f>""&amp;Deflatores!B36</f>
        <v>Componente Interno Reusável</v>
      </c>
      <c r="C42" s="136"/>
      <c r="D42" s="25" t="str">
        <f>""&amp;Deflatores!G36</f>
        <v>CIR</v>
      </c>
      <c r="E42" s="108">
        <f>IF(D42="","",COUNTIF(Funções!C$8:C$467,D42))</f>
        <v>0</v>
      </c>
      <c r="F42" s="109">
        <f>SUMIF(Funções!$C$8:$C$467,Deflatores!G36,Funções!$H$8:$H$467)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 t="str">
        <f t="shared" si="0"/>
        <v/>
      </c>
      <c r="K42" s="61"/>
      <c r="L42" s="61"/>
      <c r="M42" s="85"/>
    </row>
    <row r="43" spans="1:13" ht="13.5" customHeight="1" x14ac:dyDescent="0.25">
      <c r="A43" s="84"/>
      <c r="B43" s="136" t="str">
        <f>""&amp;Deflatores!B37</f>
        <v/>
      </c>
      <c r="C43" s="136"/>
      <c r="D43" s="25" t="str">
        <f>""&amp;Deflatores!G37</f>
        <v xml:space="preserve">           .</v>
      </c>
      <c r="E43" s="108">
        <f>IF(D43="","",COUNTIF(Funções!C$8:C$467,D43))</f>
        <v>0</v>
      </c>
      <c r="F43" s="109">
        <f>SUMIF(Funções!$C$8:$C$467,Deflatores!G37,Funções!$H$8:$H$467)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 t="str">
        <f t="shared" si="0"/>
        <v/>
      </c>
      <c r="K43" s="61"/>
      <c r="L43" s="61"/>
      <c r="M43" s="85"/>
    </row>
    <row r="44" spans="1:13" ht="13.5" customHeight="1" x14ac:dyDescent="0.25">
      <c r="A44" s="84"/>
      <c r="B44" s="136" t="str">
        <f>""&amp;Deflatores!B38</f>
        <v/>
      </c>
      <c r="C44" s="136"/>
      <c r="D44" s="25" t="str">
        <f>""&amp;Deflatores!G38</f>
        <v xml:space="preserve">           .</v>
      </c>
      <c r="E44" s="108">
        <f>IF(D44="","",COUNTIF(Funções!C$8:C$467,D44))</f>
        <v>0</v>
      </c>
      <c r="F44" s="109">
        <f>SUMIF(Funções!$C$8:$C$467,Deflatores!G38,Funções!$H$8:$H$467)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 t="str">
        <f t="shared" si="0"/>
        <v/>
      </c>
      <c r="K44" s="61"/>
      <c r="L44" s="61"/>
      <c r="M44" s="85"/>
    </row>
    <row r="45" spans="1:13" ht="13.5" x14ac:dyDescent="0.3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35">
      <c r="A46" s="84"/>
      <c r="B46" s="167" t="s">
        <v>145</v>
      </c>
      <c r="C46" s="167"/>
      <c r="D46" s="167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35">
      <c r="A47" s="84"/>
      <c r="B47" s="136" t="str">
        <f>""&amp;Deflatores!B42</f>
        <v>Páginas Estáticas</v>
      </c>
      <c r="C47" s="136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 t="str">
        <f t="shared" ref="J47:J69" si="2">IF(ISNUMBER(I47),IF($L$11&lt;&gt;0,I47/$L$11,""),"")</f>
        <v/>
      </c>
      <c r="K47" s="61"/>
      <c r="L47" s="61"/>
      <c r="M47" s="85"/>
    </row>
    <row r="48" spans="1:13" ht="13.5" customHeight="1" x14ac:dyDescent="0.35">
      <c r="A48" s="84"/>
      <c r="B48" s="136" t="str">
        <f>""&amp;Deflatores!B43</f>
        <v>Manutenção Cosmética (atrelada a algo não funcional)</v>
      </c>
      <c r="C48" s="136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 t="str">
        <f t="shared" si="2"/>
        <v/>
      </c>
      <c r="K48" s="61"/>
      <c r="L48" s="61"/>
      <c r="M48" s="85"/>
    </row>
    <row r="49" spans="1:13" ht="13.5" x14ac:dyDescent="0.35">
      <c r="A49" s="84"/>
      <c r="B49" s="136" t="str">
        <f>""&amp;Deflatores!B44</f>
        <v>Dados de Código</v>
      </c>
      <c r="C49" s="136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 t="str">
        <f t="shared" si="2"/>
        <v/>
      </c>
      <c r="K49" s="61"/>
      <c r="L49" s="61"/>
      <c r="M49" s="85"/>
    </row>
    <row r="50" spans="1:13" ht="13.5" x14ac:dyDescent="0.35">
      <c r="A50" s="84"/>
      <c r="B50" s="136" t="str">
        <f>""&amp;Deflatores!B45</f>
        <v/>
      </c>
      <c r="C50" s="136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35">
      <c r="A51" s="84"/>
      <c r="B51" s="136" t="str">
        <f>""&amp;Deflatores!B46</f>
        <v/>
      </c>
      <c r="C51" s="136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35">
      <c r="A52" s="84"/>
      <c r="B52" s="136" t="str">
        <f>""&amp;Deflatores!B47</f>
        <v/>
      </c>
      <c r="C52" s="136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35">
      <c r="A53" s="84"/>
      <c r="B53" s="136" t="str">
        <f>""&amp;Deflatores!B48</f>
        <v/>
      </c>
      <c r="C53" s="136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35">
      <c r="A54" s="84"/>
      <c r="B54" s="136" t="str">
        <f>""&amp;Deflatores!B49</f>
        <v/>
      </c>
      <c r="C54" s="136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35">
      <c r="A55" s="84"/>
      <c r="B55" s="136" t="str">
        <f>""&amp;Deflatores!B50</f>
        <v/>
      </c>
      <c r="C55" s="136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35">
      <c r="A56" s="84"/>
      <c r="B56" s="136" t="str">
        <f>""&amp;Deflatores!B51</f>
        <v/>
      </c>
      <c r="C56" s="136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35">
      <c r="A57" s="84"/>
      <c r="B57" s="136" t="str">
        <f>""&amp;Deflatores!B52</f>
        <v/>
      </c>
      <c r="C57" s="136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35">
      <c r="A58" s="84"/>
      <c r="B58" s="136" t="str">
        <f>""&amp;Deflatores!B53</f>
        <v/>
      </c>
      <c r="C58" s="136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35">
      <c r="A59" s="84"/>
      <c r="B59" s="136" t="str">
        <f>""&amp;Deflatores!B54</f>
        <v/>
      </c>
      <c r="C59" s="136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35">
      <c r="A60" s="84"/>
      <c r="B60" s="136" t="str">
        <f>""&amp;Deflatores!B55</f>
        <v/>
      </c>
      <c r="C60" s="136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35">
      <c r="A61" s="84"/>
      <c r="B61" s="136" t="str">
        <f>""&amp;Deflatores!B56</f>
        <v/>
      </c>
      <c r="C61" s="136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35">
      <c r="A62" s="84"/>
      <c r="B62" s="136" t="str">
        <f>""&amp;Deflatores!B57</f>
        <v/>
      </c>
      <c r="C62" s="136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35">
      <c r="A63" s="84"/>
      <c r="B63" s="136" t="str">
        <f>""&amp;Deflatores!B58</f>
        <v/>
      </c>
      <c r="C63" s="136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35">
      <c r="A64" s="84"/>
      <c r="B64" s="136" t="str">
        <f>""&amp;Deflatores!B59</f>
        <v/>
      </c>
      <c r="C64" s="136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35">
      <c r="A65" s="84"/>
      <c r="B65" s="136" t="str">
        <f>""&amp;Deflatores!B60</f>
        <v/>
      </c>
      <c r="C65" s="136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35">
      <c r="A66" s="84"/>
      <c r="B66" s="136" t="str">
        <f>""&amp;Deflatores!B61</f>
        <v/>
      </c>
      <c r="C66" s="136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35">
      <c r="A67" s="84"/>
      <c r="B67" s="136" t="str">
        <f>""&amp;Deflatores!B62</f>
        <v/>
      </c>
      <c r="C67" s="136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35">
      <c r="A68" s="84"/>
      <c r="B68" s="136" t="str">
        <f>""&amp;Deflatores!B63</f>
        <v/>
      </c>
      <c r="C68" s="136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35">
      <c r="A69" s="84"/>
      <c r="B69" s="136" t="str">
        <f>""&amp;Deflatores!B64</f>
        <v/>
      </c>
      <c r="C69" s="136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3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&amp;C&amp;"Calibri"&amp;11&amp;K000000Página &amp;P de &amp;N_x000D_&amp;1#&amp;"Arial"&amp;6&amp;K626469Internal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Contagem!Print_Area</vt:lpstr>
      <vt:lpstr>Funções!Print_Titles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BARBARA BACELAR DE CARVALHO</cp:lastModifiedBy>
  <cp:lastPrinted>2015-06-26T20:29:38Z</cp:lastPrinted>
  <dcterms:created xsi:type="dcterms:W3CDTF">2015-06-26T19:24:40Z</dcterms:created>
  <dcterms:modified xsi:type="dcterms:W3CDTF">2021-09-21T22:34:26Z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2021-09-21T22:34:25Z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f02a462c-dcc7-4e59-9d69-89298a828b88</vt:lpwstr>
  </property>
  <property fmtid="{D5CDD505-2E9C-101B-9397-08002B2CF9AE}" pid="10" name="MSIP_Label_23f93e5f-d3c2-49a7-ba94-15405423c204_ContentBits">
    <vt:lpwstr>2</vt:lpwstr>
  </property>
</Properties>
</file>