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ftv\Desktop\NOSSA CASA\FLORA\Pré-inscrição de Alunos Especiais_files\CURSO 304\TRABALHO\"/>
    </mc:Choice>
  </mc:AlternateContent>
  <bookViews>
    <workbookView xWindow="0" yWindow="0" windowWidth="20490" windowHeight="7455" tabRatio="801"/>
  </bookViews>
  <sheets>
    <sheet name="ACL UC1 VERDE " sheetId="7" r:id="rId1"/>
    <sheet name="ACL UC1 AZUL" sheetId="5" r:id="rId2"/>
    <sheet name="ACL UC2 VERDE " sheetId="8" r:id="rId3"/>
    <sheet name="ACL UC2 AZUL " sheetId="6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oDyj61DZkGIRgai3TTXMODjGjfw=="/>
    </ext>
  </extLst>
</workbook>
</file>

<file path=xl/calcChain.xml><?xml version="1.0" encoding="utf-8"?>
<calcChain xmlns="http://schemas.openxmlformats.org/spreadsheetml/2006/main">
  <c r="K22" i="6" l="1"/>
  <c r="M23" i="8"/>
  <c r="L23" i="8"/>
  <c r="L22" i="8"/>
  <c r="K22" i="5"/>
  <c r="K27" i="5" s="1"/>
  <c r="L22" i="7"/>
  <c r="L23" i="7"/>
  <c r="M28" i="5"/>
  <c r="L28" i="5"/>
  <c r="K28" i="5"/>
  <c r="M27" i="5"/>
  <c r="L27" i="5"/>
  <c r="M27" i="7"/>
  <c r="L27" i="7"/>
  <c r="K27" i="7"/>
  <c r="M22" i="7"/>
  <c r="Q8" i="7"/>
  <c r="K8" i="7"/>
  <c r="K10" i="7"/>
  <c r="I28" i="7"/>
  <c r="H28" i="7"/>
  <c r="I24" i="7"/>
  <c r="H24" i="7"/>
  <c r="L21" i="7"/>
  <c r="M21" i="7" s="1"/>
  <c r="K21" i="7"/>
  <c r="D36" i="7"/>
  <c r="E35" i="7"/>
  <c r="C34" i="7"/>
  <c r="D35" i="7" s="1"/>
  <c r="C29" i="7"/>
  <c r="Q13" i="7"/>
  <c r="Q11" i="7"/>
  <c r="Q6" i="7"/>
  <c r="Q5" i="7"/>
  <c r="Q4" i="7"/>
  <c r="K13" i="7"/>
  <c r="K11" i="7"/>
  <c r="K6" i="7"/>
  <c r="K5" i="7"/>
  <c r="K4" i="7"/>
  <c r="K22" i="8"/>
  <c r="C33" i="8"/>
  <c r="C28" i="8"/>
  <c r="D35" i="8"/>
  <c r="Q7" i="8"/>
  <c r="Q6" i="8"/>
  <c r="Q5" i="8"/>
  <c r="Q10" i="8" s="1"/>
  <c r="Q4" i="8"/>
  <c r="Q8" i="8" s="1"/>
  <c r="K9" i="5"/>
  <c r="Q13" i="6"/>
  <c r="Q11" i="6"/>
  <c r="C28" i="6"/>
  <c r="C34" i="6" s="1"/>
  <c r="D36" i="6" s="1"/>
  <c r="L14" i="6"/>
  <c r="L12" i="6"/>
  <c r="Q6" i="6"/>
  <c r="Q5" i="6"/>
  <c r="Q7" i="6" s="1"/>
  <c r="Q4" i="6"/>
  <c r="Q8" i="6" s="1"/>
  <c r="Q3" i="6"/>
  <c r="Q9" i="6" s="1"/>
  <c r="I27" i="6"/>
  <c r="H27" i="6"/>
  <c r="I24" i="6"/>
  <c r="H24" i="6"/>
  <c r="I15" i="6"/>
  <c r="K3" i="6"/>
  <c r="E3" i="6"/>
  <c r="M23" i="5"/>
  <c r="L23" i="5"/>
  <c r="K23" i="5"/>
  <c r="E35" i="5"/>
  <c r="I27" i="5"/>
  <c r="H27" i="5"/>
  <c r="I24" i="5"/>
  <c r="H24" i="5"/>
  <c r="R14" i="5"/>
  <c r="R12" i="5"/>
  <c r="D35" i="5"/>
  <c r="D36" i="5"/>
  <c r="C34" i="5"/>
  <c r="C28" i="5"/>
  <c r="Q10" i="7" l="1"/>
  <c r="Q7" i="7"/>
  <c r="K7" i="7"/>
  <c r="K9" i="7"/>
  <c r="D34" i="8"/>
  <c r="E34" i="8"/>
  <c r="Q10" i="6"/>
  <c r="Q12" i="6" s="1"/>
  <c r="R12" i="6" s="1"/>
  <c r="D35" i="6"/>
  <c r="E35" i="6"/>
  <c r="Q12" i="7" l="1"/>
  <c r="R12" i="7" s="1"/>
  <c r="K23" i="7" s="1"/>
  <c r="K28" i="7" s="1"/>
  <c r="Q14" i="7"/>
  <c r="R14" i="7" s="1"/>
  <c r="M23" i="7" s="1"/>
  <c r="M28" i="7" s="1"/>
  <c r="K12" i="7"/>
  <c r="L12" i="7" s="1"/>
  <c r="K22" i="7" s="1"/>
  <c r="K14" i="7"/>
  <c r="L14" i="7" s="1"/>
  <c r="Q14" i="6"/>
  <c r="R14" i="6" s="1"/>
  <c r="M23" i="6" s="1"/>
  <c r="L22" i="6"/>
  <c r="K23" i="6"/>
  <c r="M22" i="6"/>
  <c r="L28" i="7" l="1"/>
  <c r="L23" i="6"/>
  <c r="M21" i="5" l="1"/>
  <c r="L21" i="5"/>
  <c r="K21" i="5"/>
  <c r="Q9" i="5"/>
  <c r="Q7" i="5"/>
  <c r="Q6" i="5"/>
  <c r="Q5" i="5"/>
  <c r="Q10" i="5" s="1"/>
  <c r="Q4" i="5"/>
  <c r="Q3" i="5"/>
  <c r="Q8" i="5" s="1"/>
  <c r="G26" i="8"/>
  <c r="F26" i="8"/>
  <c r="G25" i="8"/>
  <c r="G27" i="8" s="1"/>
  <c r="F25" i="8"/>
  <c r="F27" i="8" s="1"/>
  <c r="G24" i="8"/>
  <c r="I24" i="8" s="1"/>
  <c r="G23" i="8"/>
  <c r="F23" i="8"/>
  <c r="G22" i="8"/>
  <c r="F22" i="8"/>
  <c r="F24" i="8" s="1"/>
  <c r="E8" i="8"/>
  <c r="E7" i="8"/>
  <c r="E9" i="8" s="1"/>
  <c r="K6" i="8"/>
  <c r="K10" i="8" s="1"/>
  <c r="E6" i="8"/>
  <c r="K5" i="8"/>
  <c r="E5" i="8"/>
  <c r="K4" i="8"/>
  <c r="K9" i="8" s="1"/>
  <c r="E4" i="8"/>
  <c r="G27" i="7"/>
  <c r="F27" i="7"/>
  <c r="G25" i="7"/>
  <c r="G28" i="7" s="1"/>
  <c r="F25" i="7"/>
  <c r="F28" i="7" s="1"/>
  <c r="G23" i="7"/>
  <c r="F23" i="7"/>
  <c r="G22" i="7"/>
  <c r="F22" i="7"/>
  <c r="E8" i="7"/>
  <c r="E10" i="7" s="1"/>
  <c r="E7" i="7"/>
  <c r="E9" i="7" s="1"/>
  <c r="E6" i="7"/>
  <c r="E5" i="7"/>
  <c r="E4" i="7"/>
  <c r="E3" i="7"/>
  <c r="K3" i="5"/>
  <c r="E11" i="5"/>
  <c r="E3" i="5"/>
  <c r="F24" i="7" l="1"/>
  <c r="G24" i="7"/>
  <c r="I27" i="8"/>
  <c r="Q13" i="8"/>
  <c r="Q14" i="8" s="1"/>
  <c r="R14" i="8" s="1"/>
  <c r="Q11" i="8"/>
  <c r="Q12" i="8" s="1"/>
  <c r="R12" i="8" s="1"/>
  <c r="K23" i="8" s="1"/>
  <c r="H27" i="8"/>
  <c r="K13" i="8"/>
  <c r="K11" i="8"/>
  <c r="H24" i="8"/>
  <c r="E10" i="8"/>
  <c r="E11" i="8"/>
  <c r="K21" i="8" s="1"/>
  <c r="K7" i="8"/>
  <c r="K8" i="8" s="1"/>
  <c r="E11" i="7"/>
  <c r="G26" i="6"/>
  <c r="F26" i="6"/>
  <c r="G25" i="6"/>
  <c r="G27" i="6" s="1"/>
  <c r="F25" i="6"/>
  <c r="F27" i="6" s="1"/>
  <c r="G23" i="6"/>
  <c r="F23" i="6"/>
  <c r="G22" i="6"/>
  <c r="G24" i="6" s="1"/>
  <c r="K13" i="6" s="1"/>
  <c r="F22" i="6"/>
  <c r="F24" i="6" s="1"/>
  <c r="K11" i="6" s="1"/>
  <c r="E8" i="6"/>
  <c r="E7" i="6"/>
  <c r="K6" i="6"/>
  <c r="E6" i="6"/>
  <c r="K5" i="6"/>
  <c r="E5" i="6"/>
  <c r="K4" i="6"/>
  <c r="E4" i="6"/>
  <c r="G26" i="5"/>
  <c r="G25" i="5"/>
  <c r="F26" i="5"/>
  <c r="F25" i="5"/>
  <c r="G23" i="5"/>
  <c r="G22" i="5"/>
  <c r="F23" i="5"/>
  <c r="F22" i="5"/>
  <c r="K6" i="5"/>
  <c r="K5" i="5"/>
  <c r="K7" i="5" s="1"/>
  <c r="K4" i="5"/>
  <c r="K8" i="5" s="1"/>
  <c r="E8" i="5"/>
  <c r="E7" i="5"/>
  <c r="E6" i="5"/>
  <c r="E5" i="5"/>
  <c r="E4" i="5"/>
  <c r="L21" i="8" l="1"/>
  <c r="K27" i="8"/>
  <c r="K28" i="8"/>
  <c r="L28" i="8"/>
  <c r="E9" i="6"/>
  <c r="G27" i="5"/>
  <c r="Q13" i="5" s="1"/>
  <c r="Q14" i="5" s="1"/>
  <c r="F27" i="5"/>
  <c r="Q11" i="5" s="1"/>
  <c r="Q12" i="5" s="1"/>
  <c r="F24" i="5"/>
  <c r="K11" i="5" s="1"/>
  <c r="G24" i="5"/>
  <c r="K13" i="5" s="1"/>
  <c r="K14" i="8"/>
  <c r="L14" i="8" s="1"/>
  <c r="K12" i="8"/>
  <c r="L12" i="8" s="1"/>
  <c r="E10" i="5"/>
  <c r="K9" i="6"/>
  <c r="K10" i="6"/>
  <c r="E10" i="6"/>
  <c r="K7" i="6"/>
  <c r="K8" i="6" s="1"/>
  <c r="E9" i="5"/>
  <c r="K14" i="5"/>
  <c r="L14" i="5" s="1"/>
  <c r="K10" i="5"/>
  <c r="E11" i="6" l="1"/>
  <c r="K21" i="6" s="1"/>
  <c r="M21" i="8"/>
  <c r="L27" i="8"/>
  <c r="M22" i="8"/>
  <c r="M22" i="5"/>
  <c r="L22" i="5"/>
  <c r="K12" i="5"/>
  <c r="L12" i="5" s="1"/>
  <c r="K12" i="6"/>
  <c r="K14" i="6"/>
  <c r="L21" i="6" l="1"/>
  <c r="K28" i="6"/>
  <c r="K27" i="6"/>
  <c r="M27" i="8"/>
  <c r="M28" i="8"/>
  <c r="M21" i="6" l="1"/>
  <c r="L28" i="6"/>
  <c r="L27" i="6"/>
  <c r="M27" i="6" l="1"/>
  <c r="M28" i="6"/>
</calcChain>
</file>

<file path=xl/sharedStrings.xml><?xml version="1.0" encoding="utf-8"?>
<sst xmlns="http://schemas.openxmlformats.org/spreadsheetml/2006/main" count="413" uniqueCount="78">
  <si>
    <t>ICMS</t>
  </si>
  <si>
    <t xml:space="preserve">DEMANDA PONTA </t>
  </si>
  <si>
    <t>DEMANDA FORA PONTA</t>
  </si>
  <si>
    <t xml:space="preserve">TUSD PONTA </t>
  </si>
  <si>
    <t xml:space="preserve">TUSD FORA PONTA </t>
  </si>
  <si>
    <t>PIS/COFINS</t>
  </si>
  <si>
    <t>TOTAL</t>
  </si>
  <si>
    <t>TE PONTA</t>
  </si>
  <si>
    <t>TE FORA PONTA</t>
  </si>
  <si>
    <t>QUANTIDADE</t>
  </si>
  <si>
    <t>KW</t>
  </si>
  <si>
    <t>PREÇOS [R$/MWH]</t>
  </si>
  <si>
    <t>****</t>
  </si>
  <si>
    <t>MWH</t>
  </si>
  <si>
    <t>DESCONTO LIVRE</t>
  </si>
  <si>
    <t>ICMS DIST.</t>
  </si>
  <si>
    <t>FATURA DE ENERGIA - ACL</t>
  </si>
  <si>
    <t>PREÇO[R$/MWH]</t>
  </si>
  <si>
    <t>ENERGIA I50%</t>
  </si>
  <si>
    <t>ENCARGOS</t>
  </si>
  <si>
    <t>ENERGIA CONVENCIONAL</t>
  </si>
  <si>
    <t>TRIMESTRE 1</t>
  </si>
  <si>
    <t>LONGO PRAZO</t>
  </si>
  <si>
    <t>TOTAL LONGO PRAZO</t>
  </si>
  <si>
    <t xml:space="preserve">TOTAL TRIMESTRE </t>
  </si>
  <si>
    <t>ICMS LIVRE TRIMESTRE</t>
  </si>
  <si>
    <t>ICMS LIVRE LONGO PRAZO</t>
  </si>
  <si>
    <t>TOTAL  CURTO PRAZO</t>
  </si>
  <si>
    <t>ACR UC2</t>
  </si>
  <si>
    <t>ACR UC1 - AZUL</t>
  </si>
  <si>
    <t>QUANTIDADE KWH</t>
  </si>
  <si>
    <t>DESCONTO I5 AZUL</t>
  </si>
  <si>
    <t>TARIFA CONSIDERADA DE PIS/COFINS</t>
  </si>
  <si>
    <t>ACL UC1 - CONVENCIONAL - AZUL</t>
  </si>
  <si>
    <t>ACL UC1 - INCENTIVADA -  AZUL</t>
  </si>
  <si>
    <t>ACLXACR - CONSOLIDADO - AZUL</t>
  </si>
  <si>
    <t>DESPESAS/ANO</t>
  </si>
  <si>
    <t>ACR</t>
  </si>
  <si>
    <t>ACL INCENTIVADA</t>
  </si>
  <si>
    <t>ACL CONVENCIONAL</t>
  </si>
  <si>
    <t>Custo Iniciais</t>
  </si>
  <si>
    <t>Contribuição Associativa Mensal CCEE</t>
  </si>
  <si>
    <t>Custo de Gestão</t>
  </si>
  <si>
    <t>Investimento SMF</t>
  </si>
  <si>
    <t>Emulumento de Adesão CCEE</t>
  </si>
  <si>
    <t>Custo fixos mensais</t>
  </si>
  <si>
    <t>TOTAL PRIMEIRO MÊS</t>
  </si>
  <si>
    <t xml:space="preserve">TOTAL MENSAL PRIMEIRO </t>
  </si>
  <si>
    <t>ENERGIA CONTRATADA ANUAL KWH</t>
  </si>
  <si>
    <t>ANUAL</t>
  </si>
  <si>
    <t>ANUAL FIXO</t>
  </si>
  <si>
    <t>CURTO PRAZO</t>
  </si>
  <si>
    <t>ACR UC2 AZUL</t>
  </si>
  <si>
    <t xml:space="preserve"> - </t>
  </si>
  <si>
    <t>ACL UC2 - CONVENCIONAL -  AZUL</t>
  </si>
  <si>
    <t>ACL UC2 -  AZUL</t>
  </si>
  <si>
    <t xml:space="preserve">TRIMESTRE </t>
  </si>
  <si>
    <t>ACL UC2 - INCENTIVADA - VERDE</t>
  </si>
  <si>
    <t>*****</t>
  </si>
  <si>
    <t>TOTAL  TRIMESTRE</t>
  </si>
  <si>
    <t>TOTAL PRIMEIRO ANO</t>
  </si>
  <si>
    <t>TOTAL  TRI</t>
  </si>
  <si>
    <t>ACL UC2 - CONVENCIONAL - VERDE</t>
  </si>
  <si>
    <t>ACLXACR - CONSOLIDADO - VERDE</t>
  </si>
  <si>
    <t>ACR UC1 - VERDE</t>
  </si>
  <si>
    <t>ACL UC1 - INCENTIVADA - VERDE</t>
  </si>
  <si>
    <t>ACL UC1 - CONVENCIONAL - VERDE</t>
  </si>
  <si>
    <t>ACL INCENTIVADA 50%</t>
  </si>
  <si>
    <t>2021 - 1ª TRIMESTRE</t>
  </si>
  <si>
    <t>RESULTADO R$/ANO - COM BASE NO ÍNDICE FORWARD</t>
  </si>
  <si>
    <t>RESULTADO R$/ANO -  COM BASE NO ÍNDICE FORWARD</t>
  </si>
  <si>
    <t>ICMS DISTRIBUIDORA</t>
  </si>
  <si>
    <t>RESPOSTA ÀS PERGUNTAS</t>
  </si>
  <si>
    <t>VALE A PENA MIGRAR PARA O MERCADO LIVRE?</t>
  </si>
  <si>
    <t>COMO LIVRE OU ESPECIAL?</t>
  </si>
  <si>
    <t>QUAL É A ECONOMIA ESTIMADA?</t>
  </si>
  <si>
    <t xml:space="preserve">QUAL O PREÇO DA ENERGIA?  </t>
  </si>
  <si>
    <t>A PARTIR DE QUANDO COMPENSA A MIGRAÇÃO?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</si>
</sst>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R$&quot;\ #,##0.00"/>
  </numFmts>
  <fonts count="6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5">
    <xf numFmtId="0" fontId="0" fillId="0" borderId="0" xfId="0" applyFont="1" applyAlignment="1"/>
    <xf numFmtId="0" fontId="2" fillId="0" borderId="0" xfId="0" applyFont="1" applyAlignment="1"/>
    <xf numFmtId="169" fontId="0" fillId="0" borderId="0" xfId="0" applyNumberFormat="1" applyFont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0" fillId="0" borderId="9" xfId="0" applyFont="1" applyBorder="1" applyAlignment="1"/>
    <xf numFmtId="169" fontId="0" fillId="0" borderId="9" xfId="0" applyNumberFormat="1" applyFont="1" applyBorder="1" applyAlignment="1"/>
    <xf numFmtId="0" fontId="2" fillId="0" borderId="5" xfId="0" applyFont="1" applyBorder="1" applyAlignment="1">
      <alignment horizontal="center"/>
    </xf>
    <xf numFmtId="4" fontId="0" fillId="0" borderId="0" xfId="0" applyNumberFormat="1" applyFont="1" applyAlignment="1"/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wrapText="1"/>
    </xf>
    <xf numFmtId="4" fontId="0" fillId="9" borderId="2" xfId="0" applyNumberFormat="1" applyFont="1" applyFill="1" applyBorder="1" applyAlignment="1"/>
    <xf numFmtId="4" fontId="0" fillId="9" borderId="19" xfId="0" applyNumberFormat="1" applyFont="1" applyFill="1" applyBorder="1" applyAlignment="1"/>
    <xf numFmtId="4" fontId="0" fillId="9" borderId="20" xfId="0" applyNumberFormat="1" applyFont="1" applyFill="1" applyBorder="1" applyAlignment="1"/>
    <xf numFmtId="4" fontId="0" fillId="9" borderId="23" xfId="0" applyNumberFormat="1" applyFont="1" applyFill="1" applyBorder="1" applyAlignment="1"/>
    <xf numFmtId="4" fontId="2" fillId="0" borderId="2" xfId="0" applyNumberFormat="1" applyFont="1" applyBorder="1" applyAlignment="1">
      <alignment horizontal="center"/>
    </xf>
    <xf numFmtId="4" fontId="2" fillId="9" borderId="2" xfId="0" applyNumberFormat="1" applyFont="1" applyFill="1" applyBorder="1" applyAlignment="1">
      <alignment wrapText="1"/>
    </xf>
    <xf numFmtId="0" fontId="0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6" xfId="0" applyFont="1" applyBorder="1" applyAlignment="1"/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/>
    <xf numFmtId="169" fontId="0" fillId="0" borderId="17" xfId="0" applyNumberFormat="1" applyFont="1" applyBorder="1" applyAlignment="1"/>
    <xf numFmtId="0" fontId="0" fillId="7" borderId="2" xfId="0" applyFont="1" applyFill="1" applyBorder="1" applyAlignment="1"/>
    <xf numFmtId="169" fontId="0" fillId="7" borderId="17" xfId="0" applyNumberFormat="1" applyFont="1" applyFill="1" applyBorder="1" applyAlignment="1"/>
    <xf numFmtId="0" fontId="2" fillId="8" borderId="18" xfId="0" applyFont="1" applyFill="1" applyBorder="1" applyAlignment="1"/>
    <xf numFmtId="0" fontId="0" fillId="8" borderId="19" xfId="0" applyFont="1" applyFill="1" applyBorder="1" applyAlignment="1"/>
    <xf numFmtId="169" fontId="0" fillId="8" borderId="20" xfId="0" applyNumberFormat="1" applyFont="1" applyFill="1" applyBorder="1" applyAlignment="1"/>
    <xf numFmtId="0" fontId="2" fillId="8" borderId="10" xfId="0" applyFont="1" applyFill="1" applyBorder="1" applyAlignment="1"/>
    <xf numFmtId="0" fontId="0" fillId="8" borderId="11" xfId="0" applyFont="1" applyFill="1" applyBorder="1" applyAlignment="1"/>
    <xf numFmtId="169" fontId="0" fillId="8" borderId="12" xfId="0" applyNumberFormat="1" applyFont="1" applyFill="1" applyBorder="1" applyAlignment="1"/>
    <xf numFmtId="0" fontId="2" fillId="0" borderId="25" xfId="0" applyFont="1" applyBorder="1" applyAlignment="1"/>
    <xf numFmtId="0" fontId="0" fillId="0" borderId="24" xfId="0" applyFont="1" applyBorder="1" applyAlignment="1"/>
    <xf numFmtId="169" fontId="0" fillId="0" borderId="26" xfId="0" applyNumberFormat="1" applyFont="1" applyFill="1" applyBorder="1" applyAlignment="1"/>
    <xf numFmtId="0" fontId="2" fillId="12" borderId="16" xfId="0" applyFont="1" applyFill="1" applyBorder="1" applyAlignment="1"/>
    <xf numFmtId="0" fontId="0" fillId="12" borderId="2" xfId="0" applyFont="1" applyFill="1" applyBorder="1" applyAlignment="1"/>
    <xf numFmtId="169" fontId="0" fillId="12" borderId="17" xfId="0" applyNumberFormat="1" applyFont="1" applyFill="1" applyBorder="1" applyAlignment="1"/>
    <xf numFmtId="0" fontId="2" fillId="7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wrapText="1"/>
    </xf>
    <xf numFmtId="0" fontId="2" fillId="5" borderId="17" xfId="0" applyFont="1" applyFill="1" applyBorder="1" applyAlignment="1">
      <alignment wrapText="1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9" fontId="0" fillId="0" borderId="0" xfId="0" applyNumberFormat="1" applyFont="1" applyFill="1" applyAlignment="1"/>
    <xf numFmtId="2" fontId="2" fillId="11" borderId="28" xfId="0" applyNumberFormat="1" applyFont="1" applyFill="1" applyBorder="1" applyAlignment="1">
      <alignment wrapText="1"/>
    </xf>
    <xf numFmtId="4" fontId="1" fillId="11" borderId="4" xfId="0" applyNumberFormat="1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4" fontId="0" fillId="9" borderId="3" xfId="0" applyNumberFormat="1" applyFont="1" applyFill="1" applyBorder="1" applyAlignment="1"/>
    <xf numFmtId="0" fontId="2" fillId="12" borderId="30" xfId="0" applyFont="1" applyFill="1" applyBorder="1" applyAlignment="1">
      <alignment horizontal="center"/>
    </xf>
    <xf numFmtId="0" fontId="2" fillId="12" borderId="31" xfId="0" applyFont="1" applyFill="1" applyBorder="1" applyAlignment="1">
      <alignment horizontal="center"/>
    </xf>
    <xf numFmtId="4" fontId="0" fillId="9" borderId="18" xfId="0" applyNumberFormat="1" applyFont="1" applyFill="1" applyBorder="1" applyAlignment="1"/>
    <xf numFmtId="4" fontId="0" fillId="9" borderId="38" xfId="0" applyNumberFormat="1" applyFont="1" applyFill="1" applyBorder="1" applyAlignment="1"/>
    <xf numFmtId="0" fontId="2" fillId="12" borderId="40" xfId="0" applyFont="1" applyFill="1" applyBorder="1" applyAlignment="1">
      <alignment horizontal="center"/>
    </xf>
    <xf numFmtId="4" fontId="2" fillId="9" borderId="2" xfId="0" applyNumberFormat="1" applyFont="1" applyFill="1" applyBorder="1" applyAlignment="1">
      <alignment horizontal="center"/>
    </xf>
    <xf numFmtId="4" fontId="0" fillId="9" borderId="3" xfId="0" applyNumberFormat="1" applyFont="1" applyFill="1" applyBorder="1" applyAlignment="1">
      <alignment horizontal="center"/>
    </xf>
    <xf numFmtId="4" fontId="2" fillId="12" borderId="2" xfId="0" applyNumberFormat="1" applyFont="1" applyFill="1" applyBorder="1" applyAlignment="1"/>
    <xf numFmtId="4" fontId="0" fillId="12" borderId="3" xfId="0" applyNumberFormat="1" applyFont="1" applyFill="1" applyBorder="1" applyAlignment="1"/>
    <xf numFmtId="4" fontId="0" fillId="12" borderId="16" xfId="0" applyNumberFormat="1" applyFont="1" applyFill="1" applyBorder="1" applyAlignment="1"/>
    <xf numFmtId="4" fontId="0" fillId="12" borderId="17" xfId="0" applyNumberFormat="1" applyFont="1" applyFill="1" applyBorder="1" applyAlignment="1"/>
    <xf numFmtId="4" fontId="2" fillId="12" borderId="2" xfId="0" applyNumberFormat="1" applyFont="1" applyFill="1" applyBorder="1" applyAlignment="1">
      <alignment horizontal="center"/>
    </xf>
    <xf numFmtId="4" fontId="0" fillId="12" borderId="3" xfId="0" applyNumberFormat="1" applyFont="1" applyFill="1" applyBorder="1" applyAlignment="1">
      <alignment horizontal="center"/>
    </xf>
    <xf numFmtId="4" fontId="0" fillId="12" borderId="34" xfId="0" applyNumberFormat="1" applyFont="1" applyFill="1" applyBorder="1" applyAlignment="1">
      <alignment horizontal="center"/>
    </xf>
    <xf numFmtId="4" fontId="0" fillId="12" borderId="37" xfId="0" applyNumberFormat="1" applyFont="1" applyFill="1" applyBorder="1" applyAlignment="1">
      <alignment horizontal="center"/>
    </xf>
    <xf numFmtId="4" fontId="2" fillId="9" borderId="24" xfId="0" applyNumberFormat="1" applyFont="1" applyFill="1" applyBorder="1" applyAlignment="1"/>
    <xf numFmtId="4" fontId="0" fillId="9" borderId="29" xfId="0" applyNumberFormat="1" applyFont="1" applyFill="1" applyBorder="1" applyAlignment="1"/>
    <xf numFmtId="4" fontId="0" fillId="9" borderId="10" xfId="0" applyNumberFormat="1" applyFont="1" applyFill="1" applyBorder="1" applyAlignment="1"/>
    <xf numFmtId="4" fontId="0" fillId="9" borderId="11" xfId="0" applyNumberFormat="1" applyFont="1" applyFill="1" applyBorder="1" applyAlignment="1"/>
    <xf numFmtId="4" fontId="0" fillId="9" borderId="8" xfId="0" applyNumberFormat="1" applyFont="1" applyFill="1" applyBorder="1" applyAlignment="1"/>
    <xf numFmtId="4" fontId="0" fillId="9" borderId="9" xfId="0" applyNumberFormat="1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4" fontId="0" fillId="9" borderId="2" xfId="0" applyNumberFormat="1" applyFont="1" applyFill="1" applyBorder="1" applyAlignment="1">
      <alignment horizontal="center"/>
    </xf>
    <xf numFmtId="4" fontId="0" fillId="8" borderId="32" xfId="0" applyNumberFormat="1" applyFont="1" applyFill="1" applyBorder="1" applyAlignment="1">
      <alignment horizontal="center"/>
    </xf>
    <xf numFmtId="4" fontId="0" fillId="8" borderId="39" xfId="0" applyNumberFormat="1" applyFont="1" applyFill="1" applyBorder="1" applyAlignment="1">
      <alignment horizontal="center"/>
    </xf>
    <xf numFmtId="4" fontId="3" fillId="8" borderId="18" xfId="0" applyNumberFormat="1" applyFont="1" applyFill="1" applyBorder="1" applyAlignment="1"/>
    <xf numFmtId="4" fontId="3" fillId="8" borderId="20" xfId="0" applyNumberFormat="1" applyFont="1" applyFill="1" applyBorder="1" applyAlignment="1"/>
    <xf numFmtId="4" fontId="3" fillId="12" borderId="16" xfId="0" applyNumberFormat="1" applyFont="1" applyFill="1" applyBorder="1" applyAlignment="1"/>
    <xf numFmtId="4" fontId="3" fillId="12" borderId="17" xfId="0" applyNumberFormat="1" applyFont="1" applyFill="1" applyBorder="1" applyAlignment="1"/>
    <xf numFmtId="4" fontId="3" fillId="12" borderId="2" xfId="0" applyNumberFormat="1" applyFont="1" applyFill="1" applyBorder="1" applyAlignment="1"/>
    <xf numFmtId="4" fontId="3" fillId="9" borderId="2" xfId="0" applyNumberFormat="1" applyFont="1" applyFill="1" applyBorder="1" applyAlignment="1">
      <alignment wrapText="1"/>
    </xf>
    <xf numFmtId="0" fontId="2" fillId="0" borderId="6" xfId="0" applyFont="1" applyFill="1" applyBorder="1" applyAlignment="1"/>
    <xf numFmtId="0" fontId="0" fillId="0" borderId="6" xfId="0" applyFont="1" applyFill="1" applyBorder="1" applyAlignment="1"/>
    <xf numFmtId="0" fontId="2" fillId="5" borderId="2" xfId="0" applyFont="1" applyFill="1" applyBorder="1" applyAlignment="1"/>
    <xf numFmtId="169" fontId="0" fillId="0" borderId="2" xfId="0" applyNumberFormat="1" applyFont="1" applyFill="1" applyBorder="1" applyAlignment="1"/>
    <xf numFmtId="169" fontId="0" fillId="0" borderId="0" xfId="0" applyNumberFormat="1" applyFont="1" applyFill="1" applyBorder="1" applyAlignment="1"/>
    <xf numFmtId="0" fontId="0" fillId="0" borderId="0" xfId="0" applyNumberFormat="1" applyFont="1" applyBorder="1" applyAlignment="1"/>
    <xf numFmtId="0" fontId="2" fillId="5" borderId="2" xfId="0" applyFont="1" applyFill="1" applyBorder="1" applyAlignment="1">
      <alignment horizontal="center"/>
    </xf>
    <xf numFmtId="169" fontId="0" fillId="0" borderId="2" xfId="0" applyNumberFormat="1" applyFont="1" applyBorder="1" applyAlignment="1"/>
    <xf numFmtId="169" fontId="2" fillId="0" borderId="2" xfId="0" applyNumberFormat="1" applyFont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0" borderId="16" xfId="0" applyFont="1" applyBorder="1" applyAlignment="1">
      <alignment wrapText="1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169" fontId="0" fillId="0" borderId="2" xfId="0" applyNumberFormat="1" applyFont="1" applyBorder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/>
    </xf>
    <xf numFmtId="169" fontId="2" fillId="0" borderId="35" xfId="0" applyNumberFormat="1" applyFont="1" applyBorder="1" applyAlignment="1">
      <alignment horizontal="center" vertical="center"/>
    </xf>
    <xf numFmtId="0" fontId="2" fillId="5" borderId="45" xfId="0" applyFont="1" applyFill="1" applyBorder="1" applyAlignment="1">
      <alignment horizontal="center"/>
    </xf>
    <xf numFmtId="0" fontId="0" fillId="5" borderId="46" xfId="0" applyFont="1" applyFill="1" applyBorder="1" applyAlignment="1">
      <alignment horizontal="center"/>
    </xf>
    <xf numFmtId="169" fontId="0" fillId="5" borderId="12" xfId="0" applyNumberFormat="1" applyFont="1" applyFill="1" applyBorder="1" applyAlignment="1"/>
    <xf numFmtId="4" fontId="2" fillId="8" borderId="24" xfId="0" applyNumberFormat="1" applyFont="1" applyFill="1" applyBorder="1" applyAlignment="1">
      <alignment horizontal="center"/>
    </xf>
    <xf numFmtId="4" fontId="0" fillId="8" borderId="24" xfId="0" applyNumberFormat="1" applyFont="1" applyFill="1" applyBorder="1" applyAlignment="1">
      <alignment horizontal="center"/>
    </xf>
    <xf numFmtId="4" fontId="2" fillId="8" borderId="2" xfId="0" applyNumberFormat="1" applyFont="1" applyFill="1" applyBorder="1" applyAlignment="1">
      <alignment horizontal="center" wrapText="1"/>
    </xf>
    <xf numFmtId="4" fontId="0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/>
    <xf numFmtId="4" fontId="3" fillId="8" borderId="2" xfId="0" applyNumberFormat="1" applyFont="1" applyFill="1" applyBorder="1" applyAlignment="1">
      <alignment horizontal="center"/>
    </xf>
    <xf numFmtId="169" fontId="2" fillId="5" borderId="16" xfId="0" applyNumberFormat="1" applyFont="1" applyFill="1" applyBorder="1" applyAlignment="1"/>
    <xf numFmtId="0" fontId="0" fillId="5" borderId="2" xfId="0" applyNumberFormat="1" applyFont="1" applyFill="1" applyBorder="1" applyAlignment="1">
      <alignment horizontal="center"/>
    </xf>
    <xf numFmtId="0" fontId="0" fillId="5" borderId="17" xfId="0" applyNumberFormat="1" applyFont="1" applyFill="1" applyBorder="1" applyAlignment="1">
      <alignment horizontal="center"/>
    </xf>
    <xf numFmtId="169" fontId="2" fillId="14" borderId="13" xfId="0" applyNumberFormat="1" applyFont="1" applyFill="1" applyBorder="1" applyAlignment="1">
      <alignment horizontal="center"/>
    </xf>
    <xf numFmtId="169" fontId="2" fillId="14" borderId="14" xfId="0" applyNumberFormat="1" applyFont="1" applyFill="1" applyBorder="1" applyAlignment="1">
      <alignment horizontal="center"/>
    </xf>
    <xf numFmtId="169" fontId="2" fillId="14" borderId="15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5" borderId="22" xfId="0" applyFont="1" applyFill="1" applyBorder="1" applyAlignment="1"/>
    <xf numFmtId="0" fontId="2" fillId="5" borderId="23" xfId="0" applyFont="1" applyFill="1" applyBorder="1" applyAlignment="1"/>
    <xf numFmtId="0" fontId="2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9" fontId="0" fillId="18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169" fontId="0" fillId="0" borderId="19" xfId="0" applyNumberFormat="1" applyFont="1" applyBorder="1" applyAlignment="1"/>
    <xf numFmtId="169" fontId="0" fillId="0" borderId="20" xfId="0" applyNumberFormat="1" applyFont="1" applyBorder="1" applyAlignment="1"/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12" borderId="2" xfId="0" applyFont="1" applyFill="1" applyBorder="1" applyAlignment="1"/>
    <xf numFmtId="169" fontId="0" fillId="12" borderId="2" xfId="0" applyNumberFormat="1" applyFont="1" applyFill="1" applyBorder="1" applyAlignment="1"/>
    <xf numFmtId="0" fontId="2" fillId="7" borderId="2" xfId="0" applyFont="1" applyFill="1" applyBorder="1" applyAlignment="1"/>
    <xf numFmtId="169" fontId="0" fillId="7" borderId="2" xfId="0" applyNumberFormat="1" applyFont="1" applyFill="1" applyBorder="1" applyAlignment="1"/>
    <xf numFmtId="0" fontId="2" fillId="0" borderId="2" xfId="0" applyFont="1" applyFill="1" applyBorder="1" applyAlignment="1"/>
    <xf numFmtId="0" fontId="0" fillId="8" borderId="2" xfId="0" applyFont="1" applyFill="1" applyBorder="1" applyAlignment="1"/>
    <xf numFmtId="169" fontId="0" fillId="8" borderId="2" xfId="0" applyNumberFormat="1" applyFont="1" applyFill="1" applyBorder="1" applyAlignment="1"/>
    <xf numFmtId="0" fontId="0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4" fontId="0" fillId="12" borderId="22" xfId="0" applyNumberFormat="1" applyFont="1" applyFill="1" applyBorder="1" applyAlignment="1"/>
    <xf numFmtId="4" fontId="0" fillId="12" borderId="2" xfId="0" applyNumberFormat="1" applyFont="1" applyFill="1" applyBorder="1" applyAlignment="1"/>
    <xf numFmtId="4" fontId="0" fillId="12" borderId="22" xfId="0" applyNumberFormat="1" applyFont="1" applyFill="1" applyBorder="1" applyAlignment="1">
      <alignment horizontal="center"/>
    </xf>
    <xf numFmtId="4" fontId="0" fillId="9" borderId="24" xfId="0" applyNumberFormat="1" applyFont="1" applyFill="1" applyBorder="1" applyAlignment="1"/>
    <xf numFmtId="4" fontId="0" fillId="9" borderId="0" xfId="0" applyNumberFormat="1" applyFont="1" applyFill="1" applyBorder="1" applyAlignment="1"/>
    <xf numFmtId="4" fontId="0" fillId="9" borderId="22" xfId="0" applyNumberFormat="1" applyFont="1" applyFill="1" applyBorder="1" applyAlignment="1">
      <alignment horizontal="center"/>
    </xf>
    <xf numFmtId="4" fontId="3" fillId="9" borderId="2" xfId="0" applyNumberFormat="1" applyFont="1" applyFill="1" applyBorder="1" applyAlignment="1"/>
    <xf numFmtId="4" fontId="3" fillId="12" borderId="2" xfId="0" applyNumberFormat="1" applyFont="1" applyFill="1" applyBorder="1" applyAlignment="1">
      <alignment horizontal="center"/>
    </xf>
    <xf numFmtId="4" fontId="3" fillId="9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4" xfId="0" applyFont="1" applyFill="1" applyBorder="1" applyAlignment="1"/>
    <xf numFmtId="0" fontId="0" fillId="8" borderId="24" xfId="0" applyFont="1" applyFill="1" applyBorder="1" applyAlignment="1"/>
    <xf numFmtId="0" fontId="2" fillId="4" borderId="2" xfId="0" applyFont="1" applyFill="1" applyBorder="1" applyAlignment="1">
      <alignment horizontal="center"/>
    </xf>
    <xf numFmtId="169" fontId="2" fillId="4" borderId="2" xfId="0" applyNumberFormat="1" applyFont="1" applyFill="1" applyBorder="1" applyAlignment="1"/>
    <xf numFmtId="0" fontId="2" fillId="14" borderId="2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3" fillId="18" borderId="47" xfId="0" applyFont="1" applyFill="1" applyBorder="1" applyAlignment="1">
      <alignment horizontal="center" vertical="center"/>
    </xf>
    <xf numFmtId="0" fontId="3" fillId="18" borderId="48" xfId="0" applyFont="1" applyFill="1" applyBorder="1" applyAlignment="1">
      <alignment horizontal="center" vertical="center"/>
    </xf>
    <xf numFmtId="0" fontId="3" fillId="18" borderId="43" xfId="0" applyFont="1" applyFill="1" applyBorder="1" applyAlignment="1">
      <alignment horizontal="center" vertical="center"/>
    </xf>
    <xf numFmtId="0" fontId="3" fillId="18" borderId="4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169" fontId="2" fillId="0" borderId="44" xfId="0" applyNumberFormat="1" applyFont="1" applyFill="1" applyBorder="1" applyAlignment="1"/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169" fontId="0" fillId="2" borderId="15" xfId="0" applyNumberFormat="1" applyFont="1" applyFill="1" applyBorder="1" applyAlignment="1"/>
    <xf numFmtId="169" fontId="0" fillId="17" borderId="15" xfId="0" applyNumberFormat="1" applyFont="1" applyFill="1" applyBorder="1" applyAlignment="1"/>
    <xf numFmtId="169" fontId="0" fillId="0" borderId="44" xfId="0" applyNumberFormat="1" applyFont="1" applyFill="1" applyBorder="1" applyAlignment="1"/>
    <xf numFmtId="0" fontId="0" fillId="0" borderId="44" xfId="0" applyFont="1" applyFill="1" applyBorder="1" applyAlignment="1"/>
    <xf numFmtId="0" fontId="2" fillId="14" borderId="50" xfId="0" applyFont="1" applyFill="1" applyBorder="1" applyAlignment="1">
      <alignment horizontal="center" vertical="center"/>
    </xf>
    <xf numFmtId="169" fontId="0" fillId="7" borderId="41" xfId="0" applyNumberFormat="1" applyFont="1" applyFill="1" applyBorder="1" applyAlignment="1"/>
    <xf numFmtId="0" fontId="0" fillId="0" borderId="51" xfId="0" applyFont="1" applyBorder="1" applyAlignment="1">
      <alignment horizontal="center" vertical="center"/>
    </xf>
    <xf numFmtId="169" fontId="0" fillId="8" borderId="42" xfId="0" applyNumberFormat="1" applyFont="1" applyFill="1" applyBorder="1" applyAlignment="1"/>
    <xf numFmtId="0" fontId="2" fillId="2" borderId="13" xfId="0" applyFont="1" applyFill="1" applyBorder="1" applyAlignment="1"/>
    <xf numFmtId="0" fontId="0" fillId="2" borderId="14" xfId="0" applyFont="1" applyFill="1" applyBorder="1" applyAlignment="1"/>
    <xf numFmtId="0" fontId="2" fillId="2" borderId="16" xfId="0" applyFont="1" applyFill="1" applyBorder="1" applyAlignment="1"/>
    <xf numFmtId="0" fontId="0" fillId="2" borderId="2" xfId="0" applyFont="1" applyFill="1" applyBorder="1" applyAlignment="1"/>
    <xf numFmtId="169" fontId="0" fillId="2" borderId="17" xfId="0" applyNumberFormat="1" applyFont="1" applyFill="1" applyBorder="1" applyAlignment="1"/>
    <xf numFmtId="0" fontId="2" fillId="17" borderId="13" xfId="0" applyFont="1" applyFill="1" applyBorder="1" applyAlignment="1"/>
    <xf numFmtId="0" fontId="0" fillId="17" borderId="14" xfId="0" applyFont="1" applyFill="1" applyBorder="1" applyAlignment="1"/>
    <xf numFmtId="0" fontId="2" fillId="17" borderId="16" xfId="0" applyFont="1" applyFill="1" applyBorder="1" applyAlignment="1"/>
    <xf numFmtId="0" fontId="0" fillId="17" borderId="2" xfId="0" applyFont="1" applyFill="1" applyBorder="1" applyAlignment="1"/>
    <xf numFmtId="169" fontId="0" fillId="17" borderId="17" xfId="0" applyNumberFormat="1" applyFont="1" applyFill="1" applyBorder="1" applyAlignment="1"/>
    <xf numFmtId="0" fontId="0" fillId="11" borderId="2" xfId="0" applyFont="1" applyFill="1" applyBorder="1" applyAlignment="1"/>
    <xf numFmtId="0" fontId="2" fillId="8" borderId="16" xfId="0" applyFont="1" applyFill="1" applyBorder="1" applyAlignment="1"/>
    <xf numFmtId="169" fontId="0" fillId="8" borderId="17" xfId="0" applyNumberFormat="1" applyFont="1" applyFill="1" applyBorder="1" applyAlignment="1"/>
    <xf numFmtId="0" fontId="0" fillId="9" borderId="2" xfId="0" applyFont="1" applyFill="1" applyBorder="1" applyAlignment="1"/>
    <xf numFmtId="169" fontId="0" fillId="9" borderId="17" xfId="0" applyNumberFormat="1" applyFont="1" applyFill="1" applyBorder="1" applyAlignment="1"/>
    <xf numFmtId="169" fontId="0" fillId="9" borderId="20" xfId="0" applyNumberFormat="1" applyFont="1" applyFill="1" applyBorder="1" applyAlignment="1"/>
    <xf numFmtId="0" fontId="4" fillId="8" borderId="16" xfId="0" applyFont="1" applyFill="1" applyBorder="1" applyAlignment="1"/>
    <xf numFmtId="0" fontId="2" fillId="9" borderId="16" xfId="0" applyFont="1" applyFill="1" applyBorder="1" applyAlignment="1"/>
    <xf numFmtId="0" fontId="2" fillId="9" borderId="25" xfId="0" applyFont="1" applyFill="1" applyBorder="1" applyAlignment="1"/>
    <xf numFmtId="0" fontId="0" fillId="9" borderId="24" xfId="0" applyFont="1" applyFill="1" applyBorder="1" applyAlignment="1"/>
    <xf numFmtId="0" fontId="2" fillId="16" borderId="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2" fillId="18" borderId="50" xfId="0" applyFont="1" applyFill="1" applyBorder="1" applyAlignment="1">
      <alignment horizontal="center" vertical="center"/>
    </xf>
    <xf numFmtId="0" fontId="0" fillId="18" borderId="51" xfId="0" applyFont="1" applyFill="1" applyBorder="1" applyAlignment="1">
      <alignment horizontal="center" vertical="center"/>
    </xf>
    <xf numFmtId="169" fontId="0" fillId="18" borderId="52" xfId="0" applyNumberFormat="1" applyFont="1" applyFill="1" applyBorder="1" applyAlignment="1">
      <alignment horizontal="center" vertical="center"/>
    </xf>
    <xf numFmtId="4" fontId="3" fillId="12" borderId="22" xfId="0" applyNumberFormat="1" applyFont="1" applyFill="1" applyBorder="1" applyAlignment="1"/>
    <xf numFmtId="4" fontId="3" fillId="9" borderId="23" xfId="0" applyNumberFormat="1" applyFont="1" applyFill="1" applyBorder="1" applyAlignment="1">
      <alignment wrapText="1"/>
    </xf>
    <xf numFmtId="4" fontId="3" fillId="9" borderId="0" xfId="0" applyNumberFormat="1" applyFont="1" applyFill="1" applyBorder="1" applyAlignment="1">
      <alignment wrapText="1"/>
    </xf>
    <xf numFmtId="0" fontId="3" fillId="18" borderId="8" xfId="0" applyFont="1" applyFill="1" applyBorder="1" applyAlignment="1">
      <alignment horizontal="center" vertical="center"/>
    </xf>
    <xf numFmtId="0" fontId="3" fillId="18" borderId="44" xfId="0" applyFont="1" applyFill="1" applyBorder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4" fontId="3" fillId="8" borderId="38" xfId="0" applyNumberFormat="1" applyFont="1" applyFill="1" applyBorder="1" applyAlignment="1"/>
    <xf numFmtId="0" fontId="2" fillId="0" borderId="53" xfId="0" applyFont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3" borderId="53" xfId="0" applyFont="1" applyFill="1" applyBorder="1" applyAlignment="1">
      <alignment horizontal="center"/>
    </xf>
    <xf numFmtId="169" fontId="5" fillId="0" borderId="2" xfId="0" applyNumberFormat="1" applyFont="1" applyBorder="1" applyAlignment="1"/>
    <xf numFmtId="0" fontId="2" fillId="0" borderId="57" xfId="0" applyFont="1" applyBorder="1" applyAlignment="1">
      <alignment horizontal="center"/>
    </xf>
    <xf numFmtId="0" fontId="0" fillId="13" borderId="58" xfId="0" applyFont="1" applyFill="1" applyBorder="1" applyAlignment="1">
      <alignment horizontal="center"/>
    </xf>
    <xf numFmtId="0" fontId="2" fillId="13" borderId="53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169" fontId="0" fillId="0" borderId="17" xfId="0" applyNumberFormat="1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169" fontId="5" fillId="0" borderId="19" xfId="0" applyNumberFormat="1" applyFont="1" applyBorder="1" applyAlignment="1">
      <alignment horizontal="center" vertical="center"/>
    </xf>
    <xf numFmtId="169" fontId="0" fillId="0" borderId="19" xfId="0" applyNumberFormat="1" applyFont="1" applyBorder="1" applyAlignment="1">
      <alignment horizontal="center" vertical="center"/>
    </xf>
    <xf numFmtId="169" fontId="0" fillId="0" borderId="20" xfId="0" applyNumberFormat="1" applyFont="1" applyBorder="1" applyAlignment="1">
      <alignment horizontal="center" vertical="center"/>
    </xf>
    <xf numFmtId="0" fontId="2" fillId="10" borderId="54" xfId="0" applyFont="1" applyFill="1" applyBorder="1" applyAlignment="1">
      <alignment horizontal="center" vertical="center"/>
    </xf>
    <xf numFmtId="0" fontId="0" fillId="10" borderId="55" xfId="0" applyFont="1" applyFill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9" fontId="5" fillId="0" borderId="2" xfId="0" applyNumberFormat="1" applyFont="1" applyBorder="1" applyAlignment="1">
      <alignment horizontal="center" vertical="center"/>
    </xf>
    <xf numFmtId="2" fontId="2" fillId="11" borderId="27" xfId="0" applyNumberFormat="1" applyFont="1" applyFill="1" applyBorder="1" applyAlignment="1">
      <alignment wrapText="1"/>
    </xf>
    <xf numFmtId="0" fontId="2" fillId="11" borderId="2" xfId="0" applyFont="1" applyFill="1" applyBorder="1" applyAlignment="1"/>
    <xf numFmtId="0" fontId="0" fillId="11" borderId="3" xfId="0" applyFont="1" applyFill="1" applyBorder="1" applyAlignment="1"/>
    <xf numFmtId="0" fontId="0" fillId="11" borderId="22" xfId="0" applyFont="1" applyFill="1" applyBorder="1" applyAlignment="1"/>
    <xf numFmtId="0" fontId="2" fillId="11" borderId="3" xfId="0" applyFont="1" applyFill="1" applyBorder="1" applyAlignment="1">
      <alignment horizontal="left"/>
    </xf>
    <xf numFmtId="0" fontId="2" fillId="11" borderId="37" xfId="0" applyFont="1" applyFill="1" applyBorder="1" applyAlignment="1">
      <alignment horizontal="left"/>
    </xf>
    <xf numFmtId="0" fontId="2" fillId="11" borderId="22" xfId="0" applyFont="1" applyFill="1" applyBorder="1" applyAlignment="1">
      <alignment horizontal="left"/>
    </xf>
    <xf numFmtId="0" fontId="2" fillId="11" borderId="29" xfId="0" applyFont="1" applyFill="1" applyBorder="1" applyAlignment="1">
      <alignment horizontal="center" vertical="top"/>
    </xf>
    <xf numFmtId="0" fontId="2" fillId="11" borderId="44" xfId="0" applyFont="1" applyFill="1" applyBorder="1" applyAlignment="1">
      <alignment horizontal="center" vertical="top"/>
    </xf>
    <xf numFmtId="0" fontId="2" fillId="11" borderId="59" xfId="0" applyFont="1" applyFill="1" applyBorder="1" applyAlignment="1">
      <alignment horizontal="center" vertical="top"/>
    </xf>
    <xf numFmtId="0" fontId="2" fillId="11" borderId="60" xfId="0" applyFont="1" applyFill="1" applyBorder="1" applyAlignment="1">
      <alignment horizontal="center" vertical="top"/>
    </xf>
    <xf numFmtId="0" fontId="2" fillId="11" borderId="0" xfId="0" applyFont="1" applyFill="1" applyBorder="1" applyAlignment="1">
      <alignment horizontal="center" vertical="top"/>
    </xf>
    <xf numFmtId="0" fontId="2" fillId="11" borderId="61" xfId="0" applyFont="1" applyFill="1" applyBorder="1" applyAlignment="1">
      <alignment horizontal="center" vertical="top"/>
    </xf>
    <xf numFmtId="0" fontId="2" fillId="11" borderId="32" xfId="0" applyFont="1" applyFill="1" applyBorder="1" applyAlignment="1">
      <alignment horizontal="center" vertical="top"/>
    </xf>
    <xf numFmtId="0" fontId="2" fillId="11" borderId="39" xfId="0" applyFont="1" applyFill="1" applyBorder="1" applyAlignment="1">
      <alignment horizontal="center" vertical="top"/>
    </xf>
    <xf numFmtId="0" fontId="2" fillId="11" borderId="33" xfId="0" applyFont="1" applyFill="1" applyBorder="1" applyAlignment="1">
      <alignment horizontal="center" vertical="top"/>
    </xf>
    <xf numFmtId="0" fontId="2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J16" workbookViewId="0">
      <selection activeCell="P31" sqref="P31"/>
    </sheetView>
  </sheetViews>
  <sheetFormatPr defaultRowHeight="14.25" x14ac:dyDescent="0.2"/>
  <cols>
    <col min="1" max="1" width="23.25" customWidth="1"/>
    <col min="2" max="2" width="16.375" customWidth="1"/>
    <col min="3" max="3" width="13.875" customWidth="1"/>
    <col min="4" max="4" width="22.125" customWidth="1"/>
    <col min="5" max="5" width="17.875" customWidth="1"/>
    <col min="6" max="6" width="18.5" customWidth="1"/>
    <col min="7" max="7" width="25.125" customWidth="1"/>
    <col min="8" max="8" width="12.875" customWidth="1"/>
    <col min="9" max="9" width="12.625" customWidth="1"/>
    <col min="10" max="10" width="20.75" customWidth="1"/>
    <col min="11" max="11" width="18.75" customWidth="1"/>
    <col min="12" max="12" width="14.875" customWidth="1"/>
    <col min="13" max="13" width="23.625" customWidth="1"/>
    <col min="14" max="14" width="11.875" customWidth="1"/>
    <col min="15" max="15" width="18.375" customWidth="1"/>
    <col min="16" max="16" width="13.125" customWidth="1"/>
    <col min="17" max="17" width="15.25" customWidth="1"/>
    <col min="18" max="18" width="16.5" customWidth="1"/>
  </cols>
  <sheetData>
    <row r="1" spans="1:18" ht="15" thickBot="1" x14ac:dyDescent="0.25">
      <c r="A1" s="46" t="s">
        <v>64</v>
      </c>
      <c r="B1" s="47"/>
      <c r="C1" s="47"/>
      <c r="D1" s="47"/>
      <c r="E1" s="47"/>
      <c r="G1" s="49" t="s">
        <v>65</v>
      </c>
      <c r="H1" s="50"/>
      <c r="I1" s="50"/>
      <c r="J1" s="50"/>
      <c r="K1" s="51"/>
      <c r="M1" s="49" t="s">
        <v>66</v>
      </c>
      <c r="N1" s="50"/>
      <c r="O1" s="50"/>
      <c r="P1" s="50"/>
      <c r="Q1" s="51"/>
    </row>
    <row r="2" spans="1:18" x14ac:dyDescent="0.2">
      <c r="A2" s="12"/>
      <c r="B2" s="48" t="s">
        <v>9</v>
      </c>
      <c r="C2" s="48"/>
      <c r="D2" s="4" t="s">
        <v>11</v>
      </c>
      <c r="E2" s="14" t="s">
        <v>6</v>
      </c>
      <c r="G2" s="27"/>
      <c r="H2" s="52" t="s">
        <v>9</v>
      </c>
      <c r="I2" s="52"/>
      <c r="J2" s="15" t="s">
        <v>11</v>
      </c>
      <c r="K2" s="28" t="s">
        <v>6</v>
      </c>
      <c r="M2" s="27"/>
      <c r="N2" s="52" t="s">
        <v>9</v>
      </c>
      <c r="O2" s="52"/>
      <c r="P2" s="15" t="s">
        <v>11</v>
      </c>
      <c r="Q2" s="28" t="s">
        <v>6</v>
      </c>
    </row>
    <row r="3" spans="1:18" x14ac:dyDescent="0.2">
      <c r="A3" s="6" t="s">
        <v>1</v>
      </c>
      <c r="B3" s="58">
        <v>1400</v>
      </c>
      <c r="C3" s="8" t="s">
        <v>10</v>
      </c>
      <c r="D3" s="54">
        <v>23.13</v>
      </c>
      <c r="E3" s="11">
        <f>D3*B3</f>
        <v>32382</v>
      </c>
      <c r="G3" s="29" t="s">
        <v>1</v>
      </c>
      <c r="H3" s="173">
        <v>1400</v>
      </c>
      <c r="I3" s="24" t="s">
        <v>10</v>
      </c>
      <c r="J3" s="25" t="s">
        <v>12</v>
      </c>
      <c r="K3" s="212" t="s">
        <v>58</v>
      </c>
      <c r="M3" s="29" t="s">
        <v>1</v>
      </c>
      <c r="N3" s="173">
        <v>1400</v>
      </c>
      <c r="O3" s="24" t="s">
        <v>10</v>
      </c>
      <c r="P3" s="25" t="s">
        <v>12</v>
      </c>
      <c r="Q3" s="212" t="s">
        <v>58</v>
      </c>
    </row>
    <row r="4" spans="1:18" x14ac:dyDescent="0.2">
      <c r="A4" s="6" t="s">
        <v>2</v>
      </c>
      <c r="B4" s="58">
        <v>1400</v>
      </c>
      <c r="C4" s="8" t="s">
        <v>10</v>
      </c>
      <c r="D4" s="7">
        <v>15.48</v>
      </c>
      <c r="E4" s="11">
        <f>B4*D4</f>
        <v>21672</v>
      </c>
      <c r="G4" s="29" t="s">
        <v>2</v>
      </c>
      <c r="H4" s="173">
        <v>1400</v>
      </c>
      <c r="I4" s="24" t="s">
        <v>10</v>
      </c>
      <c r="J4" s="23">
        <v>15.48</v>
      </c>
      <c r="K4" s="30">
        <f>H4*J4</f>
        <v>21672</v>
      </c>
      <c r="M4" s="29" t="s">
        <v>2</v>
      </c>
      <c r="N4" s="173">
        <v>1400</v>
      </c>
      <c r="O4" s="24" t="s">
        <v>10</v>
      </c>
      <c r="P4" s="23">
        <v>15.48</v>
      </c>
      <c r="Q4" s="30">
        <f>N4*P4</f>
        <v>21672</v>
      </c>
    </row>
    <row r="5" spans="1:18" x14ac:dyDescent="0.2">
      <c r="A5" s="6" t="s">
        <v>3</v>
      </c>
      <c r="B5" s="162">
        <v>57.509056666666666</v>
      </c>
      <c r="C5" s="8" t="s">
        <v>13</v>
      </c>
      <c r="D5" s="7">
        <v>79.97</v>
      </c>
      <c r="E5" s="11">
        <f>B5*D5</f>
        <v>4598.9992616333329</v>
      </c>
      <c r="G5" s="29" t="s">
        <v>3</v>
      </c>
      <c r="H5" s="21">
        <v>57.509056666666666</v>
      </c>
      <c r="I5" s="24" t="s">
        <v>13</v>
      </c>
      <c r="J5" s="23">
        <v>642.12</v>
      </c>
      <c r="K5" s="30">
        <f>H5*J5</f>
        <v>36927.7154668</v>
      </c>
      <c r="M5" s="29" t="s">
        <v>3</v>
      </c>
      <c r="N5" s="21">
        <v>57.509056666666666</v>
      </c>
      <c r="O5" s="24" t="s">
        <v>13</v>
      </c>
      <c r="P5" s="23">
        <v>642.12</v>
      </c>
      <c r="Q5" s="30">
        <f>N5*P5</f>
        <v>36927.7154668</v>
      </c>
    </row>
    <row r="6" spans="1:18" x14ac:dyDescent="0.2">
      <c r="A6" s="6" t="s">
        <v>4</v>
      </c>
      <c r="B6" s="162">
        <v>453.70690952380966</v>
      </c>
      <c r="C6" s="8" t="s">
        <v>13</v>
      </c>
      <c r="D6" s="7">
        <v>79.97</v>
      </c>
      <c r="E6" s="11">
        <f>B6*D6</f>
        <v>36282.941554619058</v>
      </c>
      <c r="G6" s="29" t="s">
        <v>4</v>
      </c>
      <c r="H6" s="21">
        <v>453.70690952380966</v>
      </c>
      <c r="I6" s="24" t="s">
        <v>13</v>
      </c>
      <c r="J6" s="23">
        <v>79.97</v>
      </c>
      <c r="K6" s="30">
        <f>H6*J6</f>
        <v>36282.941554619058</v>
      </c>
      <c r="M6" s="29" t="s">
        <v>4</v>
      </c>
      <c r="N6" s="21">
        <v>453.70690952380966</v>
      </c>
      <c r="O6" s="24" t="s">
        <v>13</v>
      </c>
      <c r="P6" s="23">
        <v>79.97</v>
      </c>
      <c r="Q6" s="30">
        <f>N6*P6</f>
        <v>36282.941554619058</v>
      </c>
    </row>
    <row r="7" spans="1:18" ht="15" x14ac:dyDescent="0.25">
      <c r="A7" s="6" t="s">
        <v>7</v>
      </c>
      <c r="B7" s="162">
        <v>57.509056666666666</v>
      </c>
      <c r="C7" s="8" t="s">
        <v>13</v>
      </c>
      <c r="D7" s="7">
        <v>382.17</v>
      </c>
      <c r="E7" s="11">
        <f>B7*D7</f>
        <v>21978.236186300001</v>
      </c>
      <c r="G7" s="29" t="s">
        <v>5</v>
      </c>
      <c r="H7" s="26"/>
      <c r="I7" s="24"/>
      <c r="J7" s="23"/>
      <c r="K7" s="30">
        <f>SUM(K5:K6)*5.07%</f>
        <v>3711.7803109859465</v>
      </c>
      <c r="M7" s="29" t="s">
        <v>5</v>
      </c>
      <c r="N7" s="26"/>
      <c r="O7" s="24"/>
      <c r="P7" s="23"/>
      <c r="Q7" s="30">
        <f>SUM(Q5:Q6)*5.07%</f>
        <v>3711.7803109859465</v>
      </c>
    </row>
    <row r="8" spans="1:18" ht="15" x14ac:dyDescent="0.25">
      <c r="A8" s="6" t="s">
        <v>8</v>
      </c>
      <c r="B8" s="162">
        <v>453.70690952380966</v>
      </c>
      <c r="C8" s="8" t="s">
        <v>13</v>
      </c>
      <c r="D8" s="7">
        <v>236.55</v>
      </c>
      <c r="E8" s="11">
        <f>B8*D8</f>
        <v>107324.36944785719</v>
      </c>
      <c r="G8" s="29" t="s">
        <v>6</v>
      </c>
      <c r="H8" s="26"/>
      <c r="I8" s="24"/>
      <c r="J8" s="23"/>
      <c r="K8" s="30">
        <f>SUM(K4:K5)</f>
        <v>58599.7154668</v>
      </c>
      <c r="M8" s="29" t="s">
        <v>6</v>
      </c>
      <c r="N8" s="26"/>
      <c r="O8" s="24"/>
      <c r="P8" s="23"/>
      <c r="Q8" s="30">
        <f>SUM(Q4:Q6)</f>
        <v>94882.657021419058</v>
      </c>
    </row>
    <row r="9" spans="1:18" x14ac:dyDescent="0.2">
      <c r="A9" s="6" t="s">
        <v>5</v>
      </c>
      <c r="B9" s="7"/>
      <c r="C9" s="7"/>
      <c r="D9" s="7"/>
      <c r="E9" s="11">
        <f>SUM(E7:E8)*B12%</f>
        <v>6555.6421056517693</v>
      </c>
      <c r="G9" s="42" t="s">
        <v>14</v>
      </c>
      <c r="H9" s="43"/>
      <c r="I9" s="43"/>
      <c r="J9" s="43"/>
      <c r="K9" s="44">
        <f>((K4+K5)-K6)*50%</f>
        <v>11158.386956090471</v>
      </c>
      <c r="M9" s="42" t="s">
        <v>14</v>
      </c>
      <c r="N9" s="43"/>
      <c r="O9" s="43"/>
      <c r="P9" s="43"/>
      <c r="Q9" s="44"/>
    </row>
    <row r="10" spans="1:18" ht="15" thickBot="1" x14ac:dyDescent="0.25">
      <c r="A10" s="6" t="s">
        <v>0</v>
      </c>
      <c r="B10" s="7"/>
      <c r="C10" s="7"/>
      <c r="D10" s="7"/>
      <c r="E10" s="11">
        <f>SUM(E7:E8)*0.18</f>
        <v>23274.469014148293</v>
      </c>
      <c r="G10" s="39" t="s">
        <v>15</v>
      </c>
      <c r="H10" s="40"/>
      <c r="I10" s="40"/>
      <c r="J10" s="40"/>
      <c r="K10" s="41">
        <f>SUM(K4:K6)*0.18</f>
        <v>17078.878263855429</v>
      </c>
      <c r="M10" s="39" t="s">
        <v>15</v>
      </c>
      <c r="N10" s="40"/>
      <c r="O10" s="40"/>
      <c r="P10" s="40"/>
      <c r="Q10" s="41">
        <f>SUM(Q5:Q6)*0.18</f>
        <v>13177.91826385543</v>
      </c>
    </row>
    <row r="11" spans="1:18" ht="15" thickBot="1" x14ac:dyDescent="0.25">
      <c r="A11" s="36" t="s">
        <v>6</v>
      </c>
      <c r="B11" s="37"/>
      <c r="C11" s="37"/>
      <c r="D11" s="37"/>
      <c r="E11" s="38">
        <f>SUM(E3:E10)</f>
        <v>254068.65757020962</v>
      </c>
      <c r="G11" s="221" t="s">
        <v>25</v>
      </c>
      <c r="H11" s="222"/>
      <c r="I11" s="222"/>
      <c r="J11" s="222"/>
      <c r="K11" s="213">
        <f>F24*18%</f>
        <v>25361.195759999999</v>
      </c>
      <c r="L11" s="217" t="s">
        <v>49</v>
      </c>
      <c r="M11" s="221" t="s">
        <v>25</v>
      </c>
      <c r="N11" s="222"/>
      <c r="O11" s="222"/>
      <c r="P11" s="222"/>
      <c r="Q11" s="213">
        <f>F28*18%</f>
        <v>20007.079559999998</v>
      </c>
      <c r="R11" s="217" t="s">
        <v>49</v>
      </c>
    </row>
    <row r="12" spans="1:18" ht="30" thickBot="1" x14ac:dyDescent="0.3">
      <c r="A12" s="75" t="s">
        <v>32</v>
      </c>
      <c r="B12" s="76">
        <v>5.07</v>
      </c>
      <c r="G12" s="223" t="s">
        <v>61</v>
      </c>
      <c r="H12" s="224"/>
      <c r="I12" s="224"/>
      <c r="J12" s="224"/>
      <c r="K12" s="225">
        <f>K8-K9+K10+K11</f>
        <v>89881.402534564957</v>
      </c>
      <c r="L12" s="218">
        <f>K12*12</f>
        <v>1078576.8304147795</v>
      </c>
      <c r="M12" s="223" t="s">
        <v>61</v>
      </c>
      <c r="N12" s="224"/>
      <c r="O12" s="224"/>
      <c r="P12" s="224"/>
      <c r="Q12" s="225">
        <f>Q8-Q9+Q10+Q11</f>
        <v>128067.65484527449</v>
      </c>
      <c r="R12" s="218">
        <f>Q12*12</f>
        <v>1536811.8581432938</v>
      </c>
    </row>
    <row r="13" spans="1:18" x14ac:dyDescent="0.2">
      <c r="G13" s="238" t="s">
        <v>26</v>
      </c>
      <c r="H13" s="234"/>
      <c r="I13" s="234"/>
      <c r="J13" s="234"/>
      <c r="K13" s="235">
        <f>G24*18%</f>
        <v>20149.275599999997</v>
      </c>
      <c r="L13" s="219"/>
      <c r="M13" s="238" t="s">
        <v>26</v>
      </c>
      <c r="N13" s="234"/>
      <c r="O13" s="234"/>
      <c r="P13" s="234"/>
      <c r="Q13" s="235">
        <f>G28*18%</f>
        <v>16511.185079999999</v>
      </c>
      <c r="R13" s="219"/>
    </row>
    <row r="14" spans="1:18" ht="15" thickBot="1" x14ac:dyDescent="0.25">
      <c r="G14" s="239" t="s">
        <v>23</v>
      </c>
      <c r="H14" s="240"/>
      <c r="I14" s="240"/>
      <c r="J14" s="240"/>
      <c r="K14" s="236">
        <f>K8-K9+K10+K13</f>
        <v>84669.482374564948</v>
      </c>
      <c r="L14" s="220">
        <f>K14*12</f>
        <v>1016033.7884947794</v>
      </c>
      <c r="M14" s="239" t="s">
        <v>23</v>
      </c>
      <c r="N14" s="240"/>
      <c r="O14" s="240"/>
      <c r="P14" s="240"/>
      <c r="Q14" s="236">
        <f>Q8-Q9+Q10+Q13</f>
        <v>124571.76036527449</v>
      </c>
      <c r="R14" s="220">
        <f>Q14*12</f>
        <v>1494861.1243832938</v>
      </c>
    </row>
    <row r="15" spans="1:18" x14ac:dyDescent="0.2">
      <c r="H15" s="1"/>
      <c r="I15" s="2"/>
    </row>
    <row r="16" spans="1:18" x14ac:dyDescent="0.2">
      <c r="H16" s="1"/>
    </row>
    <row r="18" spans="2:17" ht="15" thickBot="1" x14ac:dyDescent="0.25"/>
    <row r="19" spans="2:17" ht="15" thickBot="1" x14ac:dyDescent="0.25">
      <c r="B19" s="175" t="s">
        <v>16</v>
      </c>
      <c r="C19" s="80"/>
      <c r="D19" s="80"/>
      <c r="E19" s="80"/>
      <c r="F19" s="80"/>
      <c r="G19" s="176"/>
      <c r="H19" s="156" t="s">
        <v>49</v>
      </c>
      <c r="I19" s="157"/>
      <c r="J19" s="145" t="s">
        <v>63</v>
      </c>
      <c r="K19" s="146"/>
      <c r="L19" s="146"/>
      <c r="M19" s="147"/>
    </row>
    <row r="20" spans="2:17" ht="28.5" customHeight="1" x14ac:dyDescent="0.2">
      <c r="B20" s="45" t="s">
        <v>30</v>
      </c>
      <c r="C20" s="45"/>
      <c r="D20" s="65" t="s">
        <v>17</v>
      </c>
      <c r="E20" s="66"/>
      <c r="F20" s="66"/>
      <c r="G20" s="67"/>
      <c r="H20" s="156"/>
      <c r="I20" s="157"/>
      <c r="J20" s="142" t="s">
        <v>36</v>
      </c>
      <c r="K20" s="143" t="s">
        <v>68</v>
      </c>
      <c r="L20" s="143">
        <v>2022</v>
      </c>
      <c r="M20" s="144">
        <v>2023</v>
      </c>
      <c r="O20" s="294" t="s">
        <v>72</v>
      </c>
      <c r="P20" s="294"/>
      <c r="Q20" s="294"/>
    </row>
    <row r="21" spans="2:17" x14ac:dyDescent="0.2">
      <c r="B21" s="45"/>
      <c r="C21" s="45"/>
      <c r="D21" s="59" t="s">
        <v>21</v>
      </c>
      <c r="E21" s="59" t="s">
        <v>22</v>
      </c>
      <c r="F21" s="59" t="s">
        <v>24</v>
      </c>
      <c r="G21" s="59" t="s">
        <v>23</v>
      </c>
      <c r="H21" s="158"/>
      <c r="I21" s="159"/>
      <c r="J21" s="150" t="s">
        <v>37</v>
      </c>
      <c r="K21" s="124">
        <f>(E11*12)+(E11*5%)</f>
        <v>3061527.3237210261</v>
      </c>
      <c r="L21" s="124">
        <f>K21+(K21*5%)</f>
        <v>3214603.6899070772</v>
      </c>
      <c r="M21" s="30">
        <f>L21+(L21*5%)</f>
        <v>3375333.8744024313</v>
      </c>
      <c r="O21" s="279" t="s">
        <v>73</v>
      </c>
      <c r="P21" s="231"/>
      <c r="Q21" s="231"/>
    </row>
    <row r="22" spans="2:17" ht="15" x14ac:dyDescent="0.25">
      <c r="B22" s="250" t="s">
        <v>18</v>
      </c>
      <c r="C22" s="180">
        <v>537.4</v>
      </c>
      <c r="D22" s="180">
        <v>252.18</v>
      </c>
      <c r="E22" s="93">
        <v>198.3</v>
      </c>
      <c r="F22" s="179">
        <f>C22*D22</f>
        <v>135521.53200000001</v>
      </c>
      <c r="G22" s="180">
        <f>C22*E22</f>
        <v>106566.42</v>
      </c>
      <c r="H22" s="155" t="s">
        <v>51</v>
      </c>
      <c r="I22" s="155" t="s">
        <v>22</v>
      </c>
      <c r="J22" s="150" t="s">
        <v>38</v>
      </c>
      <c r="K22" s="124">
        <f>H24+L12+E35+C31+C32</f>
        <v>2819471.0944147795</v>
      </c>
      <c r="L22" s="124">
        <f>L12+I24+E35+C31+C32</f>
        <v>2472009.7504147794</v>
      </c>
      <c r="M22" s="30">
        <f>L12+I24+E35</f>
        <v>2425506.7504147794</v>
      </c>
      <c r="O22" s="279" t="s">
        <v>74</v>
      </c>
      <c r="P22" s="280"/>
      <c r="Q22" s="281"/>
    </row>
    <row r="23" spans="2:17" ht="15" thickBot="1" x14ac:dyDescent="0.25">
      <c r="B23" s="179" t="s">
        <v>19</v>
      </c>
      <c r="C23" s="180">
        <v>537.4</v>
      </c>
      <c r="D23" s="180">
        <v>10</v>
      </c>
      <c r="E23" s="93">
        <v>10</v>
      </c>
      <c r="F23" s="179">
        <f>C23*E23</f>
        <v>5374</v>
      </c>
      <c r="G23" s="180">
        <f>C23*E23</f>
        <v>5374</v>
      </c>
      <c r="H23" s="155"/>
      <c r="I23" s="155"/>
      <c r="J23" s="151" t="s">
        <v>39</v>
      </c>
      <c r="K23" s="160">
        <f>R12+H28+C32+C33+E35</f>
        <v>2880765.0421432937</v>
      </c>
      <c r="L23" s="160">
        <f>R14+I28+E35+C31+C32</f>
        <v>2645754.6763832937</v>
      </c>
      <c r="M23" s="161">
        <f>R14+I28+E35</f>
        <v>2599251.6763832937</v>
      </c>
      <c r="O23" s="282" t="s">
        <v>75</v>
      </c>
      <c r="P23" s="283"/>
      <c r="Q23" s="284"/>
    </row>
    <row r="24" spans="2:17" ht="15.75" thickBot="1" x14ac:dyDescent="0.3">
      <c r="B24" s="95" t="s">
        <v>6</v>
      </c>
      <c r="C24" s="181"/>
      <c r="D24" s="180"/>
      <c r="E24" s="93"/>
      <c r="F24" s="95">
        <f>SUM(F22:F23)</f>
        <v>140895.53200000001</v>
      </c>
      <c r="G24" s="181">
        <f>SUM(G22:G23)</f>
        <v>111940.42</v>
      </c>
      <c r="H24" s="113">
        <f>F24*12</f>
        <v>1690746.3840000001</v>
      </c>
      <c r="I24" s="114">
        <f>G24*12</f>
        <v>1343285.04</v>
      </c>
      <c r="O24" s="282" t="s">
        <v>76</v>
      </c>
      <c r="P24" s="283"/>
      <c r="Q24" s="284"/>
    </row>
    <row r="25" spans="2:17" ht="30.75" thickBot="1" x14ac:dyDescent="0.3">
      <c r="B25" s="251" t="s">
        <v>20</v>
      </c>
      <c r="C25" s="18">
        <v>537.4</v>
      </c>
      <c r="D25" s="20">
        <v>196.83</v>
      </c>
      <c r="E25" s="18">
        <v>160.69</v>
      </c>
      <c r="F25" s="20">
        <f>D25*C25</f>
        <v>105776.442</v>
      </c>
      <c r="G25" s="18">
        <f>E25*C25</f>
        <v>86354.805999999997</v>
      </c>
      <c r="H25" s="199" t="s">
        <v>49</v>
      </c>
      <c r="I25" s="254"/>
      <c r="J25" s="259" t="s">
        <v>70</v>
      </c>
      <c r="K25" s="260"/>
      <c r="L25" s="260"/>
      <c r="M25" s="261"/>
      <c r="O25" s="285" t="s">
        <v>77</v>
      </c>
      <c r="P25" s="286"/>
      <c r="Q25" s="287"/>
    </row>
    <row r="26" spans="2:17" ht="15" x14ac:dyDescent="0.25">
      <c r="B26" s="252"/>
      <c r="C26" s="183"/>
      <c r="D26" s="183"/>
      <c r="E26" s="183"/>
      <c r="F26" s="183"/>
      <c r="G26" s="183"/>
      <c r="H26" s="253"/>
      <c r="I26" s="255"/>
      <c r="J26" s="258"/>
      <c r="K26" s="266" t="s">
        <v>68</v>
      </c>
      <c r="L26" s="262">
        <v>2022</v>
      </c>
      <c r="M26" s="262">
        <v>2023</v>
      </c>
      <c r="O26" s="288"/>
      <c r="P26" s="289"/>
      <c r="Q26" s="290"/>
    </row>
    <row r="27" spans="2:17" x14ac:dyDescent="0.2">
      <c r="B27" s="183" t="s">
        <v>19</v>
      </c>
      <c r="C27" s="183">
        <v>537.4</v>
      </c>
      <c r="D27" s="183">
        <v>10</v>
      </c>
      <c r="E27" s="183">
        <v>10</v>
      </c>
      <c r="F27" s="183">
        <f>E27*C27</f>
        <v>5374</v>
      </c>
      <c r="G27" s="183">
        <f>E27*C27</f>
        <v>5374</v>
      </c>
      <c r="H27" s="201"/>
      <c r="I27" s="256"/>
      <c r="J27" s="119" t="s">
        <v>67</v>
      </c>
      <c r="K27" s="124">
        <f>K21-K22</f>
        <v>242056.22930624662</v>
      </c>
      <c r="L27" s="124">
        <f>L21-L22</f>
        <v>742593.93949229782</v>
      </c>
      <c r="M27" s="124">
        <f>M21-M22</f>
        <v>949827.1239876519</v>
      </c>
      <c r="O27" s="288"/>
      <c r="P27" s="289"/>
      <c r="Q27" s="290"/>
    </row>
    <row r="28" spans="2:17" ht="15.75" thickBot="1" x14ac:dyDescent="0.3">
      <c r="B28" s="89" t="s">
        <v>6</v>
      </c>
      <c r="C28" s="184"/>
      <c r="D28" s="89"/>
      <c r="E28" s="184"/>
      <c r="F28" s="89">
        <f>SUM(F25:F27)</f>
        <v>111150.442</v>
      </c>
      <c r="G28" s="184">
        <f>SUM(G25:G27)</f>
        <v>91728.805999999997</v>
      </c>
      <c r="H28" s="111">
        <f>F28*12</f>
        <v>1333805.304</v>
      </c>
      <c r="I28" s="257">
        <f>G28*12</f>
        <v>1100745.672</v>
      </c>
      <c r="J28" s="119" t="s">
        <v>39</v>
      </c>
      <c r="K28" s="124">
        <f>K21-K23</f>
        <v>180762.28157773241</v>
      </c>
      <c r="L28" s="124">
        <f>L21-L23</f>
        <v>568849.01352378353</v>
      </c>
      <c r="M28" s="124">
        <f>M21-M23</f>
        <v>776082.19801913761</v>
      </c>
      <c r="O28" s="291"/>
      <c r="P28" s="292"/>
      <c r="Q28" s="293"/>
    </row>
    <row r="29" spans="2:17" ht="44.25" thickBot="1" x14ac:dyDescent="0.3">
      <c r="B29" s="138" t="s">
        <v>48</v>
      </c>
      <c r="C29" s="141">
        <f>C27*12</f>
        <v>6448.7999999999993</v>
      </c>
      <c r="D29" s="13"/>
      <c r="E29" s="13"/>
      <c r="F29" s="13"/>
      <c r="G29" s="13"/>
    </row>
    <row r="30" spans="2:17" ht="15" x14ac:dyDescent="0.25">
      <c r="B30" s="206" t="s">
        <v>40</v>
      </c>
      <c r="C30" s="207"/>
      <c r="D30" s="208"/>
      <c r="E30" s="13"/>
    </row>
    <row r="31" spans="2:17" x14ac:dyDescent="0.2">
      <c r="B31" s="29" t="s">
        <v>43</v>
      </c>
      <c r="C31" s="131">
        <v>40000</v>
      </c>
      <c r="D31" s="132"/>
    </row>
    <row r="32" spans="2:17" ht="29.25" thickBot="1" x14ac:dyDescent="0.25">
      <c r="B32" s="127" t="s">
        <v>44</v>
      </c>
      <c r="C32" s="131">
        <v>6503</v>
      </c>
      <c r="D32" s="132"/>
    </row>
    <row r="33" spans="2:5" ht="15" x14ac:dyDescent="0.25">
      <c r="B33" s="244" t="s">
        <v>45</v>
      </c>
      <c r="C33" s="245"/>
      <c r="D33" s="246"/>
      <c r="E33" s="247" t="s">
        <v>50</v>
      </c>
    </row>
    <row r="34" spans="2:5" ht="42.75" x14ac:dyDescent="0.2">
      <c r="B34" s="127" t="s">
        <v>41</v>
      </c>
      <c r="C34" s="125">
        <f>C29*0.1</f>
        <v>644.88</v>
      </c>
      <c r="D34" s="16" t="s">
        <v>47</v>
      </c>
      <c r="E34" s="248"/>
    </row>
    <row r="35" spans="2:5" ht="15" thickBot="1" x14ac:dyDescent="0.25">
      <c r="B35" s="29" t="s">
        <v>42</v>
      </c>
      <c r="C35" s="125">
        <v>3000</v>
      </c>
      <c r="D35" s="30">
        <f>C34+C35</f>
        <v>3644.88</v>
      </c>
      <c r="E35" s="249">
        <f>C34+C35</f>
        <v>3644.88</v>
      </c>
    </row>
    <row r="36" spans="2:5" ht="15" thickBot="1" x14ac:dyDescent="0.25">
      <c r="B36" s="133" t="s">
        <v>60</v>
      </c>
      <c r="C36" s="134"/>
      <c r="D36" s="135">
        <f>C31+C32+C34+C35</f>
        <v>50147.88</v>
      </c>
    </row>
  </sheetData>
  <mergeCells count="29">
    <mergeCell ref="O25:Q28"/>
    <mergeCell ref="B36:C36"/>
    <mergeCell ref="H19:I21"/>
    <mergeCell ref="J19:M19"/>
    <mergeCell ref="H22:H23"/>
    <mergeCell ref="I22:I23"/>
    <mergeCell ref="H25:I27"/>
    <mergeCell ref="J25:M25"/>
    <mergeCell ref="M1:Q1"/>
    <mergeCell ref="N2:O2"/>
    <mergeCell ref="B30:D30"/>
    <mergeCell ref="C31:D31"/>
    <mergeCell ref="C32:D32"/>
    <mergeCell ref="B33:D33"/>
    <mergeCell ref="O20:Q20"/>
    <mergeCell ref="O23:Q23"/>
    <mergeCell ref="O24:Q24"/>
    <mergeCell ref="B24:C24"/>
    <mergeCell ref="B28:C28"/>
    <mergeCell ref="D28:E28"/>
    <mergeCell ref="F24:G24"/>
    <mergeCell ref="F28:G28"/>
    <mergeCell ref="A1:E1"/>
    <mergeCell ref="G1:K1"/>
    <mergeCell ref="B2:C2"/>
    <mergeCell ref="H2:I2"/>
    <mergeCell ref="B19:G19"/>
    <mergeCell ref="B20:C21"/>
    <mergeCell ref="D20:G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12" sqref="A12"/>
    </sheetView>
  </sheetViews>
  <sheetFormatPr defaultRowHeight="14.25" x14ac:dyDescent="0.2"/>
  <cols>
    <col min="1" max="1" width="23.25" customWidth="1"/>
    <col min="2" max="2" width="16" customWidth="1"/>
    <col min="3" max="3" width="13.875" customWidth="1"/>
    <col min="4" max="4" width="22.125" customWidth="1"/>
    <col min="5" max="5" width="17.875" customWidth="1"/>
    <col min="6" max="6" width="18.5" customWidth="1"/>
    <col min="7" max="7" width="25.125" customWidth="1"/>
    <col min="8" max="8" width="12.875" customWidth="1"/>
    <col min="9" max="9" width="12.625" customWidth="1"/>
    <col min="10" max="10" width="18.75" customWidth="1"/>
    <col min="11" max="11" width="19" customWidth="1"/>
    <col min="12" max="12" width="15.75" customWidth="1"/>
    <col min="13" max="13" width="21.875" customWidth="1"/>
    <col min="14" max="14" width="16.625" customWidth="1"/>
    <col min="15" max="15" width="13.5" customWidth="1"/>
    <col min="16" max="16" width="18.125" customWidth="1"/>
    <col min="17" max="17" width="21.5" customWidth="1"/>
    <col min="18" max="18" width="14.375" bestFit="1" customWidth="1"/>
  </cols>
  <sheetData>
    <row r="1" spans="1:18" ht="15" thickBot="1" x14ac:dyDescent="0.25">
      <c r="A1" s="46" t="s">
        <v>29</v>
      </c>
      <c r="B1" s="47"/>
      <c r="C1" s="47"/>
      <c r="D1" s="47"/>
      <c r="E1" s="47"/>
      <c r="G1" s="49" t="s">
        <v>34</v>
      </c>
      <c r="H1" s="50"/>
      <c r="I1" s="50"/>
      <c r="J1" s="50"/>
      <c r="K1" s="51"/>
      <c r="M1" s="49" t="s">
        <v>33</v>
      </c>
      <c r="N1" s="50"/>
      <c r="O1" s="50"/>
      <c r="P1" s="50"/>
      <c r="Q1" s="51"/>
    </row>
    <row r="2" spans="1:18" x14ac:dyDescent="0.2">
      <c r="A2" s="77"/>
      <c r="B2" s="78" t="s">
        <v>9</v>
      </c>
      <c r="C2" s="78"/>
      <c r="D2" s="79" t="s">
        <v>11</v>
      </c>
      <c r="E2" s="79" t="s">
        <v>6</v>
      </c>
      <c r="G2" s="27"/>
      <c r="H2" s="52" t="s">
        <v>9</v>
      </c>
      <c r="I2" s="52"/>
      <c r="J2" s="15" t="s">
        <v>11</v>
      </c>
      <c r="K2" s="28" t="s">
        <v>6</v>
      </c>
      <c r="M2" s="27"/>
      <c r="N2" s="52" t="s">
        <v>9</v>
      </c>
      <c r="O2" s="52"/>
      <c r="P2" s="15" t="s">
        <v>11</v>
      </c>
      <c r="Q2" s="28" t="s">
        <v>6</v>
      </c>
    </row>
    <row r="3" spans="1:18" x14ac:dyDescent="0.2">
      <c r="A3" s="6" t="s">
        <v>1</v>
      </c>
      <c r="B3" s="58">
        <v>1400</v>
      </c>
      <c r="C3" s="8" t="s">
        <v>10</v>
      </c>
      <c r="D3" s="54">
        <v>23.13</v>
      </c>
      <c r="E3" s="11">
        <f>D3*B3</f>
        <v>32382</v>
      </c>
      <c r="G3" s="29" t="s">
        <v>1</v>
      </c>
      <c r="H3" s="55">
        <v>1400</v>
      </c>
      <c r="I3" s="24" t="s">
        <v>10</v>
      </c>
      <c r="J3" s="53">
        <v>23.13</v>
      </c>
      <c r="K3" s="30">
        <f>H3*J3</f>
        <v>32382</v>
      </c>
      <c r="M3" s="29" t="s">
        <v>1</v>
      </c>
      <c r="N3" s="55">
        <v>1400</v>
      </c>
      <c r="O3" s="24" t="s">
        <v>10</v>
      </c>
      <c r="P3" s="53">
        <v>23.13</v>
      </c>
      <c r="Q3" s="30">
        <f>N3*P3</f>
        <v>32382</v>
      </c>
    </row>
    <row r="4" spans="1:18" x14ac:dyDescent="0.2">
      <c r="A4" s="6" t="s">
        <v>2</v>
      </c>
      <c r="B4" s="58">
        <v>1400</v>
      </c>
      <c r="C4" s="8" t="s">
        <v>10</v>
      </c>
      <c r="D4" s="7">
        <v>15.48</v>
      </c>
      <c r="E4" s="11">
        <f>B4*D4</f>
        <v>21672</v>
      </c>
      <c r="G4" s="29" t="s">
        <v>2</v>
      </c>
      <c r="H4" s="55">
        <v>1400</v>
      </c>
      <c r="I4" s="24" t="s">
        <v>10</v>
      </c>
      <c r="J4" s="23">
        <v>15.48</v>
      </c>
      <c r="K4" s="30">
        <f>H4*J4</f>
        <v>21672</v>
      </c>
      <c r="M4" s="29" t="s">
        <v>2</v>
      </c>
      <c r="N4" s="55">
        <v>1400</v>
      </c>
      <c r="O4" s="24" t="s">
        <v>10</v>
      </c>
      <c r="P4" s="23">
        <v>15.48</v>
      </c>
      <c r="Q4" s="30">
        <f>N4*P4</f>
        <v>21672</v>
      </c>
    </row>
    <row r="5" spans="1:18" x14ac:dyDescent="0.2">
      <c r="A5" s="6" t="s">
        <v>3</v>
      </c>
      <c r="B5" s="56">
        <v>57.509056666666666</v>
      </c>
      <c r="C5" s="8" t="s">
        <v>13</v>
      </c>
      <c r="D5" s="7">
        <v>79.97</v>
      </c>
      <c r="E5" s="11">
        <f>B5*D5</f>
        <v>4598.9992616333329</v>
      </c>
      <c r="G5" s="29" t="s">
        <v>3</v>
      </c>
      <c r="H5" s="21">
        <v>57.509056666666666</v>
      </c>
      <c r="I5" s="24" t="s">
        <v>13</v>
      </c>
      <c r="J5" s="23">
        <v>79.97</v>
      </c>
      <c r="K5" s="30">
        <f>H5*J5</f>
        <v>4598.9992616333329</v>
      </c>
      <c r="M5" s="29" t="s">
        <v>3</v>
      </c>
      <c r="N5" s="21">
        <v>57.509056666666666</v>
      </c>
      <c r="O5" s="24" t="s">
        <v>13</v>
      </c>
      <c r="P5" s="23">
        <v>79.97</v>
      </c>
      <c r="Q5" s="30">
        <f>N5*P5</f>
        <v>4598.9992616333329</v>
      </c>
    </row>
    <row r="6" spans="1:18" x14ac:dyDescent="0.2">
      <c r="A6" s="6" t="s">
        <v>4</v>
      </c>
      <c r="B6" s="56">
        <v>453.70690952380966</v>
      </c>
      <c r="C6" s="8" t="s">
        <v>13</v>
      </c>
      <c r="D6" s="7">
        <v>79.97</v>
      </c>
      <c r="E6" s="11">
        <f>B6*D6</f>
        <v>36282.941554619058</v>
      </c>
      <c r="G6" s="29" t="s">
        <v>4</v>
      </c>
      <c r="H6" s="21">
        <v>453.70690952380966</v>
      </c>
      <c r="I6" s="24" t="s">
        <v>13</v>
      </c>
      <c r="J6" s="23">
        <v>79.97</v>
      </c>
      <c r="K6" s="30">
        <f>H6*J6</f>
        <v>36282.941554619058</v>
      </c>
      <c r="M6" s="29" t="s">
        <v>4</v>
      </c>
      <c r="N6" s="21">
        <v>453.70690952380966</v>
      </c>
      <c r="O6" s="24" t="s">
        <v>13</v>
      </c>
      <c r="P6" s="23">
        <v>79.97</v>
      </c>
      <c r="Q6" s="30">
        <f>N6*P6</f>
        <v>36282.941554619058</v>
      </c>
    </row>
    <row r="7" spans="1:18" ht="15" x14ac:dyDescent="0.25">
      <c r="A7" s="6" t="s">
        <v>7</v>
      </c>
      <c r="B7" s="56">
        <v>57.509056666666666</v>
      </c>
      <c r="C7" s="8" t="s">
        <v>13</v>
      </c>
      <c r="D7" s="7">
        <v>382.17</v>
      </c>
      <c r="E7" s="11">
        <f>B7*D7</f>
        <v>21978.236186300001</v>
      </c>
      <c r="G7" s="29" t="s">
        <v>5</v>
      </c>
      <c r="H7" s="26"/>
      <c r="I7" s="24"/>
      <c r="J7" s="23"/>
      <c r="K7" s="30">
        <f>SUM(K5:K6)*5.07%</f>
        <v>2072.7143993839964</v>
      </c>
      <c r="M7" s="29" t="s">
        <v>5</v>
      </c>
      <c r="N7" s="26"/>
      <c r="O7" s="24"/>
      <c r="P7" s="23"/>
      <c r="Q7" s="30">
        <f>SUM(Q5:Q6)*5.07%</f>
        <v>2072.7143993839964</v>
      </c>
    </row>
    <row r="8" spans="1:18" ht="15" x14ac:dyDescent="0.25">
      <c r="A8" s="6" t="s">
        <v>8</v>
      </c>
      <c r="B8" s="56">
        <v>453.70690952380966</v>
      </c>
      <c r="C8" s="8" t="s">
        <v>13</v>
      </c>
      <c r="D8" s="7">
        <v>236.55</v>
      </c>
      <c r="E8" s="11">
        <f>B8*D8</f>
        <v>107324.36944785719</v>
      </c>
      <c r="G8" s="29" t="s">
        <v>6</v>
      </c>
      <c r="H8" s="26"/>
      <c r="I8" s="24"/>
      <c r="J8" s="23"/>
      <c r="K8" s="30">
        <f>SUM(K3:K7)</f>
        <v>97008.65521563639</v>
      </c>
      <c r="M8" s="29" t="s">
        <v>6</v>
      </c>
      <c r="N8" s="26"/>
      <c r="O8" s="24"/>
      <c r="P8" s="23"/>
      <c r="Q8" s="30">
        <f>SUM(Q3:Q7)</f>
        <v>97008.65521563639</v>
      </c>
    </row>
    <row r="9" spans="1:18" x14ac:dyDescent="0.2">
      <c r="A9" s="6" t="s">
        <v>5</v>
      </c>
      <c r="B9" s="7"/>
      <c r="C9" s="7"/>
      <c r="D9" s="7"/>
      <c r="E9" s="11">
        <f>SUM(E7:E8)*B12%</f>
        <v>6555.6421056517693</v>
      </c>
      <c r="G9" s="42" t="s">
        <v>14</v>
      </c>
      <c r="H9" s="43"/>
      <c r="I9" s="43"/>
      <c r="J9" s="43"/>
      <c r="K9" s="44">
        <f>(K3+K4)*50%</f>
        <v>27027</v>
      </c>
      <c r="M9" s="42" t="s">
        <v>14</v>
      </c>
      <c r="N9" s="43"/>
      <c r="O9" s="43"/>
      <c r="P9" s="43"/>
      <c r="Q9" s="44">
        <f>P16+O15</f>
        <v>0</v>
      </c>
    </row>
    <row r="10" spans="1:18" ht="15" thickBot="1" x14ac:dyDescent="0.25">
      <c r="A10" s="6" t="s">
        <v>0</v>
      </c>
      <c r="B10" s="7"/>
      <c r="C10" s="7"/>
      <c r="D10" s="7"/>
      <c r="E10" s="11">
        <f>SUM(E7:E8)*0.18</f>
        <v>23274.469014148293</v>
      </c>
      <c r="G10" s="39" t="s">
        <v>71</v>
      </c>
      <c r="H10" s="40"/>
      <c r="I10" s="40"/>
      <c r="J10" s="40"/>
      <c r="K10" s="41">
        <f>SUM(K5:K6)*0.18</f>
        <v>7358.7493469254305</v>
      </c>
      <c r="M10" s="39" t="s">
        <v>15</v>
      </c>
      <c r="N10" s="40"/>
      <c r="O10" s="40"/>
      <c r="P10" s="40"/>
      <c r="Q10" s="41">
        <f>SUM(Q5:Q6)*0.18</f>
        <v>7358.7493469254305</v>
      </c>
    </row>
    <row r="11" spans="1:18" ht="15" thickBot="1" x14ac:dyDescent="0.25">
      <c r="A11" s="36" t="s">
        <v>6</v>
      </c>
      <c r="B11" s="37"/>
      <c r="C11" s="37"/>
      <c r="D11" s="37"/>
      <c r="E11" s="38">
        <f>SUM(E3:E10)</f>
        <v>254068.65757020962</v>
      </c>
      <c r="G11" s="226" t="s">
        <v>25</v>
      </c>
      <c r="H11" s="227"/>
      <c r="I11" s="227"/>
      <c r="J11" s="227"/>
      <c r="K11" s="214">
        <f>F24*18%</f>
        <v>28069.658784000003</v>
      </c>
      <c r="L11" s="217" t="s">
        <v>49</v>
      </c>
      <c r="M11" s="226" t="s">
        <v>25</v>
      </c>
      <c r="N11" s="227"/>
      <c r="O11" s="227"/>
      <c r="P11" s="227"/>
      <c r="Q11" s="214">
        <f>F27*18%</f>
        <v>22916.561183999998</v>
      </c>
      <c r="R11" s="217" t="s">
        <v>49</v>
      </c>
    </row>
    <row r="12" spans="1:18" ht="30" thickBot="1" x14ac:dyDescent="0.3">
      <c r="A12" s="75" t="s">
        <v>32</v>
      </c>
      <c r="B12" s="76">
        <v>5.07</v>
      </c>
      <c r="G12" s="228" t="s">
        <v>59</v>
      </c>
      <c r="H12" s="229"/>
      <c r="I12" s="229"/>
      <c r="J12" s="229"/>
      <c r="K12" s="230">
        <f>K8-K9+K10+K11</f>
        <v>105410.06334656182</v>
      </c>
      <c r="L12" s="218">
        <f>K12*12</f>
        <v>1264920.7601587418</v>
      </c>
      <c r="M12" s="228" t="s">
        <v>59</v>
      </c>
      <c r="N12" s="229"/>
      <c r="O12" s="229"/>
      <c r="P12" s="229"/>
      <c r="Q12" s="230">
        <f>Q8-Q9+Q10+Q11</f>
        <v>127283.96574656182</v>
      </c>
      <c r="R12" s="218">
        <f>Q12*12</f>
        <v>1527407.5889587419</v>
      </c>
    </row>
    <row r="13" spans="1:18" x14ac:dyDescent="0.2">
      <c r="G13" s="232" t="s">
        <v>26</v>
      </c>
      <c r="H13" s="171"/>
      <c r="I13" s="171"/>
      <c r="J13" s="171"/>
      <c r="K13" s="233">
        <f>G24*18%</f>
        <v>19290.988944000001</v>
      </c>
      <c r="L13" s="219"/>
      <c r="M13" s="237" t="s">
        <v>26</v>
      </c>
      <c r="N13" s="171"/>
      <c r="O13" s="171"/>
      <c r="P13" s="171"/>
      <c r="Q13" s="233">
        <f>G27*18%</f>
        <v>15784.121988000001</v>
      </c>
      <c r="R13" s="219"/>
    </row>
    <row r="14" spans="1:18" ht="15" thickBot="1" x14ac:dyDescent="0.25">
      <c r="G14" s="33" t="s">
        <v>23</v>
      </c>
      <c r="H14" s="34"/>
      <c r="I14" s="34"/>
      <c r="J14" s="34"/>
      <c r="K14" s="35">
        <f>K8-K9+K10+K13</f>
        <v>96631.393506561813</v>
      </c>
      <c r="L14" s="220">
        <f>K14*12</f>
        <v>1159576.7220787418</v>
      </c>
      <c r="M14" s="33" t="s">
        <v>23</v>
      </c>
      <c r="N14" s="34"/>
      <c r="O14" s="34"/>
      <c r="P14" s="34"/>
      <c r="Q14" s="35">
        <f>Q8-Q9+Q10+Q13</f>
        <v>120151.52655056182</v>
      </c>
      <c r="R14" s="220">
        <f>Q14*12</f>
        <v>1441818.3186067417</v>
      </c>
    </row>
    <row r="15" spans="1:18" x14ac:dyDescent="0.2">
      <c r="G15" s="73"/>
      <c r="H15" s="73"/>
      <c r="I15" s="74"/>
      <c r="M15" s="117"/>
      <c r="N15" s="118"/>
      <c r="O15" s="74"/>
    </row>
    <row r="16" spans="1:18" x14ac:dyDescent="0.2">
      <c r="G16" s="71"/>
      <c r="H16" s="71"/>
    </row>
    <row r="18" spans="2:14" ht="15" thickBot="1" x14ac:dyDescent="0.25"/>
    <row r="19" spans="2:14" ht="15.75" thickBot="1" x14ac:dyDescent="0.3">
      <c r="B19" s="209" t="s">
        <v>16</v>
      </c>
      <c r="C19" s="210"/>
      <c r="D19" s="210"/>
      <c r="E19" s="210"/>
      <c r="F19" s="210"/>
      <c r="G19" s="211"/>
      <c r="H19" s="156" t="s">
        <v>49</v>
      </c>
      <c r="I19" s="157"/>
      <c r="J19" s="145" t="s">
        <v>35</v>
      </c>
      <c r="K19" s="146"/>
      <c r="L19" s="146"/>
      <c r="M19" s="147"/>
      <c r="N19" s="121"/>
    </row>
    <row r="20" spans="2:14" ht="15" thickBot="1" x14ac:dyDescent="0.25">
      <c r="B20" s="45" t="s">
        <v>30</v>
      </c>
      <c r="C20" s="45"/>
      <c r="D20" s="83" t="s">
        <v>17</v>
      </c>
      <c r="E20" s="84"/>
      <c r="F20" s="84"/>
      <c r="G20" s="87"/>
      <c r="H20" s="156"/>
      <c r="I20" s="157"/>
      <c r="J20" s="142" t="s">
        <v>36</v>
      </c>
      <c r="K20" s="143" t="s">
        <v>68</v>
      </c>
      <c r="L20" s="143">
        <v>2022</v>
      </c>
      <c r="M20" s="144">
        <v>2023</v>
      </c>
      <c r="N20" s="122"/>
    </row>
    <row r="21" spans="2:14" ht="30" x14ac:dyDescent="0.2">
      <c r="B21" s="45"/>
      <c r="C21" s="81"/>
      <c r="D21" s="106" t="s">
        <v>56</v>
      </c>
      <c r="E21" s="107" t="s">
        <v>22</v>
      </c>
      <c r="F21" s="104" t="s">
        <v>24</v>
      </c>
      <c r="G21" s="105" t="s">
        <v>23</v>
      </c>
      <c r="H21" s="158"/>
      <c r="I21" s="159"/>
      <c r="J21" s="150" t="s">
        <v>37</v>
      </c>
      <c r="K21" s="124">
        <f>(E11*12)+(E11*5%)</f>
        <v>3061527.3237210261</v>
      </c>
      <c r="L21" s="124">
        <f>K21+(K21*5%)</f>
        <v>3214603.6899070772</v>
      </c>
      <c r="M21" s="30">
        <f>L21+(L21*5%)</f>
        <v>3375333.8744024313</v>
      </c>
    </row>
    <row r="22" spans="2:14" ht="15" x14ac:dyDescent="0.25">
      <c r="B22" s="115" t="s">
        <v>18</v>
      </c>
      <c r="C22" s="91">
        <v>511.22</v>
      </c>
      <c r="D22" s="92">
        <v>295.04000000000002</v>
      </c>
      <c r="E22" s="91">
        <v>199.64</v>
      </c>
      <c r="F22" s="92">
        <f>C22*D22</f>
        <v>150830.34880000001</v>
      </c>
      <c r="G22" s="91">
        <f>C22*E22</f>
        <v>102059.9608</v>
      </c>
      <c r="H22" s="155" t="s">
        <v>51</v>
      </c>
      <c r="I22" s="155" t="s">
        <v>22</v>
      </c>
      <c r="J22" s="150" t="s">
        <v>38</v>
      </c>
      <c r="K22" s="124">
        <f>H24+L12+E35+C31+C32</f>
        <v>3186347.8097587423</v>
      </c>
      <c r="L22" s="124">
        <f>L14+I24+E35+C31+C32</f>
        <v>2495759.1156787421</v>
      </c>
      <c r="M22" s="30">
        <f>L14+I24+E35</f>
        <v>2449256.1156787421</v>
      </c>
    </row>
    <row r="23" spans="2:14" ht="15" thickBot="1" x14ac:dyDescent="0.25">
      <c r="B23" s="90" t="s">
        <v>19</v>
      </c>
      <c r="C23" s="91">
        <v>511.22</v>
      </c>
      <c r="D23" s="92">
        <v>10</v>
      </c>
      <c r="E23" s="91">
        <v>10</v>
      </c>
      <c r="F23" s="92">
        <f>C23*E23</f>
        <v>5112.2000000000007</v>
      </c>
      <c r="G23" s="91">
        <f>C23*E23</f>
        <v>5112.2000000000007</v>
      </c>
      <c r="H23" s="155"/>
      <c r="I23" s="155"/>
      <c r="J23" s="151" t="s">
        <v>39</v>
      </c>
      <c r="K23" s="160">
        <f>R12+H27+C31+C32+E35</f>
        <v>3105294.7985587423</v>
      </c>
      <c r="L23" s="160">
        <f>R14+I27+C31+C32+E35</f>
        <v>2544209.5818067421</v>
      </c>
      <c r="M23" s="161">
        <f>R14+I27+E35</f>
        <v>2497706.5818067421</v>
      </c>
    </row>
    <row r="24" spans="2:14" ht="15.75" thickBot="1" x14ac:dyDescent="0.3">
      <c r="B24" s="94" t="s">
        <v>6</v>
      </c>
      <c r="C24" s="95"/>
      <c r="D24" s="96"/>
      <c r="E24" s="97"/>
      <c r="F24" s="113">
        <f>SUM(F22:F23)</f>
        <v>155942.54880000002</v>
      </c>
      <c r="G24" s="114">
        <f>SUM(G22:G23)</f>
        <v>107172.1608</v>
      </c>
      <c r="H24" s="113">
        <f>F24*12</f>
        <v>1871310.5856000003</v>
      </c>
      <c r="I24" s="114">
        <f>G24*12</f>
        <v>1286065.9295999999</v>
      </c>
    </row>
    <row r="25" spans="2:14" ht="30.75" thickBot="1" x14ac:dyDescent="0.3">
      <c r="B25" s="116" t="s">
        <v>20</v>
      </c>
      <c r="C25" s="82">
        <v>511.22</v>
      </c>
      <c r="D25" s="85">
        <v>239.04</v>
      </c>
      <c r="E25" s="86">
        <v>161.53</v>
      </c>
      <c r="F25" s="85">
        <f>D25*C25</f>
        <v>122202.0288</v>
      </c>
      <c r="G25" s="19">
        <f>E25*C25</f>
        <v>82577.366600000008</v>
      </c>
      <c r="H25" s="199" t="s">
        <v>49</v>
      </c>
      <c r="I25" s="200"/>
      <c r="J25" s="259" t="s">
        <v>69</v>
      </c>
      <c r="K25" s="260"/>
      <c r="L25" s="260"/>
      <c r="M25" s="261"/>
    </row>
    <row r="26" spans="2:14" ht="15" thickBot="1" x14ac:dyDescent="0.25">
      <c r="B26" s="98" t="s">
        <v>19</v>
      </c>
      <c r="C26" s="99">
        <v>511.22</v>
      </c>
      <c r="D26" s="100">
        <v>10</v>
      </c>
      <c r="E26" s="101">
        <v>10</v>
      </c>
      <c r="F26" s="102">
        <f>E26*C26</f>
        <v>5112.2000000000007</v>
      </c>
      <c r="G26" s="103">
        <f>E26*C26</f>
        <v>5112.2000000000007</v>
      </c>
      <c r="H26" s="201"/>
      <c r="I26" s="202"/>
      <c r="J26" s="258"/>
      <c r="K26" s="266" t="s">
        <v>68</v>
      </c>
      <c r="L26" s="262">
        <v>2022</v>
      </c>
      <c r="M26" s="262">
        <v>2023</v>
      </c>
    </row>
    <row r="27" spans="2:14" ht="15.75" thickBot="1" x14ac:dyDescent="0.3">
      <c r="B27" s="136" t="s">
        <v>6</v>
      </c>
      <c r="C27" s="137"/>
      <c r="D27" s="109"/>
      <c r="E27" s="110"/>
      <c r="F27" s="111">
        <f>SUM(F25:F26)</f>
        <v>127314.2288</v>
      </c>
      <c r="G27" s="112">
        <f>SUM(G25:G26)</f>
        <v>87689.566600000006</v>
      </c>
      <c r="H27" s="111">
        <f>F27*12</f>
        <v>1527770.7456</v>
      </c>
      <c r="I27" s="112">
        <f>G27*12</f>
        <v>1052274.7992</v>
      </c>
      <c r="J27" s="119" t="s">
        <v>67</v>
      </c>
      <c r="K27" s="263">
        <f>K21-K22</f>
        <v>-124820.48603771627</v>
      </c>
      <c r="L27" s="124">
        <f>L21-L22</f>
        <v>718844.57422833517</v>
      </c>
      <c r="M27" s="124">
        <f>M21-M22</f>
        <v>926077.75872368924</v>
      </c>
    </row>
    <row r="28" spans="2:14" ht="43.5" x14ac:dyDescent="0.25">
      <c r="B28" s="138" t="s">
        <v>48</v>
      </c>
      <c r="C28" s="141">
        <f>C26*12</f>
        <v>6134.64</v>
      </c>
      <c r="D28" s="139"/>
      <c r="E28" s="139"/>
      <c r="F28" s="140"/>
      <c r="G28" s="140"/>
      <c r="J28" s="119" t="s">
        <v>39</v>
      </c>
      <c r="K28" s="263">
        <f>K21-K23</f>
        <v>-43767.474837716203</v>
      </c>
      <c r="L28" s="124">
        <f>L21-L23</f>
        <v>670394.10810033511</v>
      </c>
      <c r="M28" s="124">
        <f>M21-M23</f>
        <v>877627.29259568918</v>
      </c>
    </row>
    <row r="29" spans="2:14" ht="15" thickBot="1" x14ac:dyDescent="0.25">
      <c r="B29" s="13"/>
      <c r="C29" s="13"/>
      <c r="D29" s="13"/>
      <c r="E29" s="13"/>
      <c r="F29" s="13"/>
      <c r="G29" s="13"/>
    </row>
    <row r="30" spans="2:14" ht="15" x14ac:dyDescent="0.25">
      <c r="B30" s="206" t="s">
        <v>40</v>
      </c>
      <c r="C30" s="207"/>
      <c r="D30" s="208"/>
      <c r="E30" s="13"/>
      <c r="F30" s="13"/>
      <c r="G30" s="13"/>
    </row>
    <row r="31" spans="2:14" x14ac:dyDescent="0.2">
      <c r="B31" s="29" t="s">
        <v>43</v>
      </c>
      <c r="C31" s="131">
        <v>40000</v>
      </c>
      <c r="D31" s="132"/>
    </row>
    <row r="32" spans="2:14" ht="28.5" x14ac:dyDescent="0.2">
      <c r="B32" s="127" t="s">
        <v>44</v>
      </c>
      <c r="C32" s="131">
        <v>6503</v>
      </c>
      <c r="D32" s="132"/>
    </row>
    <row r="33" spans="2:5" x14ac:dyDescent="0.2">
      <c r="B33" s="128" t="s">
        <v>45</v>
      </c>
      <c r="C33" s="123"/>
      <c r="D33" s="129"/>
      <c r="E33" s="152" t="s">
        <v>50</v>
      </c>
    </row>
    <row r="34" spans="2:5" ht="30" customHeight="1" x14ac:dyDescent="0.2">
      <c r="B34" s="127" t="s">
        <v>41</v>
      </c>
      <c r="C34" s="125">
        <f>C28*0.1</f>
        <v>613.46400000000006</v>
      </c>
      <c r="D34" s="16" t="s">
        <v>47</v>
      </c>
      <c r="E34" s="153"/>
    </row>
    <row r="35" spans="2:5" x14ac:dyDescent="0.2">
      <c r="B35" s="29" t="s">
        <v>42</v>
      </c>
      <c r="C35" s="125">
        <v>3000</v>
      </c>
      <c r="D35" s="30">
        <f>C34+C35</f>
        <v>3613.4639999999999</v>
      </c>
      <c r="E35" s="154">
        <f>C34+C35</f>
        <v>3613.4639999999999</v>
      </c>
    </row>
    <row r="36" spans="2:5" ht="15" thickBot="1" x14ac:dyDescent="0.25">
      <c r="B36" s="133" t="s">
        <v>60</v>
      </c>
      <c r="C36" s="134"/>
      <c r="D36" s="135">
        <f>C31+C32+C34+C35</f>
        <v>50116.464</v>
      </c>
    </row>
  </sheetData>
  <mergeCells count="26">
    <mergeCell ref="J25:M25"/>
    <mergeCell ref="H22:H23"/>
    <mergeCell ref="I22:I23"/>
    <mergeCell ref="H25:I26"/>
    <mergeCell ref="H19:I21"/>
    <mergeCell ref="B33:D33"/>
    <mergeCell ref="B30:D30"/>
    <mergeCell ref="B36:C36"/>
    <mergeCell ref="C31:D31"/>
    <mergeCell ref="C32:D32"/>
    <mergeCell ref="M1:Q1"/>
    <mergeCell ref="N2:O2"/>
    <mergeCell ref="J19:M19"/>
    <mergeCell ref="A1:E1"/>
    <mergeCell ref="B2:C2"/>
    <mergeCell ref="G1:K1"/>
    <mergeCell ref="H2:I2"/>
    <mergeCell ref="D20:G20"/>
    <mergeCell ref="B19:G19"/>
    <mergeCell ref="G15:H15"/>
    <mergeCell ref="G16:H16"/>
    <mergeCell ref="B24:C24"/>
    <mergeCell ref="B20:C21"/>
    <mergeCell ref="B27:C27"/>
    <mergeCell ref="D24:E24"/>
    <mergeCell ref="D27:E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B12" sqref="B12"/>
    </sheetView>
  </sheetViews>
  <sheetFormatPr defaultRowHeight="14.25" x14ac:dyDescent="0.2"/>
  <cols>
    <col min="1" max="1" width="23.25" customWidth="1"/>
    <col min="2" max="2" width="16.25" customWidth="1"/>
    <col min="3" max="3" width="13.875" customWidth="1"/>
    <col min="4" max="4" width="22.125" customWidth="1"/>
    <col min="5" max="5" width="17.875" customWidth="1"/>
    <col min="6" max="6" width="18.5" customWidth="1"/>
    <col min="7" max="7" width="25.125" customWidth="1"/>
    <col min="8" max="8" width="12.875" customWidth="1"/>
    <col min="9" max="9" width="12.625" customWidth="1"/>
    <col min="10" max="10" width="18.75" customWidth="1"/>
    <col min="11" max="11" width="18.875" customWidth="1"/>
    <col min="12" max="12" width="18.625" customWidth="1"/>
    <col min="13" max="13" width="24.375" customWidth="1"/>
    <col min="16" max="16" width="18.625" customWidth="1"/>
    <col min="17" max="17" width="19.25" customWidth="1"/>
    <col min="18" max="18" width="13.25" customWidth="1"/>
  </cols>
  <sheetData>
    <row r="1" spans="1:18" ht="15" thickBot="1" x14ac:dyDescent="0.25">
      <c r="A1" s="46" t="s">
        <v>28</v>
      </c>
      <c r="B1" s="47"/>
      <c r="C1" s="47"/>
      <c r="D1" s="47"/>
      <c r="E1" s="47"/>
      <c r="G1" s="49" t="s">
        <v>57</v>
      </c>
      <c r="H1" s="50"/>
      <c r="I1" s="50"/>
      <c r="J1" s="50"/>
      <c r="K1" s="51"/>
      <c r="M1" s="49" t="s">
        <v>62</v>
      </c>
      <c r="N1" s="50"/>
      <c r="O1" s="50"/>
      <c r="P1" s="50"/>
      <c r="Q1" s="51"/>
    </row>
    <row r="2" spans="1:18" x14ac:dyDescent="0.2">
      <c r="A2" s="12"/>
      <c r="B2" s="48" t="s">
        <v>9</v>
      </c>
      <c r="C2" s="48"/>
      <c r="D2" s="4" t="s">
        <v>11</v>
      </c>
      <c r="E2" s="14" t="s">
        <v>6</v>
      </c>
      <c r="G2" s="27"/>
      <c r="H2" s="52" t="s">
        <v>9</v>
      </c>
      <c r="I2" s="52"/>
      <c r="J2" s="15" t="s">
        <v>11</v>
      </c>
      <c r="K2" s="28" t="s">
        <v>6</v>
      </c>
      <c r="M2" s="27"/>
      <c r="N2" s="52" t="s">
        <v>9</v>
      </c>
      <c r="O2" s="52"/>
      <c r="P2" s="15" t="s">
        <v>11</v>
      </c>
      <c r="Q2" s="28" t="s">
        <v>6</v>
      </c>
    </row>
    <row r="3" spans="1:18" x14ac:dyDescent="0.2">
      <c r="A3" s="6" t="s">
        <v>1</v>
      </c>
      <c r="B3" s="58">
        <v>500</v>
      </c>
      <c r="C3" s="8" t="s">
        <v>10</v>
      </c>
      <c r="D3" s="9" t="s">
        <v>12</v>
      </c>
      <c r="E3" s="10"/>
      <c r="G3" s="29" t="s">
        <v>1</v>
      </c>
      <c r="H3" s="173">
        <v>500</v>
      </c>
      <c r="I3" s="24" t="s">
        <v>10</v>
      </c>
      <c r="J3" s="25" t="s">
        <v>12</v>
      </c>
      <c r="K3" s="212" t="s">
        <v>58</v>
      </c>
      <c r="M3" s="29" t="s">
        <v>1</v>
      </c>
      <c r="N3" s="173">
        <v>500</v>
      </c>
      <c r="O3" s="24" t="s">
        <v>10</v>
      </c>
      <c r="P3" s="25" t="s">
        <v>12</v>
      </c>
      <c r="Q3" s="212" t="s">
        <v>58</v>
      </c>
    </row>
    <row r="4" spans="1:18" x14ac:dyDescent="0.2">
      <c r="A4" s="6" t="s">
        <v>2</v>
      </c>
      <c r="B4" s="58">
        <v>500</v>
      </c>
      <c r="C4" s="8" t="s">
        <v>10</v>
      </c>
      <c r="D4" s="7">
        <v>15.48</v>
      </c>
      <c r="E4" s="11">
        <f>B4*D4</f>
        <v>7740</v>
      </c>
      <c r="G4" s="29" t="s">
        <v>2</v>
      </c>
      <c r="H4" s="173">
        <v>500</v>
      </c>
      <c r="I4" s="24" t="s">
        <v>10</v>
      </c>
      <c r="J4" s="23">
        <v>15.48</v>
      </c>
      <c r="K4" s="30">
        <f>H4*J4</f>
        <v>7740</v>
      </c>
      <c r="M4" s="29" t="s">
        <v>2</v>
      </c>
      <c r="N4" s="173">
        <v>500</v>
      </c>
      <c r="O4" s="24" t="s">
        <v>10</v>
      </c>
      <c r="P4" s="23">
        <v>15.48</v>
      </c>
      <c r="Q4" s="30">
        <f>N4*P4</f>
        <v>7740</v>
      </c>
    </row>
    <row r="5" spans="1:18" x14ac:dyDescent="0.2">
      <c r="A5" s="6" t="s">
        <v>3</v>
      </c>
      <c r="B5" s="162">
        <v>8.6289818482115397</v>
      </c>
      <c r="C5" s="8" t="s">
        <v>13</v>
      </c>
      <c r="D5" s="7">
        <v>642.12</v>
      </c>
      <c r="E5" s="11">
        <f>B5*D5</f>
        <v>5540.8418243735941</v>
      </c>
      <c r="G5" s="29" t="s">
        <v>3</v>
      </c>
      <c r="H5" s="174">
        <v>8.6289818482115397</v>
      </c>
      <c r="I5" s="24" t="s">
        <v>13</v>
      </c>
      <c r="J5" s="23">
        <v>642.12</v>
      </c>
      <c r="K5" s="30">
        <f>H5*J5</f>
        <v>5540.8418243735941</v>
      </c>
      <c r="M5" s="29" t="s">
        <v>3</v>
      </c>
      <c r="N5" s="174">
        <v>8.6289818482115397</v>
      </c>
      <c r="O5" s="24" t="s">
        <v>13</v>
      </c>
      <c r="P5" s="23">
        <v>642.12</v>
      </c>
      <c r="Q5" s="30">
        <f>N5*P5</f>
        <v>5540.8418243735941</v>
      </c>
    </row>
    <row r="6" spans="1:18" x14ac:dyDescent="0.2">
      <c r="A6" s="6" t="s">
        <v>4</v>
      </c>
      <c r="B6" s="162">
        <v>11.416546975211538</v>
      </c>
      <c r="C6" s="8" t="s">
        <v>13</v>
      </c>
      <c r="D6" s="7">
        <v>79.97</v>
      </c>
      <c r="E6" s="11">
        <f>B6*D6</f>
        <v>912.98126160766674</v>
      </c>
      <c r="G6" s="29" t="s">
        <v>4</v>
      </c>
      <c r="H6" s="174">
        <v>11.416546975211538</v>
      </c>
      <c r="I6" s="24" t="s">
        <v>13</v>
      </c>
      <c r="J6" s="23">
        <v>79.97</v>
      </c>
      <c r="K6" s="30">
        <f>H6*J6</f>
        <v>912.98126160766674</v>
      </c>
      <c r="M6" s="29" t="s">
        <v>4</v>
      </c>
      <c r="N6" s="174">
        <v>11.416546975211538</v>
      </c>
      <c r="O6" s="24" t="s">
        <v>13</v>
      </c>
      <c r="P6" s="23">
        <v>79.97</v>
      </c>
      <c r="Q6" s="30">
        <f>N6*P6</f>
        <v>912.98126160766674</v>
      </c>
    </row>
    <row r="7" spans="1:18" ht="15" x14ac:dyDescent="0.25">
      <c r="A7" s="6" t="s">
        <v>7</v>
      </c>
      <c r="B7" s="162">
        <v>19.234173437499994</v>
      </c>
      <c r="C7" s="8" t="s">
        <v>13</v>
      </c>
      <c r="D7" s="7">
        <v>382.17</v>
      </c>
      <c r="E7" s="11">
        <f>B7*D7</f>
        <v>7350.7240626093726</v>
      </c>
      <c r="G7" s="29" t="s">
        <v>5</v>
      </c>
      <c r="H7" s="26"/>
      <c r="I7" s="24"/>
      <c r="J7" s="23"/>
      <c r="K7" s="30">
        <f>SUM(K5:K6)*5.07%</f>
        <v>327.20883045924995</v>
      </c>
      <c r="M7" s="29" t="s">
        <v>5</v>
      </c>
      <c r="N7" s="26"/>
      <c r="O7" s="24"/>
      <c r="P7" s="23"/>
      <c r="Q7" s="30">
        <f>SUM(Q5:Q6)*5.07%</f>
        <v>327.20883045924995</v>
      </c>
    </row>
    <row r="8" spans="1:18" ht="15" x14ac:dyDescent="0.25">
      <c r="A8" s="6" t="s">
        <v>8</v>
      </c>
      <c r="B8" s="162">
        <v>142.7288296875</v>
      </c>
      <c r="C8" s="8" t="s">
        <v>13</v>
      </c>
      <c r="D8" s="7">
        <v>236.55</v>
      </c>
      <c r="E8" s="11">
        <f>B8*D8</f>
        <v>33762.504662578125</v>
      </c>
      <c r="G8" s="29" t="s">
        <v>6</v>
      </c>
      <c r="H8" s="26"/>
      <c r="I8" s="24"/>
      <c r="J8" s="23"/>
      <c r="K8" s="30">
        <f>SUM(K4:K7)</f>
        <v>14521.031916440512</v>
      </c>
      <c r="M8" s="29" t="s">
        <v>6</v>
      </c>
      <c r="N8" s="26"/>
      <c r="O8" s="24"/>
      <c r="P8" s="23"/>
      <c r="Q8" s="30">
        <f>SUM(Q4:Q7)</f>
        <v>14521.031916440512</v>
      </c>
    </row>
    <row r="9" spans="1:18" x14ac:dyDescent="0.2">
      <c r="A9" s="6" t="s">
        <v>5</v>
      </c>
      <c r="B9" s="7"/>
      <c r="C9" s="7"/>
      <c r="D9" s="7"/>
      <c r="E9" s="11">
        <f>SUM(E7:E8)*B12%</f>
        <v>2084.4406963670062</v>
      </c>
      <c r="G9" s="42" t="s">
        <v>14</v>
      </c>
      <c r="H9" s="43"/>
      <c r="I9" s="43"/>
      <c r="J9" s="43"/>
      <c r="K9" s="44">
        <f>((K4+K5)-K6)*50%</f>
        <v>6183.9302813829636</v>
      </c>
      <c r="M9" s="42" t="s">
        <v>14</v>
      </c>
      <c r="N9" s="43"/>
      <c r="O9" s="43"/>
      <c r="P9" s="43"/>
      <c r="Q9" s="44"/>
    </row>
    <row r="10" spans="1:18" ht="15" thickBot="1" x14ac:dyDescent="0.25">
      <c r="A10" s="6" t="s">
        <v>0</v>
      </c>
      <c r="B10" s="7"/>
      <c r="C10" s="7"/>
      <c r="D10" s="7"/>
      <c r="E10" s="11">
        <f>SUM(E7:E8)*0.18</f>
        <v>7400.3811705337484</v>
      </c>
      <c r="G10" s="39" t="s">
        <v>15</v>
      </c>
      <c r="H10" s="40"/>
      <c r="I10" s="40"/>
      <c r="J10" s="40"/>
      <c r="K10" s="41">
        <f>SUM(K5:K6)*0.18</f>
        <v>1161.6881554766269</v>
      </c>
      <c r="M10" s="39" t="s">
        <v>15</v>
      </c>
      <c r="N10" s="40"/>
      <c r="O10" s="40"/>
      <c r="P10" s="40"/>
      <c r="Q10" s="41">
        <f>SUM(Q5:Q6)*0.18</f>
        <v>1161.6881554766269</v>
      </c>
    </row>
    <row r="11" spans="1:18" ht="15" thickBot="1" x14ac:dyDescent="0.25">
      <c r="A11" s="36" t="s">
        <v>6</v>
      </c>
      <c r="B11" s="37"/>
      <c r="C11" s="37"/>
      <c r="D11" s="37"/>
      <c r="E11" s="38">
        <f>SUM(E4:E10)</f>
        <v>64791.873678069511</v>
      </c>
      <c r="G11" s="221" t="s">
        <v>25</v>
      </c>
      <c r="H11" s="222"/>
      <c r="I11" s="222"/>
      <c r="J11" s="222"/>
      <c r="K11" s="213">
        <f>F24*18%</f>
        <v>9252.4348800000007</v>
      </c>
      <c r="L11" s="217" t="s">
        <v>49</v>
      </c>
      <c r="M11" s="221" t="s">
        <v>25</v>
      </c>
      <c r="N11" s="222"/>
      <c r="O11" s="222"/>
      <c r="P11" s="222"/>
      <c r="Q11" s="213">
        <f>F27*18%</f>
        <v>7548.9004800000002</v>
      </c>
      <c r="R11" s="217" t="s">
        <v>49</v>
      </c>
    </row>
    <row r="12" spans="1:18" ht="29.25" thickBot="1" x14ac:dyDescent="0.25">
      <c r="A12" s="75" t="s">
        <v>32</v>
      </c>
      <c r="B12" s="75">
        <v>5.07</v>
      </c>
      <c r="G12" s="223" t="s">
        <v>61</v>
      </c>
      <c r="H12" s="224"/>
      <c r="I12" s="224"/>
      <c r="J12" s="224"/>
      <c r="K12" s="225">
        <f>K8-K9+K10+K11</f>
        <v>18751.224670534175</v>
      </c>
      <c r="L12" s="218">
        <f>K12*12</f>
        <v>225014.6960464101</v>
      </c>
      <c r="M12" s="223" t="s">
        <v>61</v>
      </c>
      <c r="N12" s="224"/>
      <c r="O12" s="224"/>
      <c r="P12" s="224"/>
      <c r="Q12" s="225">
        <f>Q8-Q9+Q10+Q11</f>
        <v>23231.620551917138</v>
      </c>
      <c r="R12" s="218">
        <f>Q12*12</f>
        <v>278779.44662300567</v>
      </c>
    </row>
    <row r="13" spans="1:18" x14ac:dyDescent="0.2">
      <c r="G13" s="238" t="s">
        <v>26</v>
      </c>
      <c r="H13" s="234"/>
      <c r="I13" s="234"/>
      <c r="J13" s="234"/>
      <c r="K13" s="235">
        <f>G24*18%</f>
        <v>6354.6076799999992</v>
      </c>
      <c r="L13" s="219"/>
      <c r="M13" s="238" t="s">
        <v>26</v>
      </c>
      <c r="N13" s="234"/>
      <c r="O13" s="234"/>
      <c r="P13" s="234"/>
      <c r="Q13" s="235">
        <f>G27*18%</f>
        <v>5199.4173600000004</v>
      </c>
      <c r="R13" s="219"/>
    </row>
    <row r="14" spans="1:18" ht="15" thickBot="1" x14ac:dyDescent="0.25">
      <c r="G14" s="239" t="s">
        <v>23</v>
      </c>
      <c r="H14" s="240"/>
      <c r="I14" s="240"/>
      <c r="J14" s="240"/>
      <c r="K14" s="236">
        <f>K8-K9+K10+K13</f>
        <v>15853.397470534173</v>
      </c>
      <c r="L14" s="220">
        <f>K14*12</f>
        <v>190240.76964641007</v>
      </c>
      <c r="M14" s="239" t="s">
        <v>23</v>
      </c>
      <c r="N14" s="240"/>
      <c r="O14" s="240"/>
      <c r="P14" s="240"/>
      <c r="Q14" s="236">
        <f>Q8-Q9+Q10+Q13</f>
        <v>20882.137431917137</v>
      </c>
      <c r="R14" s="220">
        <f>Q14*12</f>
        <v>250585.64918300565</v>
      </c>
    </row>
    <row r="15" spans="1:18" x14ac:dyDescent="0.2">
      <c r="G15" s="204"/>
      <c r="H15" s="204"/>
      <c r="I15" s="215"/>
      <c r="J15" s="216"/>
    </row>
    <row r="16" spans="1:18" x14ac:dyDescent="0.2">
      <c r="G16" s="203"/>
      <c r="H16" s="203"/>
      <c r="I16" s="121"/>
      <c r="J16" s="121"/>
    </row>
    <row r="18" spans="2:13" ht="15" thickBot="1" x14ac:dyDescent="0.25"/>
    <row r="19" spans="2:13" ht="15" thickBot="1" x14ac:dyDescent="0.25">
      <c r="B19" s="241" t="s">
        <v>16</v>
      </c>
      <c r="C19" s="242"/>
      <c r="D19" s="242"/>
      <c r="E19" s="242"/>
      <c r="F19" s="242"/>
      <c r="G19" s="243"/>
      <c r="H19" s="156" t="s">
        <v>49</v>
      </c>
      <c r="I19" s="157"/>
      <c r="J19" s="145" t="s">
        <v>63</v>
      </c>
      <c r="K19" s="146"/>
      <c r="L19" s="146"/>
      <c r="M19" s="147"/>
    </row>
    <row r="20" spans="2:13" x14ac:dyDescent="0.2">
      <c r="B20" s="45" t="s">
        <v>30</v>
      </c>
      <c r="C20" s="45"/>
      <c r="D20" s="68" t="s">
        <v>17</v>
      </c>
      <c r="E20" s="69"/>
      <c r="F20" s="69"/>
      <c r="G20" s="70"/>
      <c r="H20" s="156"/>
      <c r="I20" s="157"/>
      <c r="J20" s="142" t="s">
        <v>36</v>
      </c>
      <c r="K20" s="143" t="s">
        <v>68</v>
      </c>
      <c r="L20" s="143">
        <v>2022</v>
      </c>
      <c r="M20" s="144">
        <v>2023</v>
      </c>
    </row>
    <row r="21" spans="2:13" x14ac:dyDescent="0.2">
      <c r="B21" s="45"/>
      <c r="C21" s="45"/>
      <c r="D21" s="59" t="s">
        <v>56</v>
      </c>
      <c r="E21" s="60" t="s">
        <v>22</v>
      </c>
      <c r="F21" s="61" t="s">
        <v>24</v>
      </c>
      <c r="G21" s="62" t="s">
        <v>23</v>
      </c>
      <c r="H21" s="158"/>
      <c r="I21" s="159"/>
      <c r="J21" s="150" t="s">
        <v>37</v>
      </c>
      <c r="K21" s="124">
        <f>(E11*12)+(E11*5%)</f>
        <v>780742.07782073761</v>
      </c>
      <c r="L21" s="124">
        <f>K21+(K21*5%)</f>
        <v>819779.18171177455</v>
      </c>
      <c r="M21" s="30">
        <f>L21+(L21*5%)</f>
        <v>860768.14079736324</v>
      </c>
    </row>
    <row r="22" spans="2:13" ht="15" x14ac:dyDescent="0.25">
      <c r="B22" s="115" t="s">
        <v>18</v>
      </c>
      <c r="C22" s="180">
        <v>168.4</v>
      </c>
      <c r="D22" s="179">
        <v>295.24</v>
      </c>
      <c r="E22" s="180">
        <v>199.64</v>
      </c>
      <c r="F22" s="180">
        <f>C22*D22</f>
        <v>49718.416000000005</v>
      </c>
      <c r="G22" s="93">
        <f>C22*E22</f>
        <v>33619.375999999997</v>
      </c>
      <c r="H22" s="155" t="s">
        <v>51</v>
      </c>
      <c r="I22" s="155" t="s">
        <v>22</v>
      </c>
      <c r="J22" s="150" t="s">
        <v>38</v>
      </c>
      <c r="K22" s="124">
        <f>H24+L12+E34+C30+C31</f>
        <v>891548.76804641017</v>
      </c>
      <c r="L22" s="124">
        <f>L14+I24+E34+C31+C30</f>
        <v>663586.36164640996</v>
      </c>
      <c r="M22" s="30">
        <f>L14+I24+E34</f>
        <v>617083.36164640996</v>
      </c>
    </row>
    <row r="23" spans="2:13" ht="15" thickBot="1" x14ac:dyDescent="0.25">
      <c r="B23" s="90" t="s">
        <v>19</v>
      </c>
      <c r="C23" s="180">
        <v>168.4</v>
      </c>
      <c r="D23" s="179">
        <v>10</v>
      </c>
      <c r="E23" s="180">
        <v>10</v>
      </c>
      <c r="F23" s="180">
        <f>C23*E23</f>
        <v>1684</v>
      </c>
      <c r="G23" s="93">
        <f>C23*E23</f>
        <v>1684</v>
      </c>
      <c r="H23" s="155"/>
      <c r="I23" s="155"/>
      <c r="J23" s="151" t="s">
        <v>39</v>
      </c>
      <c r="K23" s="160">
        <f>R12+H27+C31+C32+E34</f>
        <v>791744.55862300564</v>
      </c>
      <c r="L23" s="160">
        <f>R14+I27+E34+C30+C31</f>
        <v>646918.55318300566</v>
      </c>
      <c r="M23" s="161">
        <f>R14+I27+E34</f>
        <v>600415.55318300566</v>
      </c>
    </row>
    <row r="24" spans="2:13" ht="15.75" thickBot="1" x14ac:dyDescent="0.3">
      <c r="B24" s="186" t="s">
        <v>6</v>
      </c>
      <c r="C24" s="186"/>
      <c r="D24" s="95"/>
      <c r="E24" s="181"/>
      <c r="F24" s="180">
        <f>SUM(F22:F23)</f>
        <v>51402.416000000005</v>
      </c>
      <c r="G24" s="93">
        <f>SUM(G22:G23)</f>
        <v>35303.375999999997</v>
      </c>
      <c r="H24" s="113">
        <f>F24*12</f>
        <v>616828.99200000009</v>
      </c>
      <c r="I24" s="114">
        <f>G24*12</f>
        <v>423640.51199999999</v>
      </c>
    </row>
    <row r="25" spans="2:13" ht="30.75" thickBot="1" x14ac:dyDescent="0.3">
      <c r="B25" s="116" t="s">
        <v>20</v>
      </c>
      <c r="C25" s="185">
        <v>168.4</v>
      </c>
      <c r="D25" s="20">
        <v>239.04</v>
      </c>
      <c r="E25" s="18">
        <v>161.53</v>
      </c>
      <c r="F25" s="18">
        <f>D25*C25</f>
        <v>40254.336000000003</v>
      </c>
      <c r="G25" s="19">
        <f>E25*C25</f>
        <v>27201.652000000002</v>
      </c>
      <c r="H25" s="199" t="s">
        <v>49</v>
      </c>
      <c r="I25" s="200"/>
      <c r="J25" s="273" t="s">
        <v>70</v>
      </c>
      <c r="K25" s="274"/>
      <c r="L25" s="274"/>
      <c r="M25" s="275"/>
    </row>
    <row r="26" spans="2:13" x14ac:dyDescent="0.2">
      <c r="B26" s="98" t="s">
        <v>19</v>
      </c>
      <c r="C26" s="182">
        <v>168.4</v>
      </c>
      <c r="D26" s="183">
        <v>10</v>
      </c>
      <c r="E26" s="183">
        <v>10</v>
      </c>
      <c r="F26" s="183">
        <f>E26*C26</f>
        <v>1684</v>
      </c>
      <c r="G26" s="103">
        <f>E26*C26</f>
        <v>1684</v>
      </c>
      <c r="H26" s="201"/>
      <c r="I26" s="202"/>
      <c r="J26" s="258"/>
      <c r="K26" s="266" t="s">
        <v>68</v>
      </c>
      <c r="L26" s="262">
        <v>2022</v>
      </c>
      <c r="M26" s="262">
        <v>2023</v>
      </c>
    </row>
    <row r="27" spans="2:13" ht="15.75" thickBot="1" x14ac:dyDescent="0.3">
      <c r="B27" s="88" t="s">
        <v>6</v>
      </c>
      <c r="C27" s="108"/>
      <c r="D27" s="89"/>
      <c r="E27" s="184"/>
      <c r="F27" s="17">
        <f>SUM(F25:F26)</f>
        <v>41938.336000000003</v>
      </c>
      <c r="G27" s="17">
        <f>SUM(G25:G26)</f>
        <v>28885.652000000002</v>
      </c>
      <c r="H27" s="111">
        <f>F27*12</f>
        <v>503260.03200000001</v>
      </c>
      <c r="I27" s="112">
        <f>G27*12</f>
        <v>346627.82400000002</v>
      </c>
      <c r="J27" s="276" t="s">
        <v>67</v>
      </c>
      <c r="K27" s="277">
        <f>K21-K22</f>
        <v>-110806.69022567256</v>
      </c>
      <c r="L27" s="130">
        <f>L21-L22</f>
        <v>156192.82006536459</v>
      </c>
      <c r="M27" s="130">
        <f>M21-M22</f>
        <v>243684.77915095328</v>
      </c>
    </row>
    <row r="28" spans="2:13" ht="29.25" customHeight="1" thickBot="1" x14ac:dyDescent="0.3">
      <c r="B28" s="138" t="s">
        <v>48</v>
      </c>
      <c r="C28" s="141">
        <f>C26*12</f>
        <v>2020.8000000000002</v>
      </c>
      <c r="D28" s="13"/>
      <c r="E28" s="13"/>
      <c r="F28" s="13"/>
      <c r="G28" s="13"/>
      <c r="J28" s="276" t="s">
        <v>39</v>
      </c>
      <c r="K28" s="277">
        <f>K21-K23</f>
        <v>-11002.480802268023</v>
      </c>
      <c r="L28" s="130">
        <f>L21-L23</f>
        <v>172860.6285287689</v>
      </c>
      <c r="M28" s="130">
        <f>M21-M23</f>
        <v>260352.58761435759</v>
      </c>
    </row>
    <row r="29" spans="2:13" ht="15" x14ac:dyDescent="0.25">
      <c r="B29" s="206" t="s">
        <v>40</v>
      </c>
      <c r="C29" s="207"/>
      <c r="D29" s="208"/>
      <c r="E29" s="13"/>
    </row>
    <row r="30" spans="2:13" x14ac:dyDescent="0.2">
      <c r="B30" s="29" t="s">
        <v>43</v>
      </c>
      <c r="C30" s="131">
        <v>40000</v>
      </c>
      <c r="D30" s="132"/>
    </row>
    <row r="31" spans="2:13" ht="29.25" thickBot="1" x14ac:dyDescent="0.25">
      <c r="B31" s="127" t="s">
        <v>44</v>
      </c>
      <c r="C31" s="131">
        <v>6503</v>
      </c>
      <c r="D31" s="132"/>
    </row>
    <row r="32" spans="2:13" ht="15" x14ac:dyDescent="0.25">
      <c r="B32" s="244" t="s">
        <v>45</v>
      </c>
      <c r="C32" s="245"/>
      <c r="D32" s="246"/>
      <c r="E32" s="247" t="s">
        <v>50</v>
      </c>
    </row>
    <row r="33" spans="2:5" ht="42.75" x14ac:dyDescent="0.2">
      <c r="B33" s="127" t="s">
        <v>41</v>
      </c>
      <c r="C33" s="125">
        <f>C28*0.1</f>
        <v>202.08000000000004</v>
      </c>
      <c r="D33" s="16" t="s">
        <v>47</v>
      </c>
      <c r="E33" s="248"/>
    </row>
    <row r="34" spans="2:5" ht="15" thickBot="1" x14ac:dyDescent="0.25">
      <c r="B34" s="29" t="s">
        <v>42</v>
      </c>
      <c r="C34" s="125">
        <v>3000</v>
      </c>
      <c r="D34" s="30">
        <f>C33+C34</f>
        <v>3202.08</v>
      </c>
      <c r="E34" s="249">
        <f>C33+C34</f>
        <v>3202.08</v>
      </c>
    </row>
    <row r="35" spans="2:5" ht="15" thickBot="1" x14ac:dyDescent="0.25">
      <c r="B35" s="133" t="s">
        <v>60</v>
      </c>
      <c r="C35" s="134"/>
      <c r="D35" s="135">
        <f>C30+C31+C33+C34</f>
        <v>49705.08</v>
      </c>
    </row>
  </sheetData>
  <mergeCells count="26">
    <mergeCell ref="B29:D29"/>
    <mergeCell ref="C30:D30"/>
    <mergeCell ref="C31:D31"/>
    <mergeCell ref="B32:D32"/>
    <mergeCell ref="B35:C35"/>
    <mergeCell ref="J25:M25"/>
    <mergeCell ref="B24:C24"/>
    <mergeCell ref="D24:E24"/>
    <mergeCell ref="B27:C27"/>
    <mergeCell ref="D27:E27"/>
    <mergeCell ref="G15:H15"/>
    <mergeCell ref="G16:H16"/>
    <mergeCell ref="H19:I21"/>
    <mergeCell ref="H22:H23"/>
    <mergeCell ref="I22:I23"/>
    <mergeCell ref="H25:I26"/>
    <mergeCell ref="A1:E1"/>
    <mergeCell ref="G1:K1"/>
    <mergeCell ref="B2:C2"/>
    <mergeCell ref="H2:I2"/>
    <mergeCell ref="B19:G19"/>
    <mergeCell ref="B20:C21"/>
    <mergeCell ref="D20:G20"/>
    <mergeCell ref="J19:M19"/>
    <mergeCell ref="M1:Q1"/>
    <mergeCell ref="N2:O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D15" sqref="D15"/>
    </sheetView>
  </sheetViews>
  <sheetFormatPr defaultRowHeight="14.25" x14ac:dyDescent="0.2"/>
  <cols>
    <col min="1" max="1" width="23.25" customWidth="1"/>
    <col min="2" max="2" width="15.25" customWidth="1"/>
    <col min="3" max="3" width="13.875" customWidth="1"/>
    <col min="4" max="4" width="22.125" customWidth="1"/>
    <col min="5" max="5" width="17.875" customWidth="1"/>
    <col min="6" max="6" width="18.5" customWidth="1"/>
    <col min="7" max="7" width="25.125" customWidth="1"/>
    <col min="8" max="8" width="12.875" customWidth="1"/>
    <col min="9" max="9" width="12.625" customWidth="1"/>
    <col min="10" max="10" width="22.375" customWidth="1"/>
    <col min="11" max="11" width="18.875" customWidth="1"/>
    <col min="12" max="12" width="17.5" customWidth="1"/>
    <col min="13" max="13" width="23.875" customWidth="1"/>
    <col min="15" max="15" width="12.875" customWidth="1"/>
    <col min="17" max="17" width="17.625" customWidth="1"/>
    <col min="18" max="18" width="13.125" customWidth="1"/>
  </cols>
  <sheetData>
    <row r="1" spans="1:18" ht="15" thickBot="1" x14ac:dyDescent="0.25">
      <c r="A1" s="46" t="s">
        <v>52</v>
      </c>
      <c r="B1" s="47"/>
      <c r="C1" s="47"/>
      <c r="D1" s="47"/>
      <c r="E1" s="47"/>
      <c r="G1" s="49" t="s">
        <v>55</v>
      </c>
      <c r="H1" s="50"/>
      <c r="I1" s="50"/>
      <c r="J1" s="50"/>
      <c r="K1" s="51"/>
      <c r="M1" s="49" t="s">
        <v>54</v>
      </c>
      <c r="N1" s="50"/>
      <c r="O1" s="50"/>
      <c r="P1" s="50"/>
      <c r="Q1" s="51"/>
    </row>
    <row r="2" spans="1:18" x14ac:dyDescent="0.2">
      <c r="A2" s="3"/>
      <c r="B2" s="48" t="s">
        <v>9</v>
      </c>
      <c r="C2" s="48"/>
      <c r="D2" s="4" t="s">
        <v>11</v>
      </c>
      <c r="E2" s="5" t="s">
        <v>6</v>
      </c>
      <c r="G2" s="27"/>
      <c r="H2" s="52" t="s">
        <v>9</v>
      </c>
      <c r="I2" s="52"/>
      <c r="J2" s="15" t="s">
        <v>11</v>
      </c>
      <c r="K2" s="28" t="s">
        <v>6</v>
      </c>
      <c r="M2" s="27"/>
      <c r="N2" s="52" t="s">
        <v>9</v>
      </c>
      <c r="O2" s="52"/>
      <c r="P2" s="15" t="s">
        <v>11</v>
      </c>
      <c r="Q2" s="28" t="s">
        <v>6</v>
      </c>
    </row>
    <row r="3" spans="1:18" x14ac:dyDescent="0.2">
      <c r="A3" s="6" t="s">
        <v>1</v>
      </c>
      <c r="B3" s="9">
        <v>500</v>
      </c>
      <c r="C3" s="8" t="s">
        <v>10</v>
      </c>
      <c r="D3" s="163">
        <v>23.13</v>
      </c>
      <c r="E3" s="11">
        <f>D3*B3</f>
        <v>11565</v>
      </c>
      <c r="G3" s="24" t="s">
        <v>1</v>
      </c>
      <c r="H3" s="173">
        <v>500</v>
      </c>
      <c r="I3" s="24" t="s">
        <v>10</v>
      </c>
      <c r="J3" s="164">
        <v>23.13</v>
      </c>
      <c r="K3" s="124">
        <f>H3*J3</f>
        <v>11565</v>
      </c>
      <c r="M3" s="24" t="s">
        <v>1</v>
      </c>
      <c r="N3" s="173">
        <v>500</v>
      </c>
      <c r="O3" s="24" t="s">
        <v>10</v>
      </c>
      <c r="P3" s="164">
        <v>23.13</v>
      </c>
      <c r="Q3" s="124">
        <f>N3*P3</f>
        <v>11565</v>
      </c>
    </row>
    <row r="4" spans="1:18" x14ac:dyDescent="0.2">
      <c r="A4" s="6" t="s">
        <v>2</v>
      </c>
      <c r="B4" s="9">
        <v>500</v>
      </c>
      <c r="C4" s="8" t="s">
        <v>10</v>
      </c>
      <c r="D4" s="57">
        <v>15.48</v>
      </c>
      <c r="E4" s="11">
        <f>B4*D4</f>
        <v>7740</v>
      </c>
      <c r="G4" s="24" t="s">
        <v>2</v>
      </c>
      <c r="H4" s="173">
        <v>500</v>
      </c>
      <c r="I4" s="24" t="s">
        <v>10</v>
      </c>
      <c r="J4" s="165">
        <v>15.48</v>
      </c>
      <c r="K4" s="124">
        <f>H4*J4</f>
        <v>7740</v>
      </c>
      <c r="M4" s="24" t="s">
        <v>2</v>
      </c>
      <c r="N4" s="173">
        <v>500</v>
      </c>
      <c r="O4" s="24" t="s">
        <v>10</v>
      </c>
      <c r="P4" s="165">
        <v>15.48</v>
      </c>
      <c r="Q4" s="124">
        <f>N4*P4</f>
        <v>7740</v>
      </c>
    </row>
    <row r="5" spans="1:18" x14ac:dyDescent="0.2">
      <c r="A5" s="6" t="s">
        <v>3</v>
      </c>
      <c r="B5" s="162">
        <v>8.6289818482115397</v>
      </c>
      <c r="C5" s="8" t="s">
        <v>13</v>
      </c>
      <c r="D5" s="57">
        <v>79.97</v>
      </c>
      <c r="E5" s="11">
        <f>B5*D5</f>
        <v>690.05967840147684</v>
      </c>
      <c r="G5" s="24" t="s">
        <v>3</v>
      </c>
      <c r="H5" s="174">
        <v>8.6289818482115397</v>
      </c>
      <c r="I5" s="24" t="s">
        <v>13</v>
      </c>
      <c r="J5" s="165">
        <v>79.97</v>
      </c>
      <c r="K5" s="124">
        <f>H5*J5</f>
        <v>690.05967840147684</v>
      </c>
      <c r="M5" s="24" t="s">
        <v>3</v>
      </c>
      <c r="N5" s="174">
        <v>8.6289818482115397</v>
      </c>
      <c r="O5" s="24" t="s">
        <v>13</v>
      </c>
      <c r="P5" s="165">
        <v>79.97</v>
      </c>
      <c r="Q5" s="124">
        <f>N5*P5</f>
        <v>690.05967840147684</v>
      </c>
    </row>
    <row r="6" spans="1:18" x14ac:dyDescent="0.2">
      <c r="A6" s="6" t="s">
        <v>4</v>
      </c>
      <c r="B6" s="162">
        <v>11.416546975211538</v>
      </c>
      <c r="C6" s="8" t="s">
        <v>13</v>
      </c>
      <c r="D6" s="57">
        <v>79.97</v>
      </c>
      <c r="E6" s="11">
        <f>B6*D6</f>
        <v>912.98126160766674</v>
      </c>
      <c r="G6" s="24" t="s">
        <v>4</v>
      </c>
      <c r="H6" s="174">
        <v>11.416546975211538</v>
      </c>
      <c r="I6" s="24" t="s">
        <v>13</v>
      </c>
      <c r="J6" s="165">
        <v>79.97</v>
      </c>
      <c r="K6" s="124">
        <f>H6*J6</f>
        <v>912.98126160766674</v>
      </c>
      <c r="M6" s="24" t="s">
        <v>4</v>
      </c>
      <c r="N6" s="174">
        <v>11.416546975211538</v>
      </c>
      <c r="O6" s="24" t="s">
        <v>13</v>
      </c>
      <c r="P6" s="165">
        <v>79.97</v>
      </c>
      <c r="Q6" s="124">
        <f>N6*P6</f>
        <v>912.98126160766674</v>
      </c>
    </row>
    <row r="7" spans="1:18" ht="15" x14ac:dyDescent="0.25">
      <c r="A7" s="6" t="s">
        <v>7</v>
      </c>
      <c r="B7" s="162">
        <v>19.234173437499994</v>
      </c>
      <c r="C7" s="8" t="s">
        <v>13</v>
      </c>
      <c r="D7" s="57">
        <v>382.17</v>
      </c>
      <c r="E7" s="11">
        <f>B7*D7</f>
        <v>7350.7240626093726</v>
      </c>
      <c r="G7" s="24" t="s">
        <v>5</v>
      </c>
      <c r="H7" s="26"/>
      <c r="I7" s="24"/>
      <c r="J7" s="23"/>
      <c r="K7" s="124">
        <f>SUM(K5:K6)*5.07%</f>
        <v>81.274175658463577</v>
      </c>
      <c r="M7" s="24" t="s">
        <v>5</v>
      </c>
      <c r="N7" s="26"/>
      <c r="O7" s="24"/>
      <c r="P7" s="23"/>
      <c r="Q7" s="124">
        <f>SUM(Q5:Q6)*5.07%</f>
        <v>81.274175658463577</v>
      </c>
    </row>
    <row r="8" spans="1:18" ht="15" x14ac:dyDescent="0.25">
      <c r="A8" s="6" t="s">
        <v>8</v>
      </c>
      <c r="B8" s="162">
        <v>142.7288296875</v>
      </c>
      <c r="C8" s="8" t="s">
        <v>13</v>
      </c>
      <c r="D8" s="57">
        <v>236.55</v>
      </c>
      <c r="E8" s="11">
        <f>B8*D8</f>
        <v>33762.504662578125</v>
      </c>
      <c r="G8" s="24" t="s">
        <v>6</v>
      </c>
      <c r="H8" s="26"/>
      <c r="I8" s="24"/>
      <c r="J8" s="23"/>
      <c r="K8" s="124">
        <f>SUM(K4:K7)</f>
        <v>9424.3151156676067</v>
      </c>
      <c r="M8" s="24" t="s">
        <v>6</v>
      </c>
      <c r="N8" s="26"/>
      <c r="O8" s="24"/>
      <c r="P8" s="23"/>
      <c r="Q8" s="124">
        <f>SUM(Q4:Q7)</f>
        <v>9424.3151156676067</v>
      </c>
    </row>
    <row r="9" spans="1:18" x14ac:dyDescent="0.2">
      <c r="A9" s="6" t="s">
        <v>5</v>
      </c>
      <c r="B9" s="7"/>
      <c r="C9" s="7"/>
      <c r="D9" s="7"/>
      <c r="E9" s="11">
        <f>SUM(E7:E8)*B12%</f>
        <v>2084.4406963670062</v>
      </c>
      <c r="G9" s="166" t="s">
        <v>14</v>
      </c>
      <c r="H9" s="43"/>
      <c r="I9" s="43"/>
      <c r="J9" s="43"/>
      <c r="K9" s="167">
        <f>J16+I15</f>
        <v>15435</v>
      </c>
      <c r="M9" s="166" t="s">
        <v>14</v>
      </c>
      <c r="N9" s="43"/>
      <c r="O9" s="43"/>
      <c r="P9" s="43"/>
      <c r="Q9" s="167">
        <f>P16+O15</f>
        <v>0</v>
      </c>
    </row>
    <row r="10" spans="1:18" x14ac:dyDescent="0.2">
      <c r="A10" s="6" t="s">
        <v>0</v>
      </c>
      <c r="B10" s="7"/>
      <c r="C10" s="7"/>
      <c r="D10" s="7"/>
      <c r="E10" s="11">
        <f>SUM(E7:E8)*0.18</f>
        <v>7400.3811705337484</v>
      </c>
      <c r="G10" s="24" t="s">
        <v>15</v>
      </c>
      <c r="H10" s="23"/>
      <c r="I10" s="23"/>
      <c r="J10" s="23"/>
      <c r="K10" s="120">
        <f>SUM(K5:K6)*0.18</f>
        <v>288.54736920164584</v>
      </c>
      <c r="M10" s="24" t="s">
        <v>15</v>
      </c>
      <c r="N10" s="23"/>
      <c r="O10" s="23"/>
      <c r="P10" s="23"/>
      <c r="Q10" s="120">
        <f>SUM(Q5:Q6)*0.18</f>
        <v>288.54736920164584</v>
      </c>
    </row>
    <row r="11" spans="1:18" ht="15" thickBot="1" x14ac:dyDescent="0.25">
      <c r="A11" s="36" t="s">
        <v>6</v>
      </c>
      <c r="B11" s="37"/>
      <c r="C11" s="37"/>
      <c r="D11" s="37"/>
      <c r="E11" s="38">
        <f>SUM(E4:E10)</f>
        <v>59941.091532097395</v>
      </c>
      <c r="G11" s="24" t="s">
        <v>25</v>
      </c>
      <c r="H11" s="23"/>
      <c r="I11" s="23"/>
      <c r="J11" s="23"/>
      <c r="K11" s="124">
        <f>F24*18%</f>
        <v>9252.4348800000007</v>
      </c>
      <c r="L11" s="149" t="s">
        <v>49</v>
      </c>
      <c r="M11" s="24" t="s">
        <v>25</v>
      </c>
      <c r="N11" s="23"/>
      <c r="O11" s="23"/>
      <c r="P11" s="23"/>
      <c r="Q11" s="124">
        <f>F24*18%</f>
        <v>9252.4348800000007</v>
      </c>
      <c r="R11" s="149" t="s">
        <v>49</v>
      </c>
    </row>
    <row r="12" spans="1:18" ht="29.25" thickBot="1" x14ac:dyDescent="0.25">
      <c r="A12" s="75" t="s">
        <v>32</v>
      </c>
      <c r="B12" s="278">
        <v>5.07</v>
      </c>
      <c r="G12" s="168" t="s">
        <v>27</v>
      </c>
      <c r="H12" s="31"/>
      <c r="I12" s="31"/>
      <c r="J12" s="31"/>
      <c r="K12" s="169">
        <f>K8-K9+K10+K11</f>
        <v>3530.2973648692532</v>
      </c>
      <c r="L12" s="32">
        <f>K12*12</f>
        <v>42363.568378431039</v>
      </c>
      <c r="M12" s="168" t="s">
        <v>27</v>
      </c>
      <c r="N12" s="31"/>
      <c r="O12" s="31"/>
      <c r="P12" s="31"/>
      <c r="Q12" s="169">
        <f>Q8-Q9+Q10+Q11</f>
        <v>18965.297364869253</v>
      </c>
      <c r="R12" s="32">
        <f>Q12*12</f>
        <v>227583.56837843102</v>
      </c>
    </row>
    <row r="13" spans="1:18" x14ac:dyDescent="0.2">
      <c r="G13" s="170" t="s">
        <v>26</v>
      </c>
      <c r="H13" s="23"/>
      <c r="I13" s="23"/>
      <c r="J13" s="23"/>
      <c r="K13" s="124">
        <f>G24*18%</f>
        <v>6354.6076799999992</v>
      </c>
      <c r="L13" s="148"/>
      <c r="M13" s="170" t="s">
        <v>26</v>
      </c>
      <c r="N13" s="23"/>
      <c r="O13" s="23"/>
      <c r="P13" s="23"/>
      <c r="Q13" s="124">
        <f>G24*18%</f>
        <v>6354.6076799999992</v>
      </c>
      <c r="R13" s="148"/>
    </row>
    <row r="14" spans="1:18" ht="15" thickBot="1" x14ac:dyDescent="0.25">
      <c r="G14" s="192" t="s">
        <v>23</v>
      </c>
      <c r="H14" s="193"/>
      <c r="I14" s="193"/>
      <c r="J14" s="171"/>
      <c r="K14" s="172">
        <f>K8-K9+K10+K13</f>
        <v>632.47016486925168</v>
      </c>
      <c r="L14" s="35">
        <f>K14*12</f>
        <v>7589.6419784310201</v>
      </c>
      <c r="M14" s="192" t="s">
        <v>23</v>
      </c>
      <c r="N14" s="193"/>
      <c r="O14" s="193"/>
      <c r="P14" s="171"/>
      <c r="Q14" s="172">
        <f>Q8-Q9+Q10+Q13</f>
        <v>16067.470164869252</v>
      </c>
      <c r="R14" s="35">
        <f>Q14*12</f>
        <v>192809.64197843103</v>
      </c>
    </row>
    <row r="15" spans="1:18" x14ac:dyDescent="0.2">
      <c r="G15" s="194" t="s">
        <v>31</v>
      </c>
      <c r="H15" s="194"/>
      <c r="I15" s="195">
        <f>K3+K4*50%</f>
        <v>15435</v>
      </c>
      <c r="M15" s="204"/>
      <c r="N15" s="204"/>
      <c r="O15" s="205"/>
    </row>
    <row r="16" spans="1:18" x14ac:dyDescent="0.2">
      <c r="H16" s="1"/>
      <c r="R16" s="2"/>
    </row>
    <row r="18" spans="2:17" ht="15" thickBot="1" x14ac:dyDescent="0.25">
      <c r="Q18" s="1" t="s">
        <v>53</v>
      </c>
    </row>
    <row r="19" spans="2:17" ht="15" thickBot="1" x14ac:dyDescent="0.25">
      <c r="B19" s="177" t="s">
        <v>16</v>
      </c>
      <c r="C19" s="72"/>
      <c r="D19" s="72"/>
      <c r="E19" s="72"/>
      <c r="F19" s="72"/>
      <c r="G19" s="178"/>
      <c r="H19" s="156" t="s">
        <v>49</v>
      </c>
      <c r="I19" s="157"/>
      <c r="J19" s="145" t="s">
        <v>35</v>
      </c>
      <c r="K19" s="146"/>
      <c r="L19" s="146"/>
      <c r="M19" s="147"/>
    </row>
    <row r="20" spans="2:17" x14ac:dyDescent="0.2">
      <c r="B20" s="45" t="s">
        <v>30</v>
      </c>
      <c r="C20" s="45"/>
      <c r="D20" s="196" t="s">
        <v>17</v>
      </c>
      <c r="E20" s="197"/>
      <c r="F20" s="197"/>
      <c r="G20" s="198"/>
      <c r="H20" s="156"/>
      <c r="I20" s="157"/>
      <c r="J20" s="142" t="s">
        <v>36</v>
      </c>
      <c r="K20" s="143" t="s">
        <v>68</v>
      </c>
      <c r="L20" s="143">
        <v>2022</v>
      </c>
      <c r="M20" s="144">
        <v>2023</v>
      </c>
    </row>
    <row r="21" spans="2:17" ht="30" x14ac:dyDescent="0.2">
      <c r="B21" s="45"/>
      <c r="C21" s="45"/>
      <c r="D21" s="190" t="s">
        <v>56</v>
      </c>
      <c r="E21" s="191" t="s">
        <v>22</v>
      </c>
      <c r="F21" s="188" t="s">
        <v>24</v>
      </c>
      <c r="G21" s="189" t="s">
        <v>23</v>
      </c>
      <c r="H21" s="158"/>
      <c r="I21" s="159"/>
      <c r="J21" s="150" t="s">
        <v>37</v>
      </c>
      <c r="K21" s="124">
        <f>(E11*12)+(E11*5%)</f>
        <v>722290.15296177357</v>
      </c>
      <c r="L21" s="124">
        <f>K21+(K21*5%)</f>
        <v>758404.6606098623</v>
      </c>
      <c r="M21" s="30">
        <f>L21+(L21*5%)</f>
        <v>796324.89364035544</v>
      </c>
    </row>
    <row r="22" spans="2:17" x14ac:dyDescent="0.2">
      <c r="B22" s="90" t="s">
        <v>18</v>
      </c>
      <c r="C22" s="180">
        <v>168.4</v>
      </c>
      <c r="D22" s="179">
        <v>295.24</v>
      </c>
      <c r="E22" s="180">
        <v>199.64</v>
      </c>
      <c r="F22" s="180">
        <f>C22*D22</f>
        <v>49718.416000000005</v>
      </c>
      <c r="G22" s="93">
        <f>C22*E22</f>
        <v>33619.375999999997</v>
      </c>
      <c r="H22" s="155" t="s">
        <v>51</v>
      </c>
      <c r="I22" s="155" t="s">
        <v>22</v>
      </c>
      <c r="J22" s="150" t="s">
        <v>38</v>
      </c>
      <c r="K22" s="124">
        <f>H24+L12+E35+C31+C32</f>
        <v>708897.64037843107</v>
      </c>
      <c r="L22" s="124">
        <f>L14+I24+E35+C31+C32</f>
        <v>480935.23397843103</v>
      </c>
      <c r="M22" s="30">
        <f>L14+I24+E35</f>
        <v>434432.23397843103</v>
      </c>
    </row>
    <row r="23" spans="2:17" ht="15" thickBot="1" x14ac:dyDescent="0.25">
      <c r="B23" s="90" t="s">
        <v>19</v>
      </c>
      <c r="C23" s="180">
        <v>168.4</v>
      </c>
      <c r="D23" s="179">
        <v>10</v>
      </c>
      <c r="E23" s="180">
        <v>10</v>
      </c>
      <c r="F23" s="180">
        <f>C23*E23</f>
        <v>1684</v>
      </c>
      <c r="G23" s="93">
        <f>C23*E23</f>
        <v>1684</v>
      </c>
      <c r="H23" s="155"/>
      <c r="I23" s="155"/>
      <c r="J23" s="151" t="s">
        <v>39</v>
      </c>
      <c r="K23" s="160">
        <f>R12+H27+C31+C32+E35</f>
        <v>780548.68037843099</v>
      </c>
      <c r="L23" s="160">
        <f>R14+I27+C31+C32+E35</f>
        <v>589142.54597843101</v>
      </c>
      <c r="M23" s="161">
        <f>R14+I27+E35</f>
        <v>542639.54597843101</v>
      </c>
    </row>
    <row r="24" spans="2:17" ht="15.75" thickBot="1" x14ac:dyDescent="0.3">
      <c r="B24" s="186" t="s">
        <v>6</v>
      </c>
      <c r="C24" s="186"/>
      <c r="D24" s="95"/>
      <c r="E24" s="181"/>
      <c r="F24" s="115">
        <f>SUM(F22:F23)</f>
        <v>51402.416000000005</v>
      </c>
      <c r="G24" s="114">
        <f>SUM(G22:G23)</f>
        <v>35303.375999999997</v>
      </c>
      <c r="H24" s="113">
        <f>F24*12</f>
        <v>616828.99200000009</v>
      </c>
      <c r="I24" s="114">
        <f>G24*12</f>
        <v>423640.51199999999</v>
      </c>
    </row>
    <row r="25" spans="2:17" ht="43.5" thickBot="1" x14ac:dyDescent="0.25">
      <c r="B25" s="22" t="s">
        <v>20</v>
      </c>
      <c r="C25" s="17">
        <v>168.4</v>
      </c>
      <c r="D25" s="20">
        <v>239.04</v>
      </c>
      <c r="E25" s="18">
        <v>161.53</v>
      </c>
      <c r="F25" s="18">
        <f>D25*C25</f>
        <v>40254.336000000003</v>
      </c>
      <c r="G25" s="19">
        <f>E25*C25</f>
        <v>27201.652000000002</v>
      </c>
      <c r="H25" s="199" t="s">
        <v>49</v>
      </c>
      <c r="I25" s="254"/>
      <c r="J25" s="273" t="s">
        <v>70</v>
      </c>
      <c r="K25" s="274"/>
      <c r="L25" s="274"/>
      <c r="M25" s="275"/>
    </row>
    <row r="26" spans="2:17" x14ac:dyDescent="0.2">
      <c r="B26" s="98" t="s">
        <v>19</v>
      </c>
      <c r="C26" s="182">
        <v>168.4</v>
      </c>
      <c r="D26" s="183">
        <v>10</v>
      </c>
      <c r="E26" s="183">
        <v>10</v>
      </c>
      <c r="F26" s="183">
        <f>E26*C26</f>
        <v>1684</v>
      </c>
      <c r="G26" s="103">
        <f>E26*C26</f>
        <v>1684</v>
      </c>
      <c r="H26" s="201"/>
      <c r="I26" s="256"/>
      <c r="J26" s="264"/>
      <c r="K26" s="266" t="s">
        <v>68</v>
      </c>
      <c r="L26" s="262">
        <v>2022</v>
      </c>
      <c r="M26" s="265">
        <v>2023</v>
      </c>
    </row>
    <row r="27" spans="2:17" ht="15.75" thickBot="1" x14ac:dyDescent="0.3">
      <c r="B27" s="187" t="s">
        <v>6</v>
      </c>
      <c r="C27" s="187"/>
      <c r="D27" s="89"/>
      <c r="E27" s="184"/>
      <c r="F27" s="185">
        <f>SUM(F25:F26)</f>
        <v>41938.336000000003</v>
      </c>
      <c r="G27" s="185">
        <f>SUM(G25:G26)</f>
        <v>28885.652000000002</v>
      </c>
      <c r="H27" s="111">
        <f>F27*12</f>
        <v>503260.03200000001</v>
      </c>
      <c r="I27" s="257">
        <f>G27*12</f>
        <v>346627.82400000002</v>
      </c>
      <c r="J27" s="267" t="s">
        <v>67</v>
      </c>
      <c r="K27" s="130">
        <f>K21-K22</f>
        <v>13392.512583342497</v>
      </c>
      <c r="L27" s="130">
        <f>L21-L22</f>
        <v>277469.42663143127</v>
      </c>
      <c r="M27" s="268">
        <f>M21-M22</f>
        <v>361892.65966192441</v>
      </c>
    </row>
    <row r="28" spans="2:17" ht="44.25" thickBot="1" x14ac:dyDescent="0.3">
      <c r="B28" s="138" t="s">
        <v>48</v>
      </c>
      <c r="C28" s="141">
        <f>C26*12</f>
        <v>2020.8000000000002</v>
      </c>
      <c r="D28" s="13"/>
      <c r="E28" s="13"/>
      <c r="F28" s="13"/>
      <c r="G28" s="13"/>
      <c r="J28" s="269" t="s">
        <v>39</v>
      </c>
      <c r="K28" s="270">
        <f>K21-K23</f>
        <v>-58258.527416657424</v>
      </c>
      <c r="L28" s="271">
        <f>L21-L23</f>
        <v>169262.11463143129</v>
      </c>
      <c r="M28" s="272">
        <f>M21-M23</f>
        <v>253685.34766192443</v>
      </c>
    </row>
    <row r="29" spans="2:17" ht="15" thickBot="1" x14ac:dyDescent="0.25"/>
    <row r="30" spans="2:17" x14ac:dyDescent="0.2">
      <c r="B30" s="126" t="s">
        <v>40</v>
      </c>
      <c r="C30" s="63"/>
      <c r="D30" s="64"/>
      <c r="E30" s="13"/>
    </row>
    <row r="31" spans="2:17" x14ac:dyDescent="0.2">
      <c r="B31" s="29" t="s">
        <v>43</v>
      </c>
      <c r="C31" s="131">
        <v>40000</v>
      </c>
      <c r="D31" s="132"/>
    </row>
    <row r="32" spans="2:17" ht="28.5" x14ac:dyDescent="0.2">
      <c r="B32" s="127" t="s">
        <v>44</v>
      </c>
      <c r="C32" s="131">
        <v>6503</v>
      </c>
      <c r="D32" s="132"/>
    </row>
    <row r="33" spans="2:5" x14ac:dyDescent="0.2">
      <c r="B33" s="128" t="s">
        <v>45</v>
      </c>
      <c r="C33" s="123"/>
      <c r="D33" s="129"/>
      <c r="E33" s="152" t="s">
        <v>50</v>
      </c>
    </row>
    <row r="34" spans="2:5" ht="42.75" x14ac:dyDescent="0.2">
      <c r="B34" s="127" t="s">
        <v>41</v>
      </c>
      <c r="C34" s="125">
        <f>C28*0.1</f>
        <v>202.08000000000004</v>
      </c>
      <c r="D34" s="16" t="s">
        <v>47</v>
      </c>
      <c r="E34" s="153"/>
    </row>
    <row r="35" spans="2:5" x14ac:dyDescent="0.2">
      <c r="B35" s="29" t="s">
        <v>42</v>
      </c>
      <c r="C35" s="125">
        <v>3000</v>
      </c>
      <c r="D35" s="30">
        <f>C34+C35</f>
        <v>3202.08</v>
      </c>
      <c r="E35" s="154">
        <f>C34+C35</f>
        <v>3202.08</v>
      </c>
    </row>
    <row r="36" spans="2:5" ht="15" thickBot="1" x14ac:dyDescent="0.25">
      <c r="B36" s="133" t="s">
        <v>46</v>
      </c>
      <c r="C36" s="134"/>
      <c r="D36" s="135">
        <f>C31+C32+C34+C35</f>
        <v>49705.08</v>
      </c>
    </row>
  </sheetData>
  <mergeCells count="26">
    <mergeCell ref="B30:D30"/>
    <mergeCell ref="C31:D31"/>
    <mergeCell ref="C32:D32"/>
    <mergeCell ref="B33:D33"/>
    <mergeCell ref="M1:Q1"/>
    <mergeCell ref="N2:O2"/>
    <mergeCell ref="M15:N15"/>
    <mergeCell ref="J25:M25"/>
    <mergeCell ref="H19:I21"/>
    <mergeCell ref="J19:M19"/>
    <mergeCell ref="H22:H23"/>
    <mergeCell ref="I22:I23"/>
    <mergeCell ref="H25:I26"/>
    <mergeCell ref="B36:C36"/>
    <mergeCell ref="G1:K1"/>
    <mergeCell ref="B2:C2"/>
    <mergeCell ref="H2:I2"/>
    <mergeCell ref="B19:G19"/>
    <mergeCell ref="B20:C21"/>
    <mergeCell ref="D20:G20"/>
    <mergeCell ref="G15:H15"/>
    <mergeCell ref="B24:C24"/>
    <mergeCell ref="D24:E24"/>
    <mergeCell ref="B27:C27"/>
    <mergeCell ref="D27:E27"/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ACL UC1 VERDE </vt:lpstr>
      <vt:lpstr>ACL UC1 AZUL</vt:lpstr>
      <vt:lpstr>ACL UC2 VERDE </vt:lpstr>
      <vt:lpstr>ACL UC2 AZUL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FLORA FÉLIX </cp:lastModifiedBy>
  <dcterms:created xsi:type="dcterms:W3CDTF">2020-11-02T21:38:50Z</dcterms:created>
  <dcterms:modified xsi:type="dcterms:W3CDTF">2021-01-14T19:32:14Z</dcterms:modified>
</cp:coreProperties>
</file>